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war\Documents\Programming\AdvancedValuation\"/>
    </mc:Choice>
  </mc:AlternateContent>
  <xr:revisionPtr revIDLastSave="0" documentId="13_ncr:1_{024FE839-434C-47E2-BD65-29FF2DEA14C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CIQHiddenCacheSheet" sheetId="47" state="veryHidden" r:id="rId1"/>
    <sheet name="Financial Statements" sheetId="37" r:id="rId2"/>
    <sheet name="Common Size" sheetId="40" r:id="rId3"/>
    <sheet name="Detailed Comps" sheetId="38" r:id="rId4"/>
    <sheet name="Summary Comps" sheetId="39" r:id="rId5"/>
    <sheet name="Language Index" sheetId="41" state="hidden" r:id="rId6"/>
  </sheets>
  <externalReferences>
    <externalReference r:id="rId7"/>
    <externalReference r:id="rId8"/>
  </externalReferences>
  <definedNames>
    <definedName name="_xlnm._FilterDatabase" localSheetId="1" hidden="1">'Financial Statements'!$8:$8</definedName>
    <definedName name="_xlnm._FilterDatabase" localSheetId="5" hidden="1">'Language Index'!$A$7:$CY$874</definedName>
    <definedName name="Ccy">'Financial Statements'!$G$3</definedName>
    <definedName name="CIQWBGuid" hidden="1">"f06a5f1c-3009-4cf0-beb7-ec3dc88b60da"</definedName>
    <definedName name="CIQWBInfo" hidden="1">"{ ""CIQVersion"":""9.50.2716.4594"" }"</definedName>
    <definedName name="Conv">'Financial Statements'!$G$4</definedName>
    <definedName name="IQ_ADDIN" hidden="1">"AUTO"</definedName>
    <definedName name="IQ_ANNUAL_DIVIDEND" hidden="1">"c229"</definedName>
    <definedName name="IQ_AVG_PRICE_TARGET" hidden="1">"c82"</definedName>
    <definedName name="IQ_BONDRATING_FITCH" hidden="1">"c223"</definedName>
    <definedName name="IQ_BONDRATING_FITCH_DATE" hidden="1">"c241"</definedName>
    <definedName name="IQ_BONDRATING_SP" hidden="1">"c224"</definedName>
    <definedName name="IQ_BONDRATING_SP_DATE" hidden="1">"c242"</definedName>
    <definedName name="IQ_BOOK_VALUE" hidden="1">"c68"</definedName>
    <definedName name="IQ_CH">110000</definedName>
    <definedName name="IQ_CLASSB_OUTSTANDING_BS_DATE" hidden="1">"c1972"</definedName>
    <definedName name="IQ_CLASSB_OUTSTANDING_FILING_DATE" hidden="1">"c1974"</definedName>
    <definedName name="IQ_CONV_RATE" hidden="1">"c2192"</definedName>
    <definedName name="IQ_CQ">5000</definedName>
    <definedName name="IQ_CY">10000</definedName>
    <definedName name="IQ_DAILY">500000</definedName>
    <definedName name="IQ_DNTM" hidden="1">700000</definedName>
    <definedName name="IQ_EBIT_10K" hidden="1">"IQ_EBIT_10K"</definedName>
    <definedName name="IQ_EBIT_10Q" hidden="1">"IQ_EBIT_10Q"</definedName>
    <definedName name="IQ_EBIT_10Q1" hidden="1">"IQ_EBIT_10Q1"</definedName>
    <definedName name="IQ_EBIT_GROWTH_1" hidden="1">"c157"</definedName>
    <definedName name="IQ_EBIT_GROWTH_2" hidden="1">"c161"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GROWTH_1" hidden="1">"c156"</definedName>
    <definedName name="IQ_EBITDA_GROWTH_2" hidden="1">"c160"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EST_1" hidden="1">"c189"</definedName>
    <definedName name="IQ_EST_EPS_SURPRISE" hidden="1">"c1635"</definedName>
    <definedName name="IQ_EST_NUM_BUY_CIQ" hidden="1">"c3700"</definedName>
    <definedName name="IQ_EST_NUM_BUY_REUT" hidden="1">"c3869"</definedName>
    <definedName name="IQ_EST_NUM_BUY_THOM" hidden="1">"c5165"</definedName>
    <definedName name="IQ_EST_NUM_HOLD_CIQ" hidden="1">"c3702"</definedName>
    <definedName name="IQ_EST_NUM_HOLD_REUT" hidden="1">"c3871"</definedName>
    <definedName name="IQ_EST_NUM_HOLD_THOM" hidden="1">"c5167"</definedName>
    <definedName name="IQ_EST_NUM_OUTPERFORM_CIQ" hidden="1">"c3701"</definedName>
    <definedName name="IQ_EST_NUM_OUTPERFORM_REUT" hidden="1">"c3870"</definedName>
    <definedName name="IQ_EST_NUM_OUTPERFORM_THOM" hidden="1">"c5166"</definedName>
    <definedName name="IQ_EST_NUM_SELL_CIQ" hidden="1">"c3704"</definedName>
    <definedName name="IQ_EST_NUM_SELL_REUT" hidden="1">"c3873"</definedName>
    <definedName name="IQ_EST_NUM_SELL_THOM" hidden="1">"c5169"</definedName>
    <definedName name="IQ_EST_NUM_UNDERPERFORM_CIQ" hidden="1">"c3703"</definedName>
    <definedName name="IQ_EST_NUM_UNDERPERFORM_REUT" hidden="1">"c3872"</definedName>
    <definedName name="IQ_EST_NUM_UNDERPERFORM_THOM" hidden="1">"c5168"</definedName>
    <definedName name="IQ_EV_OVER_REVENUE_EST" hidden="1">"c165"</definedName>
    <definedName name="IQ_EV_OVER_REVENUE_EST_1" hidden="1">"c166"</definedName>
    <definedName name="IQ_EXPENSE_CODE_" hidden="1">"test"</definedName>
    <definedName name="IQ_FH">100000</definedName>
    <definedName name="IQ_FHLB_DUE_AFTER_FIVE" hidden="1">"c2086"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IVE_PERCENT_AMOUNT" hidden="1">"c240"</definedName>
    <definedName name="IQ_FIVEPERCENT_OWNER" hidden="1">"c239"</definedName>
    <definedName name="IQ_FLOAT" hidden="1">"c225"</definedName>
    <definedName name="IQ_FQ">500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Y">1000</definedName>
    <definedName name="IQ_FY_DATE" hidden="1">"IQ_FY_DATE"</definedName>
    <definedName name="IQ_INSIDER_3MTH_BOUGHT" hidden="1">"c1534"</definedName>
    <definedName name="IQ_INSIDER_3MTH_NET" hidden="1">"c1535"</definedName>
    <definedName name="IQ_INSIDER_3MTH_SOLD" hidden="1">"c1533"</definedName>
    <definedName name="IQ_INSIDER_6MTH_BOUGHT" hidden="1">"c1537"</definedName>
    <definedName name="IQ_INSIDER_6MTH_NET" hidden="1">"c1538"</definedName>
    <definedName name="IQ_INSIDER_6MTH_SOLD" hidden="1">"c1536"</definedName>
    <definedName name="IQ_INSIDER_AMOUNT" hidden="1">"c238"</definedName>
    <definedName name="IQ_INSTITUTIONAL_AMOUNT" hidden="1">"c236"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LAST_EBIT_MARGIN" hidden="1">"c151"</definedName>
    <definedName name="IQ_LAST_EBITDA_MARGIN" hidden="1">"c150"</definedName>
    <definedName name="IQ_LAST_GROSS_MARGIN" hidden="1">"c149"</definedName>
    <definedName name="IQ_LAST_NET_INC_MARGIN" hidden="1">"c152"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TM">2000</definedName>
    <definedName name="IQ_LTM_DATE" hidden="1">"IQ_LTM_DATE"</definedName>
    <definedName name="IQ_LTMMONTH" hidden="1">120000</definedName>
    <definedName name="IQ_MONTH">15000</definedName>
    <definedName name="IQ_MTD" hidden="1">800000</definedName>
    <definedName name="IQ_NAMES_REVISION_DATE_" hidden="1">44138.2104976852</definedName>
    <definedName name="IQ_NAV_ACT_OR_EST" hidden="1">"c2225"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GROWTH_1" hidden="1">"c158"</definedName>
    <definedName name="IQ_NET_INC_GROWTH_2" hidden="1">"c162"</definedName>
    <definedName name="IQ_NTM">6000</definedName>
    <definedName name="IQ_NUM_OFFICES" hidden="1">"c2088"</definedName>
    <definedName name="IQ_NUMBER_SHAREHOLDERS_CLASSB" hidden="1">"c1969"</definedName>
    <definedName name="IQ_OG_OTHER_ADJ" hidden="1">"c1999"</definedName>
    <definedName name="IQ_OG_TOTAL_OIL_PRODUCTON" hidden="1">"c2059"</definedName>
    <definedName name="IQ_OPENED55" hidden="1">1</definedName>
    <definedName name="IQ_OPTIONS_EXCERCISED" hidden="1">"c2116"</definedName>
    <definedName name="IQ_OUTSTANDING_FILING_DATE_TOTAL" hidden="1">"c2107"</definedName>
    <definedName name="IQ_PERCENT_FLOAT" hidden="1">"c227"</definedName>
    <definedName name="IQ_PRETAX_INC" hidden="1">"c16"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ICE_OVER_EPS_EST" hidden="1">"c174"</definedName>
    <definedName name="IQ_PRICE_OVER_EPS_EST_1" hidden="1">"c175"</definedName>
    <definedName name="IQ_PRICEDATETIME" hidden="1">"IQ_PRICEDATETIME"</definedName>
    <definedName name="IQ_PRIMARY_EPS_TYPE_THOM" hidden="1">"c5297"</definedName>
    <definedName name="IQ_QTD" hidden="1">750000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EST_1" hidden="1">"c190"</definedName>
    <definedName name="IQ_REVENUE_GROWTH_1" hidden="1">"c155"</definedName>
    <definedName name="IQ_REVENUE_GROWTH_2" hidden="1">"c159"</definedName>
    <definedName name="IQ_SHAREOUTSTANDING" hidden="1">"c1347"</definedName>
    <definedName name="IQ_SHORT_INTEREST_VOLUME" hidden="1">"c228"</definedName>
    <definedName name="IQ_TARGET_PRICE_LASTCLOSE" hidden="1">"c1855"</definedName>
    <definedName name="IQ_TODAY" hidden="1">0</definedName>
    <definedName name="IQ_TOTAL_PENSION_OBLIGATION" hidden="1">"c1292"</definedName>
    <definedName name="IQ_WEEK">50000</definedName>
    <definedName name="IQ_YTD">3000</definedName>
    <definedName name="IQ_YTDMONTH" hidden="1">130000</definedName>
    <definedName name="IQB_BOOKMARK_COUNT" hidden="1">3</definedName>
    <definedName name="IQB_BOOKMARK_LOCATION_0" hidden="1">'Financial Statements'!$A$9</definedName>
    <definedName name="IQB_BOOKMARK_LOCATION_1" hidden="1">'Financial Statements'!#REF!</definedName>
    <definedName name="IQB_BOOKMARK_LOCATION_2" hidden="1">'Financial Statements'!#REF!</definedName>
    <definedName name="IQB_CURRENT_BOOKMARK" hidden="1">1</definedName>
    <definedName name="IQRA7" hidden="1">"$A$8:$A$11"</definedName>
    <definedName name="IQRB7" hidden="1">"$B$8:$B$11"</definedName>
    <definedName name="IQRC7" hidden="1">"$C$8:$C$11"</definedName>
    <definedName name="IQRCapitalStructureDetailsU34" hidden="1">'[1]Capital Structure Details'!$U$35:$U$59</definedName>
    <definedName name="IQRCapitalStructureDetailsU5" hidden="1">'[1]Capital Structure Details'!$U$6:$U$30</definedName>
    <definedName name="IQRCapitalStructureDetailsU63" hidden="1">'[1]Capital Structure Details'!$U$64:$U$88</definedName>
    <definedName name="IQRD7" hidden="1">"$D$8:$D$11"</definedName>
    <definedName name="IQRDataA8" hidden="1">[2]Data!$A$9:$A$261</definedName>
    <definedName name="IQRDataB8" hidden="1">[2]Data!$B$9:$B$261</definedName>
    <definedName name="IQRDataC8" hidden="1">[2]Data!$C$9:$C$261</definedName>
    <definedName name="IQRE7" hidden="1">"$E$8:$E$11"</definedName>
    <definedName name="IQRF7" hidden="1">"$F$8:$F$11"</definedName>
    <definedName name="IQRG7" hidden="1">"$G$8:$G$11"</definedName>
    <definedName name="IQRH7" hidden="1">"$H$8:$H$11"</definedName>
    <definedName name="IQRI7" hidden="1">"$I$8:$I$11"</definedName>
    <definedName name="IQRJ7" hidden="1">"$J$8:$J$11"</definedName>
    <definedName name="Languages">OFFSET('Language Index'!$CY$8,,,'Language Index'!$A$5)</definedName>
    <definedName name="_xlnm.Print_Area" localSheetId="2">'Common Size'!$A$7:$P$75,'Common Size'!$A$77:$P$162</definedName>
    <definedName name="_xlnm.Print_Area" localSheetId="3">'Detailed Comps'!$A$1:$FP$24</definedName>
    <definedName name="_xlnm.Print_Area" localSheetId="1">'Financial Statements'!$A$7:$P$185,'Financial Statements'!$A$186:$N$279,'Financial Statements'!$A$280:$N$345,'Financial Statements'!#REF!,'Financial Statements'!#REF!</definedName>
    <definedName name="_xlnm.Print_Area" localSheetId="4">'Summary Comps'!$A$1:$Z$61</definedName>
    <definedName name="_xlnm.Print_Titles" localSheetId="2">'Common Size'!$7:$7</definedName>
    <definedName name="_xlnm.Print_Titles" localSheetId="3">'Detailed Comps'!$A:$H</definedName>
    <definedName name="_xlnm.Print_Titles" localSheetId="1">'Financial Statements'!$7:$7</definedName>
    <definedName name="_xlnm.Print_Titles" localSheetId="4">'Summary Comps'!$1:$1</definedName>
    <definedName name="SPWS_WBID">"0D145571-4AA7-4C6E-B8EB-4DF0FED2B8BC"</definedName>
    <definedName name="SPWS_WSID" localSheetId="2" hidden="1">"74B14380-D945-4DA9-AF4C-09AEA4A7FF0E"</definedName>
    <definedName name="SPWS_WSID" localSheetId="1" hidden="1">"57DB6723-E5BE-4B4A-A101-4BA9B54D516F"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37" l="1"/>
  <c r="Z1" i="37"/>
  <c r="S1" i="37"/>
  <c r="U1" i="37"/>
  <c r="T2" i="37"/>
  <c r="V1" i="37"/>
  <c r="N6" i="37"/>
  <c r="V4" i="37"/>
  <c r="P6" i="37"/>
  <c r="N10" i="37"/>
  <c r="G4" i="37"/>
  <c r="G3" i="37"/>
  <c r="N11" i="37"/>
  <c r="N12" i="37"/>
  <c r="N13" i="37"/>
  <c r="N14" i="37"/>
  <c r="N15" i="37"/>
  <c r="N16" i="37"/>
  <c r="N17" i="37"/>
  <c r="N18" i="37"/>
  <c r="N19" i="37"/>
  <c r="N20" i="37"/>
  <c r="N21" i="37"/>
  <c r="N22" i="37"/>
  <c r="N23" i="37"/>
  <c r="N24" i="37"/>
  <c r="N25" i="37"/>
  <c r="N26" i="37"/>
  <c r="N27" i="37"/>
  <c r="N28" i="37"/>
  <c r="N29" i="37"/>
  <c r="N30" i="37"/>
  <c r="N31" i="37"/>
  <c r="N32" i="37"/>
  <c r="N33" i="37"/>
  <c r="N34" i="37"/>
  <c r="N35" i="37"/>
  <c r="N36" i="37"/>
  <c r="N37" i="37"/>
  <c r="N38" i="37"/>
  <c r="N39" i="37"/>
  <c r="N40" i="37"/>
  <c r="N41" i="37"/>
  <c r="N42" i="37"/>
  <c r="N43" i="37"/>
  <c r="N44" i="37"/>
  <c r="N45" i="37"/>
  <c r="N46" i="37"/>
  <c r="N47" i="37"/>
  <c r="N48" i="37"/>
  <c r="N49" i="37"/>
  <c r="N50" i="37"/>
  <c r="N51" i="37"/>
  <c r="N52" i="37"/>
  <c r="N53" i="37"/>
  <c r="N54" i="37"/>
  <c r="N55" i="37"/>
  <c r="N56" i="37"/>
  <c r="N57" i="37"/>
  <c r="N58" i="37"/>
  <c r="N59" i="37"/>
  <c r="N60" i="37"/>
  <c r="N61" i="37"/>
  <c r="N62" i="37"/>
  <c r="N63" i="37"/>
  <c r="N64" i="37"/>
  <c r="N65" i="37"/>
  <c r="N66" i="37"/>
  <c r="N67" i="37"/>
  <c r="N68" i="37"/>
  <c r="N69" i="37"/>
  <c r="N70" i="37"/>
  <c r="N71" i="37"/>
  <c r="N72" i="37"/>
  <c r="N73" i="37"/>
  <c r="N74" i="37"/>
  <c r="N75" i="37"/>
  <c r="N76" i="37"/>
  <c r="N77" i="37"/>
  <c r="N78" i="37"/>
  <c r="N79" i="37"/>
  <c r="N80" i="37"/>
  <c r="N81" i="37"/>
  <c r="N82" i="37"/>
  <c r="N83" i="37"/>
  <c r="N84" i="37"/>
  <c r="N85" i="37"/>
  <c r="N86" i="37"/>
  <c r="N87" i="37"/>
  <c r="N88" i="37"/>
  <c r="N89" i="37"/>
  <c r="N90" i="37"/>
  <c r="N91" i="37"/>
  <c r="N92" i="37"/>
  <c r="N93" i="37"/>
  <c r="N94" i="37"/>
  <c r="N95" i="37"/>
  <c r="N96" i="37"/>
  <c r="N97" i="37"/>
  <c r="N98" i="37"/>
  <c r="N99" i="37"/>
  <c r="N100" i="37"/>
  <c r="N101" i="37"/>
  <c r="N102" i="37"/>
  <c r="N103" i="37"/>
  <c r="N104" i="37"/>
  <c r="N105" i="37"/>
  <c r="N106" i="37"/>
  <c r="N107" i="37"/>
  <c r="N108" i="37"/>
  <c r="N109" i="37"/>
  <c r="N110" i="37"/>
  <c r="N111" i="37"/>
  <c r="N112" i="37"/>
  <c r="N113" i="37"/>
  <c r="N114" i="37"/>
  <c r="N115" i="37"/>
  <c r="N116" i="37"/>
  <c r="N117" i="37"/>
  <c r="N118" i="37"/>
  <c r="N119" i="37"/>
  <c r="N120" i="37"/>
  <c r="N121" i="37"/>
  <c r="N122" i="37"/>
  <c r="N123" i="37"/>
  <c r="N124" i="37"/>
  <c r="N125" i="37"/>
  <c r="N126" i="37"/>
  <c r="N127" i="37"/>
  <c r="N128" i="37"/>
  <c r="N129" i="37"/>
  <c r="N130" i="37"/>
  <c r="N131" i="37"/>
  <c r="N132" i="37"/>
  <c r="N133" i="37"/>
  <c r="N134" i="37"/>
  <c r="N135" i="37"/>
  <c r="N136" i="37"/>
  <c r="N137" i="37"/>
  <c r="N138" i="37"/>
  <c r="N139" i="37"/>
  <c r="N140" i="37"/>
  <c r="N141" i="37"/>
  <c r="N142" i="37"/>
  <c r="N143" i="37"/>
  <c r="N144" i="37"/>
  <c r="N145" i="37"/>
  <c r="N146" i="37"/>
  <c r="N147" i="37"/>
  <c r="N148" i="37"/>
  <c r="N149" i="37"/>
  <c r="N150" i="37"/>
  <c r="N151" i="37"/>
  <c r="N152" i="37"/>
  <c r="N153" i="37"/>
  <c r="N154" i="37"/>
  <c r="N155" i="37"/>
  <c r="N156" i="37"/>
  <c r="N157" i="37"/>
  <c r="N158" i="37"/>
  <c r="N159" i="37"/>
  <c r="N160" i="37"/>
  <c r="N161" i="37"/>
  <c r="N162" i="37"/>
  <c r="N163" i="37"/>
  <c r="N164" i="37"/>
  <c r="N165" i="37"/>
  <c r="N166" i="37"/>
  <c r="N167" i="37"/>
  <c r="N168" i="37"/>
  <c r="N169" i="37"/>
  <c r="N170" i="37"/>
  <c r="N171" i="37"/>
  <c r="N172" i="37"/>
  <c r="N173" i="37"/>
  <c r="N174" i="37"/>
  <c r="N175" i="37"/>
  <c r="N176" i="37"/>
  <c r="N177" i="37"/>
  <c r="N178" i="37"/>
  <c r="N179" i="37"/>
  <c r="N180" i="37"/>
  <c r="N181" i="37"/>
  <c r="N182" i="37"/>
  <c r="N183" i="37"/>
  <c r="N184" i="37"/>
  <c r="N185" i="37"/>
  <c r="N186" i="37"/>
  <c r="N187" i="37"/>
  <c r="N188" i="37"/>
  <c r="N189" i="37"/>
  <c r="N190" i="37"/>
  <c r="N191" i="37"/>
  <c r="N192" i="37"/>
  <c r="N193" i="37"/>
  <c r="N194" i="37"/>
  <c r="N195" i="37"/>
  <c r="N196" i="37"/>
  <c r="N197" i="37"/>
  <c r="N198" i="37"/>
  <c r="N199" i="37"/>
  <c r="N200" i="37"/>
  <c r="N201" i="37"/>
  <c r="N202" i="37"/>
  <c r="N203" i="37"/>
  <c r="N204" i="37"/>
  <c r="N205" i="37"/>
  <c r="N206" i="37"/>
  <c r="N207" i="37"/>
  <c r="N208" i="37"/>
  <c r="N209" i="37"/>
  <c r="N210" i="37"/>
  <c r="N211" i="37"/>
  <c r="N212" i="37"/>
  <c r="N213" i="37"/>
  <c r="N214" i="37"/>
  <c r="N215" i="37"/>
  <c r="N216" i="37"/>
  <c r="N217" i="37"/>
  <c r="N218" i="37"/>
  <c r="N219" i="37"/>
  <c r="N220" i="37"/>
  <c r="N221" i="37"/>
  <c r="N222" i="37"/>
  <c r="N223" i="37"/>
  <c r="N224" i="37"/>
  <c r="N225" i="37"/>
  <c r="N226" i="37"/>
  <c r="N227" i="37"/>
  <c r="N228" i="37"/>
  <c r="N229" i="37"/>
  <c r="N230" i="37"/>
  <c r="N231" i="37"/>
  <c r="N232" i="37"/>
  <c r="N233" i="37"/>
  <c r="N234" i="37"/>
  <c r="N235" i="37"/>
  <c r="N236" i="37"/>
  <c r="N237" i="37"/>
  <c r="N238" i="37"/>
  <c r="N239" i="37"/>
  <c r="N240" i="37"/>
  <c r="N241" i="37"/>
  <c r="N242" i="37"/>
  <c r="N243" i="37"/>
  <c r="N244" i="37"/>
  <c r="N245" i="37"/>
  <c r="N246" i="37"/>
  <c r="N247" i="37"/>
  <c r="N248" i="37"/>
  <c r="N249" i="37"/>
  <c r="N250" i="37"/>
  <c r="N251" i="37"/>
  <c r="N252" i="37"/>
  <c r="N253" i="37"/>
  <c r="N254" i="37"/>
  <c r="N255" i="37"/>
  <c r="N256" i="37"/>
  <c r="N257" i="37"/>
  <c r="N258" i="37"/>
  <c r="N259" i="37"/>
  <c r="N260" i="37"/>
  <c r="N261" i="37"/>
  <c r="N262" i="37"/>
  <c r="N263" i="37"/>
  <c r="N264" i="37"/>
  <c r="N265" i="37"/>
  <c r="N266" i="37"/>
  <c r="N267" i="37"/>
  <c r="N268" i="37"/>
  <c r="N269" i="37"/>
  <c r="N270" i="37"/>
  <c r="N271" i="37"/>
  <c r="N272" i="37"/>
  <c r="N273" i="37"/>
  <c r="N274" i="37"/>
  <c r="N275" i="37"/>
  <c r="N276" i="37"/>
  <c r="N277" i="37"/>
  <c r="N278" i="37"/>
  <c r="N279" i="37"/>
  <c r="N280" i="37"/>
  <c r="N281" i="37"/>
  <c r="N282" i="37"/>
  <c r="N283" i="37"/>
  <c r="N284" i="37"/>
  <c r="N285" i="37"/>
  <c r="N286" i="37"/>
  <c r="N287" i="37"/>
  <c r="N288" i="37"/>
  <c r="N289" i="37"/>
  <c r="N290" i="37"/>
  <c r="N291" i="37"/>
  <c r="N292" i="37"/>
  <c r="N293" i="37"/>
  <c r="N294" i="37"/>
  <c r="N295" i="37"/>
  <c r="N296" i="37"/>
  <c r="N297" i="37"/>
  <c r="N298" i="37"/>
  <c r="N299" i="37"/>
  <c r="N300" i="37"/>
  <c r="N301" i="37"/>
  <c r="N302" i="37"/>
  <c r="N303" i="37"/>
  <c r="N304" i="37"/>
  <c r="N305" i="37"/>
  <c r="N306" i="37"/>
  <c r="N307" i="37"/>
  <c r="N308" i="37"/>
  <c r="N309" i="37"/>
  <c r="N310" i="37"/>
  <c r="N311" i="37"/>
  <c r="N312" i="37"/>
  <c r="N313" i="37"/>
  <c r="N314" i="37"/>
  <c r="N315" i="37"/>
  <c r="N316" i="37"/>
  <c r="N317" i="37"/>
  <c r="N318" i="37"/>
  <c r="N319" i="37"/>
  <c r="N320" i="37"/>
  <c r="N321" i="37"/>
  <c r="N322" i="37"/>
  <c r="N323" i="37"/>
  <c r="N324" i="37"/>
  <c r="N325" i="37"/>
  <c r="N326" i="37"/>
  <c r="N327" i="37"/>
  <c r="N328" i="37"/>
  <c r="N329" i="37"/>
  <c r="N330" i="37"/>
  <c r="N331" i="37"/>
  <c r="N332" i="37"/>
  <c r="N333" i="37"/>
  <c r="N334" i="37"/>
  <c r="N335" i="37"/>
  <c r="N336" i="37"/>
  <c r="N337" i="37"/>
  <c r="N338" i="37"/>
  <c r="N339" i="37"/>
  <c r="N340" i="37"/>
  <c r="N341" i="37"/>
  <c r="N342" i="37"/>
  <c r="N343" i="37"/>
  <c r="N344" i="37"/>
  <c r="N345" i="37"/>
  <c r="M6" i="37"/>
  <c r="K342" i="37"/>
  <c r="K343" i="37"/>
  <c r="K344" i="37"/>
  <c r="K345" i="37"/>
  <c r="K336" i="37"/>
  <c r="K337" i="37"/>
  <c r="K338" i="37"/>
  <c r="K339" i="37"/>
  <c r="K340" i="37"/>
  <c r="K341" i="37"/>
  <c r="K330" i="37"/>
  <c r="K331" i="37"/>
  <c r="K332" i="37"/>
  <c r="K333" i="37"/>
  <c r="K334" i="37"/>
  <c r="K335" i="37"/>
  <c r="K324" i="37"/>
  <c r="K325" i="37"/>
  <c r="K326" i="37"/>
  <c r="K327" i="37"/>
  <c r="K328" i="37"/>
  <c r="K329" i="37"/>
  <c r="K318" i="37"/>
  <c r="K319" i="37"/>
  <c r="K320" i="37"/>
  <c r="K321" i="37"/>
  <c r="K322" i="37"/>
  <c r="K323" i="37"/>
  <c r="K312" i="37"/>
  <c r="K313" i="37"/>
  <c r="K314" i="37"/>
  <c r="K315" i="37"/>
  <c r="K316" i="37"/>
  <c r="K317" i="37"/>
  <c r="K306" i="37"/>
  <c r="K307" i="37"/>
  <c r="K308" i="37"/>
  <c r="K309" i="37"/>
  <c r="K310" i="37"/>
  <c r="K311" i="37"/>
  <c r="K300" i="37"/>
  <c r="K301" i="37"/>
  <c r="K302" i="37"/>
  <c r="K303" i="37"/>
  <c r="K304" i="37"/>
  <c r="K305" i="37"/>
  <c r="K294" i="37"/>
  <c r="K295" i="37"/>
  <c r="K296" i="37"/>
  <c r="K297" i="37"/>
  <c r="K298" i="37"/>
  <c r="K299" i="37"/>
  <c r="K288" i="37"/>
  <c r="K289" i="37"/>
  <c r="K290" i="37"/>
  <c r="K291" i="37"/>
  <c r="K292" i="37"/>
  <c r="K293" i="37"/>
  <c r="K282" i="37"/>
  <c r="K283" i="37"/>
  <c r="K284" i="37"/>
  <c r="K285" i="37"/>
  <c r="K286" i="37"/>
  <c r="K287" i="37"/>
  <c r="K276" i="37"/>
  <c r="K277" i="37"/>
  <c r="K278" i="37"/>
  <c r="K279" i="37"/>
  <c r="K280" i="37"/>
  <c r="K281" i="37"/>
  <c r="K270" i="37"/>
  <c r="K271" i="37"/>
  <c r="K272" i="37"/>
  <c r="K273" i="37"/>
  <c r="K274" i="37"/>
  <c r="K275" i="37"/>
  <c r="K264" i="37"/>
  <c r="K265" i="37"/>
  <c r="K266" i="37"/>
  <c r="K267" i="37"/>
  <c r="K268" i="37"/>
  <c r="K269" i="37"/>
  <c r="K258" i="37"/>
  <c r="K259" i="37"/>
  <c r="K260" i="37"/>
  <c r="K261" i="37"/>
  <c r="K262" i="37"/>
  <c r="K263" i="37"/>
  <c r="K252" i="37"/>
  <c r="K253" i="37"/>
  <c r="K254" i="37"/>
  <c r="K255" i="37"/>
  <c r="K256" i="37"/>
  <c r="K257" i="37"/>
  <c r="K246" i="37"/>
  <c r="K247" i="37"/>
  <c r="K248" i="37"/>
  <c r="K249" i="37"/>
  <c r="K250" i="37"/>
  <c r="K251" i="37"/>
  <c r="K240" i="37"/>
  <c r="K241" i="37"/>
  <c r="K242" i="37"/>
  <c r="K243" i="37"/>
  <c r="K244" i="37"/>
  <c r="K245" i="37"/>
  <c r="K234" i="37"/>
  <c r="K235" i="37"/>
  <c r="K236" i="37"/>
  <c r="K237" i="37"/>
  <c r="K238" i="37"/>
  <c r="K239" i="37"/>
  <c r="K228" i="37"/>
  <c r="K229" i="37"/>
  <c r="K230" i="37"/>
  <c r="K231" i="37"/>
  <c r="K232" i="37"/>
  <c r="K233" i="37"/>
  <c r="K222" i="37"/>
  <c r="K223" i="37"/>
  <c r="K224" i="37"/>
  <c r="K225" i="37"/>
  <c r="K226" i="37"/>
  <c r="K227" i="37"/>
  <c r="K216" i="37"/>
  <c r="K217" i="37"/>
  <c r="K218" i="37"/>
  <c r="K219" i="37"/>
  <c r="K220" i="37"/>
  <c r="K221" i="37"/>
  <c r="K210" i="37"/>
  <c r="K211" i="37"/>
  <c r="K212" i="37"/>
  <c r="K213" i="37"/>
  <c r="K214" i="37"/>
  <c r="K215" i="37"/>
  <c r="K204" i="37"/>
  <c r="K205" i="37"/>
  <c r="K206" i="37"/>
  <c r="K207" i="37"/>
  <c r="K208" i="37"/>
  <c r="K209" i="37"/>
  <c r="K198" i="37"/>
  <c r="K199" i="37"/>
  <c r="K200" i="37"/>
  <c r="K201" i="37"/>
  <c r="K202" i="37"/>
  <c r="K203" i="37"/>
  <c r="K192" i="37"/>
  <c r="K193" i="37"/>
  <c r="K194" i="37"/>
  <c r="K195" i="37"/>
  <c r="K196" i="37"/>
  <c r="K197" i="37"/>
  <c r="K186" i="37"/>
  <c r="K187" i="37"/>
  <c r="K188" i="37"/>
  <c r="K189" i="37"/>
  <c r="K190" i="37"/>
  <c r="K191" i="37"/>
  <c r="K180" i="37"/>
  <c r="K181" i="37"/>
  <c r="K182" i="37"/>
  <c r="K183" i="37"/>
  <c r="K184" i="37"/>
  <c r="K185" i="37"/>
  <c r="K174" i="37"/>
  <c r="K175" i="37"/>
  <c r="K176" i="37"/>
  <c r="K177" i="37"/>
  <c r="K178" i="37"/>
  <c r="K179" i="37"/>
  <c r="K168" i="37"/>
  <c r="K169" i="37"/>
  <c r="K170" i="37"/>
  <c r="K171" i="37"/>
  <c r="K172" i="37"/>
  <c r="K173" i="37"/>
  <c r="K162" i="37"/>
  <c r="K163" i="37"/>
  <c r="K164" i="37"/>
  <c r="K165" i="37"/>
  <c r="K166" i="37"/>
  <c r="K167" i="37"/>
  <c r="K156" i="37"/>
  <c r="K157" i="37"/>
  <c r="K158" i="37"/>
  <c r="K159" i="37"/>
  <c r="K160" i="37"/>
  <c r="K161" i="37"/>
  <c r="K150" i="37"/>
  <c r="K151" i="37"/>
  <c r="K152" i="37"/>
  <c r="K153" i="37"/>
  <c r="K154" i="37"/>
  <c r="K155" i="37"/>
  <c r="K144" i="37"/>
  <c r="K145" i="37"/>
  <c r="K146" i="37"/>
  <c r="K147" i="37"/>
  <c r="K148" i="37"/>
  <c r="K149" i="37"/>
  <c r="K138" i="37"/>
  <c r="K139" i="37"/>
  <c r="K140" i="37"/>
  <c r="K141" i="37"/>
  <c r="K142" i="37"/>
  <c r="K143" i="37"/>
  <c r="K132" i="37"/>
  <c r="K133" i="37"/>
  <c r="K134" i="37"/>
  <c r="K135" i="37"/>
  <c r="K136" i="37"/>
  <c r="K137" i="37"/>
  <c r="K126" i="37"/>
  <c r="K127" i="37"/>
  <c r="K128" i="37"/>
  <c r="K129" i="37"/>
  <c r="K130" i="37"/>
  <c r="K131" i="37"/>
  <c r="K120" i="37"/>
  <c r="K121" i="37"/>
  <c r="K122" i="37"/>
  <c r="K123" i="37"/>
  <c r="K124" i="37"/>
  <c r="K125" i="37"/>
  <c r="K114" i="37"/>
  <c r="K115" i="37"/>
  <c r="K116" i="37"/>
  <c r="K117" i="37"/>
  <c r="K118" i="37"/>
  <c r="K119" i="37"/>
  <c r="K108" i="37"/>
  <c r="K109" i="37"/>
  <c r="K110" i="37"/>
  <c r="K111" i="37"/>
  <c r="K112" i="37"/>
  <c r="K113" i="37"/>
  <c r="K102" i="37"/>
  <c r="K103" i="37"/>
  <c r="K104" i="37"/>
  <c r="K105" i="37"/>
  <c r="K106" i="37"/>
  <c r="K107" i="37"/>
  <c r="K96" i="37"/>
  <c r="K97" i="37"/>
  <c r="K98" i="37"/>
  <c r="K99" i="37"/>
  <c r="K100" i="37"/>
  <c r="K101" i="37"/>
  <c r="K90" i="37"/>
  <c r="K91" i="37"/>
  <c r="K92" i="37"/>
  <c r="K93" i="37"/>
  <c r="K94" i="37"/>
  <c r="K95" i="37"/>
  <c r="K84" i="37"/>
  <c r="K85" i="37"/>
  <c r="K86" i="37"/>
  <c r="K87" i="37"/>
  <c r="K88" i="37"/>
  <c r="K89" i="37"/>
  <c r="K78" i="37"/>
  <c r="K79" i="37"/>
  <c r="K80" i="37"/>
  <c r="K81" i="37"/>
  <c r="K82" i="37"/>
  <c r="K83" i="37"/>
  <c r="K72" i="37"/>
  <c r="K73" i="37"/>
  <c r="K74" i="37"/>
  <c r="K75" i="37"/>
  <c r="K76" i="37"/>
  <c r="K77" i="37"/>
  <c r="K66" i="37"/>
  <c r="K67" i="37"/>
  <c r="K68" i="37"/>
  <c r="K69" i="37"/>
  <c r="K70" i="37"/>
  <c r="K71" i="37"/>
  <c r="K60" i="37"/>
  <c r="K61" i="37"/>
  <c r="K62" i="37"/>
  <c r="K63" i="37"/>
  <c r="K64" i="37"/>
  <c r="K65" i="37"/>
  <c r="K54" i="37"/>
  <c r="K55" i="37"/>
  <c r="K56" i="37"/>
  <c r="K57" i="37"/>
  <c r="K58" i="37"/>
  <c r="K59" i="37"/>
  <c r="K48" i="37"/>
  <c r="K49" i="37"/>
  <c r="K50" i="37"/>
  <c r="K51" i="37"/>
  <c r="K52" i="37"/>
  <c r="K53" i="37"/>
  <c r="K42" i="37"/>
  <c r="K43" i="37"/>
  <c r="K44" i="37"/>
  <c r="K45" i="37"/>
  <c r="K46" i="37"/>
  <c r="K47" i="37"/>
  <c r="K36" i="37"/>
  <c r="K37" i="37"/>
  <c r="K38" i="37"/>
  <c r="K39" i="37"/>
  <c r="K40" i="37"/>
  <c r="K41" i="37"/>
  <c r="K30" i="37"/>
  <c r="K31" i="37"/>
  <c r="K32" i="37"/>
  <c r="K33" i="37"/>
  <c r="K34" i="37"/>
  <c r="K35" i="37"/>
  <c r="K24" i="37"/>
  <c r="K25" i="37"/>
  <c r="K26" i="37"/>
  <c r="K27" i="37"/>
  <c r="K28" i="37"/>
  <c r="K29" i="37"/>
  <c r="K18" i="37"/>
  <c r="K19" i="37"/>
  <c r="K20" i="37"/>
  <c r="K21" i="37"/>
  <c r="K22" i="37"/>
  <c r="K23" i="37"/>
  <c r="K12" i="37"/>
  <c r="K13" i="37"/>
  <c r="K14" i="37"/>
  <c r="K15" i="37"/>
  <c r="K16" i="37"/>
  <c r="K17" i="37"/>
  <c r="L6" i="37"/>
  <c r="K6" i="37"/>
  <c r="J6" i="37"/>
  <c r="I6" i="37"/>
  <c r="H6" i="37"/>
  <c r="G6" i="37"/>
  <c r="F6" i="37"/>
  <c r="E6" i="37"/>
  <c r="D6" i="37"/>
  <c r="A21" i="38"/>
  <c r="A9" i="38"/>
  <c r="I5" i="38"/>
  <c r="FR9" i="38"/>
  <c r="A10" i="38"/>
  <c r="FR10" i="38"/>
  <c r="A7" i="38"/>
  <c r="FR7" i="38"/>
  <c r="A8" i="38"/>
  <c r="FR8" i="38"/>
  <c r="A13" i="38"/>
  <c r="FR13" i="38"/>
  <c r="A11" i="38"/>
  <c r="FR11" i="38"/>
  <c r="BE11" i="38"/>
  <c r="A14" i="38"/>
  <c r="FR14" i="38"/>
  <c r="A12" i="38"/>
  <c r="FR12" i="38"/>
  <c r="C11" i="37"/>
  <c r="D11" i="37"/>
  <c r="E11" i="37"/>
  <c r="F11" i="37"/>
  <c r="G11" i="37"/>
  <c r="B11" i="37"/>
  <c r="E12" i="37"/>
  <c r="H11" i="37"/>
  <c r="I11" i="37"/>
  <c r="J11" i="37"/>
  <c r="K11" i="37"/>
  <c r="L11" i="37"/>
  <c r="I12" i="37"/>
  <c r="J12" i="37"/>
  <c r="B12" i="37"/>
  <c r="C12" i="37"/>
  <c r="D12" i="37"/>
  <c r="B13" i="37"/>
  <c r="C13" i="37"/>
  <c r="F12" i="37"/>
  <c r="G12" i="37"/>
  <c r="H12" i="37"/>
  <c r="E13" i="37"/>
  <c r="F13" i="37"/>
  <c r="G13" i="37"/>
  <c r="H13" i="37"/>
  <c r="L12" i="37"/>
  <c r="I13" i="37"/>
  <c r="J13" i="37"/>
  <c r="L13" i="37"/>
  <c r="D13" i="37"/>
  <c r="B14" i="37"/>
  <c r="C14" i="37"/>
  <c r="D14" i="37"/>
  <c r="E14" i="37"/>
  <c r="F14" i="37"/>
  <c r="C15" i="37"/>
  <c r="D15" i="37"/>
  <c r="G14" i="37"/>
  <c r="H14" i="37"/>
  <c r="I14" i="37"/>
  <c r="J14" i="37"/>
  <c r="G15" i="37"/>
  <c r="H15" i="37"/>
  <c r="I15" i="37"/>
  <c r="L14" i="37"/>
  <c r="B15" i="37"/>
  <c r="L15" i="37"/>
  <c r="B16" i="37"/>
  <c r="E15" i="37"/>
  <c r="F15" i="37"/>
  <c r="C16" i="37"/>
  <c r="D16" i="37"/>
  <c r="E16" i="37"/>
  <c r="F16" i="37"/>
  <c r="G16" i="37"/>
  <c r="J15" i="37"/>
  <c r="E17" i="37"/>
  <c r="H16" i="37"/>
  <c r="I16" i="37"/>
  <c r="J16" i="37"/>
  <c r="L16" i="37"/>
  <c r="I17" i="37"/>
  <c r="J17" i="37"/>
  <c r="B17" i="37"/>
  <c r="C17" i="37"/>
  <c r="D17" i="37"/>
  <c r="B18" i="37"/>
  <c r="C18" i="37"/>
  <c r="F17" i="37"/>
  <c r="G17" i="37"/>
  <c r="H17" i="37"/>
  <c r="E18" i="37"/>
  <c r="F18" i="37"/>
  <c r="G18" i="37"/>
  <c r="H18" i="37"/>
  <c r="L17" i="37"/>
  <c r="E19" i="37"/>
  <c r="F19" i="37"/>
  <c r="I18" i="37"/>
  <c r="J18" i="37"/>
  <c r="D18" i="37"/>
  <c r="I19" i="37"/>
  <c r="J19" i="37"/>
  <c r="B19" i="37"/>
  <c r="C19" i="37"/>
  <c r="D19" i="37"/>
  <c r="B20" i="37"/>
  <c r="C20" i="37"/>
  <c r="D20" i="37"/>
  <c r="G19" i="37"/>
  <c r="H19" i="37"/>
  <c r="E20" i="37"/>
  <c r="F20" i="37"/>
  <c r="G20" i="37"/>
  <c r="H20" i="37"/>
  <c r="I20" i="37"/>
  <c r="L19" i="37"/>
  <c r="G21" i="37"/>
  <c r="J20" i="37"/>
  <c r="L20" i="37"/>
  <c r="B21" i="37"/>
  <c r="L21" i="37"/>
  <c r="C21" i="37"/>
  <c r="D21" i="37"/>
  <c r="E21" i="37"/>
  <c r="F21" i="37"/>
  <c r="C22" i="37"/>
  <c r="D22" i="37"/>
  <c r="E22" i="37"/>
  <c r="H21" i="37"/>
  <c r="I21" i="37"/>
  <c r="J21" i="37"/>
  <c r="G22" i="37"/>
  <c r="H22" i="37"/>
  <c r="I22" i="37"/>
  <c r="J22" i="37"/>
  <c r="B22" i="37"/>
  <c r="L22" i="37"/>
  <c r="B23" i="37"/>
  <c r="C23" i="37"/>
  <c r="F22" i="37"/>
  <c r="D23" i="37"/>
  <c r="E23" i="37"/>
  <c r="F23" i="37"/>
  <c r="G23" i="37"/>
  <c r="H23" i="37"/>
  <c r="E24" i="37"/>
  <c r="F24" i="37"/>
  <c r="I23" i="37"/>
  <c r="J23" i="37"/>
  <c r="L23" i="37"/>
  <c r="I24" i="37"/>
  <c r="J24" i="37"/>
  <c r="B24" i="37"/>
  <c r="C24" i="37"/>
  <c r="D24" i="37"/>
  <c r="B25" i="37"/>
  <c r="C25" i="37"/>
  <c r="D25" i="37"/>
  <c r="G24" i="37"/>
  <c r="H24" i="37"/>
  <c r="E25" i="37"/>
  <c r="F25" i="37"/>
  <c r="G25" i="37"/>
  <c r="H25" i="37"/>
  <c r="I25" i="37"/>
  <c r="L24" i="37"/>
  <c r="G26" i="37"/>
  <c r="J25" i="37"/>
  <c r="L25" i="37"/>
  <c r="B26" i="37"/>
  <c r="L26" i="37"/>
  <c r="C26" i="37"/>
  <c r="D26" i="37"/>
  <c r="E26" i="37"/>
  <c r="F26" i="37"/>
  <c r="C27" i="37"/>
  <c r="D27" i="37"/>
  <c r="E27" i="37"/>
  <c r="H26" i="37"/>
  <c r="I26" i="37"/>
  <c r="J26" i="37"/>
  <c r="G27" i="37"/>
  <c r="H27" i="37"/>
  <c r="I27" i="37"/>
  <c r="J27" i="37"/>
  <c r="B27" i="37"/>
  <c r="L27" i="37"/>
  <c r="B28" i="37"/>
  <c r="C28" i="37"/>
  <c r="F27" i="37"/>
  <c r="D28" i="37"/>
  <c r="E28" i="37"/>
  <c r="F28" i="37"/>
  <c r="G28" i="37"/>
  <c r="H28" i="37"/>
  <c r="E29" i="37"/>
  <c r="F29" i="37"/>
  <c r="I28" i="37"/>
  <c r="J28" i="37"/>
  <c r="L28" i="37"/>
  <c r="I29" i="37"/>
  <c r="J29" i="37"/>
  <c r="B29" i="37"/>
  <c r="C29" i="37"/>
  <c r="D29" i="37"/>
  <c r="B30" i="37"/>
  <c r="C30" i="37"/>
  <c r="D30" i="37"/>
  <c r="G29" i="37"/>
  <c r="H29" i="37"/>
  <c r="E30" i="37"/>
  <c r="F30" i="37"/>
  <c r="G30" i="37"/>
  <c r="H30" i="37"/>
  <c r="I30" i="37"/>
  <c r="L29" i="37"/>
  <c r="G31" i="37"/>
  <c r="J30" i="37"/>
  <c r="L30" i="37"/>
  <c r="B31" i="37"/>
  <c r="L31" i="37"/>
  <c r="C31" i="37"/>
  <c r="D31" i="37"/>
  <c r="E31" i="37"/>
  <c r="F31" i="37"/>
  <c r="C32" i="37"/>
  <c r="D32" i="37"/>
  <c r="E32" i="37"/>
  <c r="H31" i="37"/>
  <c r="I31" i="37"/>
  <c r="J31" i="37"/>
  <c r="G32" i="37"/>
  <c r="H32" i="37"/>
  <c r="I32" i="37"/>
  <c r="J32" i="37"/>
  <c r="B32" i="37"/>
  <c r="L32" i="37"/>
  <c r="B33" i="37"/>
  <c r="C33" i="37"/>
  <c r="F32" i="37"/>
  <c r="D33" i="37"/>
  <c r="E33" i="37"/>
  <c r="F33" i="37"/>
  <c r="G33" i="37"/>
  <c r="H33" i="37"/>
  <c r="E34" i="37"/>
  <c r="F34" i="37"/>
  <c r="I33" i="37"/>
  <c r="J33" i="37"/>
  <c r="L33" i="37"/>
  <c r="I34" i="37"/>
  <c r="J34" i="37"/>
  <c r="B34" i="37"/>
  <c r="C34" i="37"/>
  <c r="D34" i="37"/>
  <c r="B35" i="37"/>
  <c r="C35" i="37"/>
  <c r="D35" i="37"/>
  <c r="G34" i="37"/>
  <c r="H34" i="37"/>
  <c r="E35" i="37"/>
  <c r="F35" i="37"/>
  <c r="G35" i="37"/>
  <c r="H35" i="37"/>
  <c r="I35" i="37"/>
  <c r="L34" i="37"/>
  <c r="G36" i="37"/>
  <c r="J35" i="37"/>
  <c r="L35" i="37"/>
  <c r="B36" i="37"/>
  <c r="L36" i="37"/>
  <c r="C36" i="37"/>
  <c r="D36" i="37"/>
  <c r="E36" i="37"/>
  <c r="F36" i="37"/>
  <c r="C37" i="37"/>
  <c r="D37" i="37"/>
  <c r="E37" i="37"/>
  <c r="H36" i="37"/>
  <c r="I36" i="37"/>
  <c r="J36" i="37"/>
  <c r="G37" i="37"/>
  <c r="H37" i="37"/>
  <c r="I37" i="37"/>
  <c r="J37" i="37"/>
  <c r="B37" i="37"/>
  <c r="L37" i="37"/>
  <c r="B38" i="37"/>
  <c r="C38" i="37"/>
  <c r="F37" i="37"/>
  <c r="D38" i="37"/>
  <c r="E38" i="37"/>
  <c r="F38" i="37"/>
  <c r="G38" i="37"/>
  <c r="H38" i="37"/>
  <c r="E39" i="37"/>
  <c r="F39" i="37"/>
  <c r="I38" i="37"/>
  <c r="J38" i="37"/>
  <c r="L38" i="37"/>
  <c r="I39" i="37"/>
  <c r="J39" i="37"/>
  <c r="B39" i="37"/>
  <c r="C39" i="37"/>
  <c r="D39" i="37"/>
  <c r="B40" i="37"/>
  <c r="C40" i="37"/>
  <c r="D40" i="37"/>
  <c r="G39" i="37"/>
  <c r="H39" i="37"/>
  <c r="E40" i="37"/>
  <c r="F40" i="37"/>
  <c r="G40" i="37"/>
  <c r="H40" i="37"/>
  <c r="I40" i="37"/>
  <c r="L39" i="37"/>
  <c r="G41" i="37"/>
  <c r="J40" i="37"/>
  <c r="L40" i="37"/>
  <c r="B41" i="37"/>
  <c r="L41" i="37"/>
  <c r="C41" i="37"/>
  <c r="D41" i="37"/>
  <c r="E41" i="37"/>
  <c r="F41" i="37"/>
  <c r="C42" i="37"/>
  <c r="D42" i="37"/>
  <c r="E42" i="37"/>
  <c r="H41" i="37"/>
  <c r="I41" i="37"/>
  <c r="J41" i="37"/>
  <c r="G42" i="37"/>
  <c r="H42" i="37"/>
  <c r="I42" i="37"/>
  <c r="J42" i="37"/>
  <c r="B42" i="37"/>
  <c r="L42" i="37"/>
  <c r="B43" i="37"/>
  <c r="C43" i="37"/>
  <c r="F42" i="37"/>
  <c r="D43" i="37"/>
  <c r="E43" i="37"/>
  <c r="F43" i="37"/>
  <c r="G43" i="37"/>
  <c r="H43" i="37"/>
  <c r="E44" i="37"/>
  <c r="F44" i="37"/>
  <c r="I43" i="37"/>
  <c r="J43" i="37"/>
  <c r="L43" i="37"/>
  <c r="I44" i="37"/>
  <c r="J44" i="37"/>
  <c r="B44" i="37"/>
  <c r="C44" i="37"/>
  <c r="D44" i="37"/>
  <c r="B45" i="37"/>
  <c r="C45" i="37"/>
  <c r="D45" i="37"/>
  <c r="G44" i="37"/>
  <c r="H44" i="37"/>
  <c r="E45" i="37"/>
  <c r="F45" i="37"/>
  <c r="G45" i="37"/>
  <c r="H45" i="37"/>
  <c r="I45" i="37"/>
  <c r="L44" i="37"/>
  <c r="G46" i="37"/>
  <c r="J45" i="37"/>
  <c r="L45" i="37"/>
  <c r="B46" i="37"/>
  <c r="L46" i="37"/>
  <c r="C46" i="37"/>
  <c r="D46" i="37"/>
  <c r="E46" i="37"/>
  <c r="F46" i="37"/>
  <c r="C47" i="37"/>
  <c r="D47" i="37"/>
  <c r="E47" i="37"/>
  <c r="H46" i="37"/>
  <c r="I46" i="37"/>
  <c r="J46" i="37"/>
  <c r="G47" i="37"/>
  <c r="H47" i="37"/>
  <c r="I47" i="37"/>
  <c r="J47" i="37"/>
  <c r="B47" i="37"/>
  <c r="L47" i="37"/>
  <c r="B48" i="37"/>
  <c r="C48" i="37"/>
  <c r="F47" i="37"/>
  <c r="D48" i="37"/>
  <c r="E48" i="37"/>
  <c r="F48" i="37"/>
  <c r="G48" i="37"/>
  <c r="H48" i="37"/>
  <c r="E49" i="37"/>
  <c r="F49" i="37"/>
  <c r="I48" i="37"/>
  <c r="J48" i="37"/>
  <c r="L48" i="37"/>
  <c r="I49" i="37"/>
  <c r="J49" i="37"/>
  <c r="B49" i="37"/>
  <c r="C49" i="37"/>
  <c r="D49" i="37"/>
  <c r="B50" i="37"/>
  <c r="C50" i="37"/>
  <c r="D50" i="37"/>
  <c r="G49" i="37"/>
  <c r="H49" i="37"/>
  <c r="E50" i="37"/>
  <c r="F50" i="37"/>
  <c r="G50" i="37"/>
  <c r="H50" i="37"/>
  <c r="I50" i="37"/>
  <c r="L49" i="37"/>
  <c r="G51" i="37"/>
  <c r="J50" i="37"/>
  <c r="L50" i="37"/>
  <c r="B51" i="37"/>
  <c r="L51" i="37"/>
  <c r="C51" i="37"/>
  <c r="D51" i="37"/>
  <c r="E51" i="37"/>
  <c r="F51" i="37"/>
  <c r="C52" i="37"/>
  <c r="D52" i="37"/>
  <c r="E52" i="37"/>
  <c r="H51" i="37"/>
  <c r="I51" i="37"/>
  <c r="J51" i="37"/>
  <c r="G52" i="37"/>
  <c r="H52" i="37"/>
  <c r="I52" i="37"/>
  <c r="J52" i="37"/>
  <c r="B52" i="37"/>
  <c r="L52" i="37"/>
  <c r="B53" i="37"/>
  <c r="C53" i="37"/>
  <c r="F52" i="37"/>
  <c r="D53" i="37"/>
  <c r="E53" i="37"/>
  <c r="F53" i="37"/>
  <c r="G53" i="37"/>
  <c r="H53" i="37"/>
  <c r="E54" i="37"/>
  <c r="F54" i="37"/>
  <c r="I53" i="37"/>
  <c r="J53" i="37"/>
  <c r="L53" i="37"/>
  <c r="I54" i="37"/>
  <c r="J54" i="37"/>
  <c r="B54" i="37"/>
  <c r="C54" i="37"/>
  <c r="D54" i="37"/>
  <c r="B55" i="37"/>
  <c r="C55" i="37"/>
  <c r="D55" i="37"/>
  <c r="G54" i="37"/>
  <c r="H54" i="37"/>
  <c r="E55" i="37"/>
  <c r="F55" i="37"/>
  <c r="G55" i="37"/>
  <c r="H55" i="37"/>
  <c r="I55" i="37"/>
  <c r="L54" i="37"/>
  <c r="G56" i="37"/>
  <c r="J55" i="37"/>
  <c r="L55" i="37"/>
  <c r="B56" i="37"/>
  <c r="L56" i="37"/>
  <c r="C56" i="37"/>
  <c r="D56" i="37"/>
  <c r="E56" i="37"/>
  <c r="F56" i="37"/>
  <c r="C57" i="37"/>
  <c r="D57" i="37"/>
  <c r="E57" i="37"/>
  <c r="H56" i="37"/>
  <c r="I56" i="37"/>
  <c r="J56" i="37"/>
  <c r="G57" i="37"/>
  <c r="H57" i="37"/>
  <c r="I57" i="37"/>
  <c r="J57" i="37"/>
  <c r="B57" i="37"/>
  <c r="L57" i="37"/>
  <c r="B58" i="37"/>
  <c r="C58" i="37"/>
  <c r="F57" i="37"/>
  <c r="D58" i="37"/>
  <c r="E58" i="37"/>
  <c r="F58" i="37"/>
  <c r="G58" i="37"/>
  <c r="H58" i="37"/>
  <c r="E59" i="37"/>
  <c r="F59" i="37"/>
  <c r="I58" i="37"/>
  <c r="J58" i="37"/>
  <c r="L58" i="37"/>
  <c r="I59" i="37"/>
  <c r="J59" i="37"/>
  <c r="B59" i="37"/>
  <c r="C59" i="37"/>
  <c r="D59" i="37"/>
  <c r="B60" i="37"/>
  <c r="C60" i="37"/>
  <c r="D60" i="37"/>
  <c r="G59" i="37"/>
  <c r="H59" i="37"/>
  <c r="E60" i="37"/>
  <c r="F60" i="37"/>
  <c r="G60" i="37"/>
  <c r="H60" i="37"/>
  <c r="I60" i="37"/>
  <c r="L59" i="37"/>
  <c r="G61" i="37"/>
  <c r="J60" i="37"/>
  <c r="L60" i="37"/>
  <c r="B61" i="37"/>
  <c r="L61" i="37"/>
  <c r="C61" i="37"/>
  <c r="D61" i="37"/>
  <c r="E61" i="37"/>
  <c r="F61" i="37"/>
  <c r="C62" i="37"/>
  <c r="D62" i="37"/>
  <c r="E62" i="37"/>
  <c r="H61" i="37"/>
  <c r="I61" i="37"/>
  <c r="J61" i="37"/>
  <c r="G62" i="37"/>
  <c r="H62" i="37"/>
  <c r="I62" i="37"/>
  <c r="J62" i="37"/>
  <c r="B62" i="37"/>
  <c r="L62" i="37"/>
  <c r="B63" i="37"/>
  <c r="C63" i="37"/>
  <c r="F62" i="37"/>
  <c r="D63" i="37"/>
  <c r="E63" i="37"/>
  <c r="F63" i="37"/>
  <c r="G63" i="37"/>
  <c r="H63" i="37"/>
  <c r="E64" i="37"/>
  <c r="F64" i="37"/>
  <c r="I63" i="37"/>
  <c r="J63" i="37"/>
  <c r="L63" i="37"/>
  <c r="I64" i="37"/>
  <c r="J64" i="37"/>
  <c r="B64" i="37"/>
  <c r="C64" i="37"/>
  <c r="D64" i="37"/>
  <c r="B65" i="37"/>
  <c r="C65" i="37"/>
  <c r="D65" i="37"/>
  <c r="G64" i="37"/>
  <c r="H64" i="37"/>
  <c r="E65" i="37"/>
  <c r="F65" i="37"/>
  <c r="G65" i="37"/>
  <c r="H65" i="37"/>
  <c r="I65" i="37"/>
  <c r="L64" i="37"/>
  <c r="G66" i="37"/>
  <c r="J65" i="37"/>
  <c r="L65" i="37"/>
  <c r="B66" i="37"/>
  <c r="L66" i="37"/>
  <c r="C66" i="37"/>
  <c r="D66" i="37"/>
  <c r="E66" i="37"/>
  <c r="F66" i="37"/>
  <c r="C67" i="37"/>
  <c r="D67" i="37"/>
  <c r="E67" i="37"/>
  <c r="H66" i="37"/>
  <c r="I66" i="37"/>
  <c r="J66" i="37"/>
  <c r="G67" i="37"/>
  <c r="H67" i="37"/>
  <c r="I67" i="37"/>
  <c r="J67" i="37"/>
  <c r="B67" i="37"/>
  <c r="L67" i="37"/>
  <c r="B68" i="37"/>
  <c r="C68" i="37"/>
  <c r="F67" i="37"/>
  <c r="D68" i="37"/>
  <c r="E68" i="37"/>
  <c r="F68" i="37"/>
  <c r="G68" i="37"/>
  <c r="H68" i="37"/>
  <c r="C69" i="37"/>
  <c r="D69" i="37"/>
  <c r="E69" i="37"/>
  <c r="F69" i="37"/>
  <c r="I68" i="37"/>
  <c r="J68" i="37"/>
  <c r="G69" i="37"/>
  <c r="H69" i="37"/>
  <c r="I69" i="37"/>
  <c r="J69" i="37"/>
  <c r="B69" i="37"/>
  <c r="I70" i="37"/>
  <c r="L69" i="37"/>
  <c r="B70" i="37"/>
  <c r="C70" i="37"/>
  <c r="D70" i="37"/>
  <c r="B71" i="37"/>
  <c r="E70" i="37"/>
  <c r="F70" i="37"/>
  <c r="G70" i="37"/>
  <c r="H70" i="37"/>
  <c r="E71" i="37"/>
  <c r="F71" i="37"/>
  <c r="G71" i="37"/>
  <c r="J70" i="37"/>
  <c r="L70" i="37"/>
  <c r="I71" i="37"/>
  <c r="J71" i="37"/>
  <c r="L71" i="37"/>
  <c r="C71" i="37"/>
  <c r="D71" i="37"/>
  <c r="B72" i="37"/>
  <c r="C72" i="37"/>
  <c r="D72" i="37"/>
  <c r="E72" i="37"/>
  <c r="H71" i="37"/>
  <c r="C73" i="37"/>
  <c r="F72" i="37"/>
  <c r="G72" i="37"/>
  <c r="H72" i="37"/>
  <c r="I72" i="37"/>
  <c r="J72" i="37"/>
  <c r="G73" i="37"/>
  <c r="H73" i="37"/>
  <c r="L72" i="37"/>
  <c r="B73" i="37"/>
  <c r="L73" i="37"/>
  <c r="D73" i="37"/>
  <c r="E73" i="37"/>
  <c r="F73" i="37"/>
  <c r="C74" i="37"/>
  <c r="D74" i="37"/>
  <c r="E74" i="37"/>
  <c r="F74" i="37"/>
  <c r="I73" i="37"/>
  <c r="J73" i="37"/>
  <c r="G74" i="37"/>
  <c r="H74" i="37"/>
  <c r="I74" i="37"/>
  <c r="J74" i="37"/>
  <c r="B74" i="37"/>
  <c r="I75" i="37"/>
  <c r="L74" i="37"/>
  <c r="B75" i="37"/>
  <c r="C75" i="37"/>
  <c r="D75" i="37"/>
  <c r="B76" i="37"/>
  <c r="E75" i="37"/>
  <c r="F75" i="37"/>
  <c r="G75" i="37"/>
  <c r="H75" i="37"/>
  <c r="E76" i="37"/>
  <c r="F76" i="37"/>
  <c r="G76" i="37"/>
  <c r="J75" i="37"/>
  <c r="L75" i="37"/>
  <c r="I76" i="37"/>
  <c r="J76" i="37"/>
  <c r="L76" i="37"/>
  <c r="C76" i="37"/>
  <c r="D76" i="37"/>
  <c r="B77" i="37"/>
  <c r="C77" i="37"/>
  <c r="D77" i="37"/>
  <c r="E77" i="37"/>
  <c r="H76" i="37"/>
  <c r="C78" i="37"/>
  <c r="F77" i="37"/>
  <c r="G77" i="37"/>
  <c r="H77" i="37"/>
  <c r="I77" i="37"/>
  <c r="J77" i="37"/>
  <c r="G78" i="37"/>
  <c r="H78" i="37"/>
  <c r="L77" i="37"/>
  <c r="B78" i="37"/>
  <c r="L78" i="37"/>
  <c r="D78" i="37"/>
  <c r="E78" i="37"/>
  <c r="F78" i="37"/>
  <c r="C79" i="37"/>
  <c r="D79" i="37"/>
  <c r="E79" i="37"/>
  <c r="F79" i="37"/>
  <c r="I78" i="37"/>
  <c r="J78" i="37"/>
  <c r="G79" i="37"/>
  <c r="H79" i="37"/>
  <c r="I79" i="37"/>
  <c r="J79" i="37"/>
  <c r="B79" i="37"/>
  <c r="L79" i="37"/>
  <c r="B80" i="37"/>
  <c r="C80" i="37"/>
  <c r="D80" i="37"/>
  <c r="E80" i="37"/>
  <c r="C81" i="37"/>
  <c r="F80" i="37"/>
  <c r="G80" i="37"/>
  <c r="H80" i="37"/>
  <c r="I80" i="37"/>
  <c r="J80" i="37"/>
  <c r="G81" i="37"/>
  <c r="H81" i="37"/>
  <c r="L80" i="37"/>
  <c r="B81" i="37"/>
  <c r="I81" i="37"/>
  <c r="J81" i="37"/>
  <c r="D81" i="37"/>
  <c r="E81" i="37"/>
  <c r="F81" i="37"/>
  <c r="B82" i="37"/>
  <c r="C82" i="37"/>
  <c r="D82" i="37"/>
  <c r="E82" i="37"/>
  <c r="F82" i="37"/>
  <c r="C83" i="37"/>
  <c r="D83" i="37"/>
  <c r="G82" i="37"/>
  <c r="H82" i="37"/>
  <c r="I82" i="37"/>
  <c r="J82" i="37"/>
  <c r="G83" i="37"/>
  <c r="H83" i="37"/>
  <c r="I83" i="37"/>
  <c r="L82" i="37"/>
  <c r="B83" i="37"/>
  <c r="L83" i="37"/>
  <c r="B84" i="37"/>
  <c r="E83" i="37"/>
  <c r="F83" i="37"/>
  <c r="C84" i="37"/>
  <c r="D84" i="37"/>
  <c r="E84" i="37"/>
  <c r="F84" i="37"/>
  <c r="G84" i="37"/>
  <c r="J83" i="37"/>
  <c r="E85" i="37"/>
  <c r="H84" i="37"/>
  <c r="I84" i="37"/>
  <c r="J84" i="37"/>
  <c r="L84" i="37"/>
  <c r="I85" i="37"/>
  <c r="J85" i="37"/>
  <c r="B85" i="37"/>
  <c r="C85" i="37"/>
  <c r="D85" i="37"/>
  <c r="B86" i="37"/>
  <c r="C86" i="37"/>
  <c r="F85" i="37"/>
  <c r="G85" i="37"/>
  <c r="H85" i="37"/>
  <c r="E86" i="37"/>
  <c r="F86" i="37"/>
  <c r="G86" i="37"/>
  <c r="H86" i="37"/>
  <c r="L85" i="37"/>
  <c r="I86" i="37"/>
  <c r="J86" i="37"/>
  <c r="L86" i="37"/>
  <c r="D86" i="37"/>
  <c r="B87" i="37"/>
  <c r="C87" i="37"/>
  <c r="D87" i="37"/>
  <c r="E87" i="37"/>
  <c r="F87" i="37"/>
  <c r="C88" i="37"/>
  <c r="D88" i="37"/>
  <c r="G87" i="37"/>
  <c r="H87" i="37"/>
  <c r="I87" i="37"/>
  <c r="J87" i="37"/>
  <c r="G88" i="37"/>
  <c r="H88" i="37"/>
  <c r="I88" i="37"/>
  <c r="L87" i="37"/>
  <c r="B88" i="37"/>
  <c r="L88" i="37"/>
  <c r="B89" i="37"/>
  <c r="E88" i="37"/>
  <c r="F88" i="37"/>
  <c r="C89" i="37"/>
  <c r="D89" i="37"/>
  <c r="E89" i="37"/>
  <c r="F89" i="37"/>
  <c r="G89" i="37"/>
  <c r="J88" i="37"/>
  <c r="E90" i="37"/>
  <c r="H89" i="37"/>
  <c r="I89" i="37"/>
  <c r="J89" i="37"/>
  <c r="L89" i="37"/>
  <c r="I90" i="37"/>
  <c r="J90" i="37"/>
  <c r="B90" i="37"/>
  <c r="C90" i="37"/>
  <c r="D90" i="37"/>
  <c r="B91" i="37"/>
  <c r="C91" i="37"/>
  <c r="F90" i="37"/>
  <c r="G90" i="37"/>
  <c r="H90" i="37"/>
  <c r="E91" i="37"/>
  <c r="F91" i="37"/>
  <c r="G91" i="37"/>
  <c r="H91" i="37"/>
  <c r="L90" i="37"/>
  <c r="I91" i="37"/>
  <c r="J91" i="37"/>
  <c r="L91" i="37"/>
  <c r="D91" i="37"/>
  <c r="B92" i="37"/>
  <c r="C92" i="37"/>
  <c r="D92" i="37"/>
  <c r="E92" i="37"/>
  <c r="F92" i="37"/>
  <c r="C93" i="37"/>
  <c r="D93" i="37"/>
  <c r="G92" i="37"/>
  <c r="H92" i="37"/>
  <c r="I92" i="37"/>
  <c r="J92" i="37"/>
  <c r="G93" i="37"/>
  <c r="H93" i="37"/>
  <c r="I93" i="37"/>
  <c r="L92" i="37"/>
  <c r="B93" i="37"/>
  <c r="L93" i="37"/>
  <c r="B94" i="37"/>
  <c r="E93" i="37"/>
  <c r="F93" i="37"/>
  <c r="C94" i="37"/>
  <c r="D94" i="37"/>
  <c r="E94" i="37"/>
  <c r="F94" i="37"/>
  <c r="G94" i="37"/>
  <c r="J93" i="37"/>
  <c r="E95" i="37"/>
  <c r="H94" i="37"/>
  <c r="I94" i="37"/>
  <c r="J94" i="37"/>
  <c r="L94" i="37"/>
  <c r="I95" i="37"/>
  <c r="J95" i="37"/>
  <c r="B95" i="37"/>
  <c r="C95" i="37"/>
  <c r="D95" i="37"/>
  <c r="B96" i="37"/>
  <c r="C96" i="37"/>
  <c r="F95" i="37"/>
  <c r="G95" i="37"/>
  <c r="H95" i="37"/>
  <c r="E96" i="37"/>
  <c r="F96" i="37"/>
  <c r="G96" i="37"/>
  <c r="H96" i="37"/>
  <c r="L95" i="37"/>
  <c r="I96" i="37"/>
  <c r="J96" i="37"/>
  <c r="L96" i="37"/>
  <c r="D96" i="37"/>
  <c r="B97" i="37"/>
  <c r="C97" i="37"/>
  <c r="D97" i="37"/>
  <c r="E97" i="37"/>
  <c r="F97" i="37"/>
  <c r="C98" i="37"/>
  <c r="D98" i="37"/>
  <c r="G97" i="37"/>
  <c r="H97" i="37"/>
  <c r="I97" i="37"/>
  <c r="J97" i="37"/>
  <c r="G98" i="37"/>
  <c r="H98" i="37"/>
  <c r="I98" i="37"/>
  <c r="L97" i="37"/>
  <c r="B98" i="37"/>
  <c r="L98" i="37"/>
  <c r="B99" i="37"/>
  <c r="E98" i="37"/>
  <c r="F98" i="37"/>
  <c r="C99" i="37"/>
  <c r="D99" i="37"/>
  <c r="E99" i="37"/>
  <c r="F99" i="37"/>
  <c r="G99" i="37"/>
  <c r="J98" i="37"/>
  <c r="E100" i="37"/>
  <c r="H99" i="37"/>
  <c r="I99" i="37"/>
  <c r="J99" i="37"/>
  <c r="L99" i="37"/>
  <c r="I100" i="37"/>
  <c r="J100" i="37"/>
  <c r="B100" i="37"/>
  <c r="C100" i="37"/>
  <c r="D100" i="37"/>
  <c r="B101" i="37"/>
  <c r="C101" i="37"/>
  <c r="F100" i="37"/>
  <c r="G100" i="37"/>
  <c r="H100" i="37"/>
  <c r="E101" i="37"/>
  <c r="F101" i="37"/>
  <c r="G101" i="37"/>
  <c r="H101" i="37"/>
  <c r="L100" i="37"/>
  <c r="I101" i="37"/>
  <c r="J101" i="37"/>
  <c r="L101" i="37"/>
  <c r="D101" i="37"/>
  <c r="B102" i="37"/>
  <c r="C102" i="37"/>
  <c r="D102" i="37"/>
  <c r="E102" i="37"/>
  <c r="F102" i="37"/>
  <c r="C103" i="37"/>
  <c r="D103" i="37"/>
  <c r="G102" i="37"/>
  <c r="H102" i="37"/>
  <c r="I102" i="37"/>
  <c r="J102" i="37"/>
  <c r="G103" i="37"/>
  <c r="H103" i="37"/>
  <c r="I103" i="37"/>
  <c r="L102" i="37"/>
  <c r="B103" i="37"/>
  <c r="L103" i="37"/>
  <c r="B104" i="37"/>
  <c r="E103" i="37"/>
  <c r="F103" i="37"/>
  <c r="C104" i="37"/>
  <c r="D104" i="37"/>
  <c r="E104" i="37"/>
  <c r="F104" i="37"/>
  <c r="G104" i="37"/>
  <c r="J103" i="37"/>
  <c r="E105" i="37"/>
  <c r="H104" i="37"/>
  <c r="I104" i="37"/>
  <c r="J104" i="37"/>
  <c r="L104" i="37"/>
  <c r="I105" i="37"/>
  <c r="J105" i="37"/>
  <c r="B105" i="37"/>
  <c r="C105" i="37"/>
  <c r="D105" i="37"/>
  <c r="B106" i="37"/>
  <c r="C106" i="37"/>
  <c r="F105" i="37"/>
  <c r="G105" i="37"/>
  <c r="H105" i="37"/>
  <c r="E106" i="37"/>
  <c r="F106" i="37"/>
  <c r="G106" i="37"/>
  <c r="H106" i="37"/>
  <c r="L105" i="37"/>
  <c r="I106" i="37"/>
  <c r="J106" i="37"/>
  <c r="L106" i="37"/>
  <c r="D106" i="37"/>
  <c r="B107" i="37"/>
  <c r="C107" i="37"/>
  <c r="D107" i="37"/>
  <c r="E107" i="37"/>
  <c r="F107" i="37"/>
  <c r="C108" i="37"/>
  <c r="D108" i="37"/>
  <c r="G107" i="37"/>
  <c r="H107" i="37"/>
  <c r="I107" i="37"/>
  <c r="J107" i="37"/>
  <c r="G108" i="37"/>
  <c r="H108" i="37"/>
  <c r="I108" i="37"/>
  <c r="L107" i="37"/>
  <c r="B108" i="37"/>
  <c r="L108" i="37"/>
  <c r="B109" i="37"/>
  <c r="E108" i="37"/>
  <c r="F108" i="37"/>
  <c r="C109" i="37"/>
  <c r="D109" i="37"/>
  <c r="E109" i="37"/>
  <c r="F109" i="37"/>
  <c r="G109" i="37"/>
  <c r="J108" i="37"/>
  <c r="E110" i="37"/>
  <c r="H109" i="37"/>
  <c r="I109" i="37"/>
  <c r="J109" i="37"/>
  <c r="L109" i="37"/>
  <c r="I110" i="37"/>
  <c r="J110" i="37"/>
  <c r="B110" i="37"/>
  <c r="C110" i="37"/>
  <c r="D110" i="37"/>
  <c r="B111" i="37"/>
  <c r="C111" i="37"/>
  <c r="F110" i="37"/>
  <c r="G110" i="37"/>
  <c r="H110" i="37"/>
  <c r="E111" i="37"/>
  <c r="F111" i="37"/>
  <c r="G111" i="37"/>
  <c r="H111" i="37"/>
  <c r="L110" i="37"/>
  <c r="I111" i="37"/>
  <c r="J111" i="37"/>
  <c r="L111" i="37"/>
  <c r="D111" i="37"/>
  <c r="B112" i="37"/>
  <c r="C112" i="37"/>
  <c r="D112" i="37"/>
  <c r="E112" i="37"/>
  <c r="F112" i="37"/>
  <c r="C113" i="37"/>
  <c r="D113" i="37"/>
  <c r="G112" i="37"/>
  <c r="H112" i="37"/>
  <c r="I112" i="37"/>
  <c r="J112" i="37"/>
  <c r="G113" i="37"/>
  <c r="H113" i="37"/>
  <c r="I113" i="37"/>
  <c r="L112" i="37"/>
  <c r="B113" i="37"/>
  <c r="L113" i="37"/>
  <c r="B114" i="37"/>
  <c r="E113" i="37"/>
  <c r="F113" i="37"/>
  <c r="C114" i="37"/>
  <c r="D114" i="37"/>
  <c r="E114" i="37"/>
  <c r="F114" i="37"/>
  <c r="G114" i="37"/>
  <c r="J113" i="37"/>
  <c r="E115" i="37"/>
  <c r="H114" i="37"/>
  <c r="I114" i="37"/>
  <c r="J114" i="37"/>
  <c r="L114" i="37"/>
  <c r="I115" i="37"/>
  <c r="J115" i="37"/>
  <c r="B115" i="37"/>
  <c r="C115" i="37"/>
  <c r="D115" i="37"/>
  <c r="B116" i="37"/>
  <c r="C116" i="37"/>
  <c r="F115" i="37"/>
  <c r="G115" i="37"/>
  <c r="H115" i="37"/>
  <c r="E116" i="37"/>
  <c r="F116" i="37"/>
  <c r="G116" i="37"/>
  <c r="H116" i="37"/>
  <c r="L115" i="37"/>
  <c r="I116" i="37"/>
  <c r="J116" i="37"/>
  <c r="L116" i="37"/>
  <c r="D116" i="37"/>
  <c r="B117" i="37"/>
  <c r="C117" i="37"/>
  <c r="D117" i="37"/>
  <c r="E117" i="37"/>
  <c r="F117" i="37"/>
  <c r="C118" i="37"/>
  <c r="D118" i="37"/>
  <c r="G117" i="37"/>
  <c r="H117" i="37"/>
  <c r="I117" i="37"/>
  <c r="J117" i="37"/>
  <c r="G118" i="37"/>
  <c r="H118" i="37"/>
  <c r="I118" i="37"/>
  <c r="L117" i="37"/>
  <c r="B118" i="37"/>
  <c r="L118" i="37"/>
  <c r="B119" i="37"/>
  <c r="E118" i="37"/>
  <c r="F118" i="37"/>
  <c r="C119" i="37"/>
  <c r="D119" i="37"/>
  <c r="E119" i="37"/>
  <c r="F119" i="37"/>
  <c r="G119" i="37"/>
  <c r="J118" i="37"/>
  <c r="E120" i="37"/>
  <c r="H119" i="37"/>
  <c r="I119" i="37"/>
  <c r="J119" i="37"/>
  <c r="L119" i="37"/>
  <c r="I120" i="37"/>
  <c r="J120" i="37"/>
  <c r="B120" i="37"/>
  <c r="C120" i="37"/>
  <c r="D120" i="37"/>
  <c r="B121" i="37"/>
  <c r="C121" i="37"/>
  <c r="F120" i="37"/>
  <c r="G120" i="37"/>
  <c r="H120" i="37"/>
  <c r="E121" i="37"/>
  <c r="F121" i="37"/>
  <c r="G121" i="37"/>
  <c r="H121" i="37"/>
  <c r="L120" i="37"/>
  <c r="I121" i="37"/>
  <c r="J121" i="37"/>
  <c r="L121" i="37"/>
  <c r="D121" i="37"/>
  <c r="B122" i="37"/>
  <c r="C122" i="37"/>
  <c r="D122" i="37"/>
  <c r="E122" i="37"/>
  <c r="F122" i="37"/>
  <c r="C123" i="37"/>
  <c r="D123" i="37"/>
  <c r="G122" i="37"/>
  <c r="H122" i="37"/>
  <c r="I122" i="37"/>
  <c r="J122" i="37"/>
  <c r="G123" i="37"/>
  <c r="H123" i="37"/>
  <c r="I123" i="37"/>
  <c r="L122" i="37"/>
  <c r="B123" i="37"/>
  <c r="L123" i="37"/>
  <c r="B124" i="37"/>
  <c r="E123" i="37"/>
  <c r="F123" i="37"/>
  <c r="C124" i="37"/>
  <c r="D124" i="37"/>
  <c r="E124" i="37"/>
  <c r="F124" i="37"/>
  <c r="G124" i="37"/>
  <c r="J123" i="37"/>
  <c r="E125" i="37"/>
  <c r="H124" i="37"/>
  <c r="I124" i="37"/>
  <c r="J124" i="37"/>
  <c r="L124" i="37"/>
  <c r="I125" i="37"/>
  <c r="J125" i="37"/>
  <c r="B125" i="37"/>
  <c r="C125" i="37"/>
  <c r="D125" i="37"/>
  <c r="B126" i="37"/>
  <c r="C126" i="37"/>
  <c r="F125" i="37"/>
  <c r="G125" i="37"/>
  <c r="H125" i="37"/>
  <c r="E126" i="37"/>
  <c r="F126" i="37"/>
  <c r="G126" i="37"/>
  <c r="H126" i="37"/>
  <c r="L125" i="37"/>
  <c r="I126" i="37"/>
  <c r="J126" i="37"/>
  <c r="L126" i="37"/>
  <c r="D126" i="37"/>
  <c r="B127" i="37"/>
  <c r="C127" i="37"/>
  <c r="D127" i="37"/>
  <c r="E127" i="37"/>
  <c r="F127" i="37"/>
  <c r="C128" i="37"/>
  <c r="D128" i="37"/>
  <c r="G127" i="37"/>
  <c r="H127" i="37"/>
  <c r="I127" i="37"/>
  <c r="J127" i="37"/>
  <c r="G128" i="37"/>
  <c r="H128" i="37"/>
  <c r="I128" i="37"/>
  <c r="L127" i="37"/>
  <c r="B128" i="37"/>
  <c r="L128" i="37"/>
  <c r="B129" i="37"/>
  <c r="E128" i="37"/>
  <c r="F128" i="37"/>
  <c r="C129" i="37"/>
  <c r="D129" i="37"/>
  <c r="E129" i="37"/>
  <c r="F129" i="37"/>
  <c r="G129" i="37"/>
  <c r="J128" i="37"/>
  <c r="E130" i="37"/>
  <c r="H129" i="37"/>
  <c r="I129" i="37"/>
  <c r="J129" i="37"/>
  <c r="L129" i="37"/>
  <c r="I130" i="37"/>
  <c r="J130" i="37"/>
  <c r="B130" i="37"/>
  <c r="C130" i="37"/>
  <c r="D130" i="37"/>
  <c r="B131" i="37"/>
  <c r="C131" i="37"/>
  <c r="F130" i="37"/>
  <c r="G130" i="37"/>
  <c r="H130" i="37"/>
  <c r="E131" i="37"/>
  <c r="F131" i="37"/>
  <c r="G131" i="37"/>
  <c r="H131" i="37"/>
  <c r="L130" i="37"/>
  <c r="I131" i="37"/>
  <c r="J131" i="37"/>
  <c r="L131" i="37"/>
  <c r="D131" i="37"/>
  <c r="B132" i="37"/>
  <c r="C132" i="37"/>
  <c r="D132" i="37"/>
  <c r="E132" i="37"/>
  <c r="F132" i="37"/>
  <c r="C133" i="37"/>
  <c r="D133" i="37"/>
  <c r="G132" i="37"/>
  <c r="H132" i="37"/>
  <c r="I132" i="37"/>
  <c r="J132" i="37"/>
  <c r="G133" i="37"/>
  <c r="H133" i="37"/>
  <c r="I133" i="37"/>
  <c r="L132" i="37"/>
  <c r="B133" i="37"/>
  <c r="L133" i="37"/>
  <c r="B134" i="37"/>
  <c r="E133" i="37"/>
  <c r="F133" i="37"/>
  <c r="C134" i="37"/>
  <c r="D134" i="37"/>
  <c r="E134" i="37"/>
  <c r="F134" i="37"/>
  <c r="G134" i="37"/>
  <c r="J133" i="37"/>
  <c r="E135" i="37"/>
  <c r="H134" i="37"/>
  <c r="I134" i="37"/>
  <c r="J134" i="37"/>
  <c r="L134" i="37"/>
  <c r="I135" i="37"/>
  <c r="J135" i="37"/>
  <c r="B135" i="37"/>
  <c r="C135" i="37"/>
  <c r="D135" i="37"/>
  <c r="B136" i="37"/>
  <c r="C136" i="37"/>
  <c r="F135" i="37"/>
  <c r="G135" i="37"/>
  <c r="H135" i="37"/>
  <c r="E136" i="37"/>
  <c r="F136" i="37"/>
  <c r="G136" i="37"/>
  <c r="H136" i="37"/>
  <c r="L135" i="37"/>
  <c r="I136" i="37"/>
  <c r="J136" i="37"/>
  <c r="L136" i="37"/>
  <c r="D136" i="37"/>
  <c r="B137" i="37"/>
  <c r="C137" i="37"/>
  <c r="E137" i="37"/>
  <c r="F137" i="37"/>
  <c r="G137" i="37"/>
  <c r="H137" i="37"/>
  <c r="I137" i="37"/>
  <c r="J137" i="37"/>
  <c r="L137" i="37"/>
  <c r="D137" i="37"/>
  <c r="B138" i="37"/>
  <c r="C138" i="37"/>
  <c r="D138" i="37"/>
  <c r="E138" i="37"/>
  <c r="F138" i="37"/>
  <c r="C139" i="37"/>
  <c r="D139" i="37"/>
  <c r="G138" i="37"/>
  <c r="H138" i="37"/>
  <c r="I138" i="37"/>
  <c r="J138" i="37"/>
  <c r="G139" i="37"/>
  <c r="H139" i="37"/>
  <c r="I139" i="37"/>
  <c r="L138" i="37"/>
  <c r="B139" i="37"/>
  <c r="L139" i="37"/>
  <c r="B140" i="37"/>
  <c r="E139" i="37"/>
  <c r="F139" i="37"/>
  <c r="C140" i="37"/>
  <c r="D140" i="37"/>
  <c r="E140" i="37"/>
  <c r="F140" i="37"/>
  <c r="G140" i="37"/>
  <c r="J139" i="37"/>
  <c r="E141" i="37"/>
  <c r="H140" i="37"/>
  <c r="I140" i="37"/>
  <c r="J140" i="37"/>
  <c r="L140" i="37"/>
  <c r="I141" i="37"/>
  <c r="J141" i="37"/>
  <c r="B141" i="37"/>
  <c r="C141" i="37"/>
  <c r="D141" i="37"/>
  <c r="B142" i="37"/>
  <c r="C142" i="37"/>
  <c r="F141" i="37"/>
  <c r="G141" i="37"/>
  <c r="H141" i="37"/>
  <c r="E142" i="37"/>
  <c r="F142" i="37"/>
  <c r="G142" i="37"/>
  <c r="H142" i="37"/>
  <c r="L141" i="37"/>
  <c r="I142" i="37"/>
  <c r="J142" i="37"/>
  <c r="L142" i="37"/>
  <c r="D142" i="37"/>
  <c r="B143" i="37"/>
  <c r="C143" i="37"/>
  <c r="D143" i="37"/>
  <c r="E143" i="37"/>
  <c r="F143" i="37"/>
  <c r="C144" i="37"/>
  <c r="D144" i="37"/>
  <c r="G143" i="37"/>
  <c r="H143" i="37"/>
  <c r="I143" i="37"/>
  <c r="J143" i="37"/>
  <c r="G144" i="37"/>
  <c r="H144" i="37"/>
  <c r="I144" i="37"/>
  <c r="L143" i="37"/>
  <c r="B144" i="37"/>
  <c r="L144" i="37"/>
  <c r="B145" i="37"/>
  <c r="E144" i="37"/>
  <c r="F144" i="37"/>
  <c r="C145" i="37"/>
  <c r="D145" i="37"/>
  <c r="E145" i="37"/>
  <c r="F145" i="37"/>
  <c r="G145" i="37"/>
  <c r="J144" i="37"/>
  <c r="E146" i="37"/>
  <c r="H145" i="37"/>
  <c r="I145" i="37"/>
  <c r="J145" i="37"/>
  <c r="L145" i="37"/>
  <c r="I146" i="37"/>
  <c r="J146" i="37"/>
  <c r="B146" i="37"/>
  <c r="C146" i="37"/>
  <c r="D146" i="37"/>
  <c r="B147" i="37"/>
  <c r="C147" i="37"/>
  <c r="F146" i="37"/>
  <c r="G146" i="37"/>
  <c r="H146" i="37"/>
  <c r="E147" i="37"/>
  <c r="F147" i="37"/>
  <c r="G147" i="37"/>
  <c r="H147" i="37"/>
  <c r="L146" i="37"/>
  <c r="I147" i="37"/>
  <c r="J147" i="37"/>
  <c r="L147" i="37"/>
  <c r="D147" i="37"/>
  <c r="B148" i="37"/>
  <c r="C148" i="37"/>
  <c r="D148" i="37"/>
  <c r="E148" i="37"/>
  <c r="F148" i="37"/>
  <c r="C149" i="37"/>
  <c r="D149" i="37"/>
  <c r="G148" i="37"/>
  <c r="H148" i="37"/>
  <c r="I148" i="37"/>
  <c r="J148" i="37"/>
  <c r="G149" i="37"/>
  <c r="H149" i="37"/>
  <c r="I149" i="37"/>
  <c r="L148" i="37"/>
  <c r="B149" i="37"/>
  <c r="L149" i="37"/>
  <c r="B150" i="37"/>
  <c r="E149" i="37"/>
  <c r="F149" i="37"/>
  <c r="C150" i="37"/>
  <c r="D150" i="37"/>
  <c r="E150" i="37"/>
  <c r="F150" i="37"/>
  <c r="G150" i="37"/>
  <c r="J149" i="37"/>
  <c r="E151" i="37"/>
  <c r="H150" i="37"/>
  <c r="I150" i="37"/>
  <c r="J150" i="37"/>
  <c r="L150" i="37"/>
  <c r="I151" i="37"/>
  <c r="J151" i="37"/>
  <c r="B151" i="37"/>
  <c r="C151" i="37"/>
  <c r="D151" i="37"/>
  <c r="B152" i="37"/>
  <c r="C152" i="37"/>
  <c r="F151" i="37"/>
  <c r="G151" i="37"/>
  <c r="H151" i="37"/>
  <c r="E152" i="37"/>
  <c r="F152" i="37"/>
  <c r="G152" i="37"/>
  <c r="H152" i="37"/>
  <c r="L151" i="37"/>
  <c r="I152" i="37"/>
  <c r="J152" i="37"/>
  <c r="L152" i="37"/>
  <c r="D152" i="37"/>
  <c r="B153" i="37"/>
  <c r="C153" i="37"/>
  <c r="D153" i="37"/>
  <c r="E153" i="37"/>
  <c r="F153" i="37"/>
  <c r="C154" i="37"/>
  <c r="D154" i="37"/>
  <c r="G153" i="37"/>
  <c r="H153" i="37"/>
  <c r="I153" i="37"/>
  <c r="J153" i="37"/>
  <c r="G154" i="37"/>
  <c r="H154" i="37"/>
  <c r="I154" i="37"/>
  <c r="L153" i="37"/>
  <c r="B154" i="37"/>
  <c r="L154" i="37"/>
  <c r="B155" i="37"/>
  <c r="E154" i="37"/>
  <c r="F154" i="37"/>
  <c r="C155" i="37"/>
  <c r="D155" i="37"/>
  <c r="E155" i="37"/>
  <c r="F155" i="37"/>
  <c r="G155" i="37"/>
  <c r="J154" i="37"/>
  <c r="E156" i="37"/>
  <c r="H155" i="37"/>
  <c r="I155" i="37"/>
  <c r="J155" i="37"/>
  <c r="L155" i="37"/>
  <c r="I156" i="37"/>
  <c r="J156" i="37"/>
  <c r="B156" i="37"/>
  <c r="C156" i="37"/>
  <c r="D156" i="37"/>
  <c r="B157" i="37"/>
  <c r="C157" i="37"/>
  <c r="F156" i="37"/>
  <c r="G156" i="37"/>
  <c r="H156" i="37"/>
  <c r="E157" i="37"/>
  <c r="F157" i="37"/>
  <c r="G157" i="37"/>
  <c r="H157" i="37"/>
  <c r="L156" i="37"/>
  <c r="I157" i="37"/>
  <c r="J157" i="37"/>
  <c r="L157" i="37"/>
  <c r="D157" i="37"/>
  <c r="B158" i="37"/>
  <c r="C158" i="37"/>
  <c r="D158" i="37"/>
  <c r="E158" i="37"/>
  <c r="F158" i="37"/>
  <c r="C159" i="37"/>
  <c r="D159" i="37"/>
  <c r="G158" i="37"/>
  <c r="H158" i="37"/>
  <c r="I158" i="37"/>
  <c r="J158" i="37"/>
  <c r="G159" i="37"/>
  <c r="H159" i="37"/>
  <c r="I159" i="37"/>
  <c r="L158" i="37"/>
  <c r="B159" i="37"/>
  <c r="L159" i="37"/>
  <c r="B160" i="37"/>
  <c r="E159" i="37"/>
  <c r="F159" i="37"/>
  <c r="C160" i="37"/>
  <c r="D160" i="37"/>
  <c r="E160" i="37"/>
  <c r="F160" i="37"/>
  <c r="G160" i="37"/>
  <c r="J159" i="37"/>
  <c r="E161" i="37"/>
  <c r="H160" i="37"/>
  <c r="I160" i="37"/>
  <c r="J160" i="37"/>
  <c r="L160" i="37"/>
  <c r="I161" i="37"/>
  <c r="J161" i="37"/>
  <c r="B161" i="37"/>
  <c r="C161" i="37"/>
  <c r="D161" i="37"/>
  <c r="B162" i="37"/>
  <c r="C162" i="37"/>
  <c r="F161" i="37"/>
  <c r="G161" i="37"/>
  <c r="H161" i="37"/>
  <c r="E162" i="37"/>
  <c r="F162" i="37"/>
  <c r="G162" i="37"/>
  <c r="H162" i="37"/>
  <c r="L161" i="37"/>
  <c r="I162" i="37"/>
  <c r="J162" i="37"/>
  <c r="L162" i="37"/>
  <c r="D162" i="37"/>
  <c r="B163" i="37"/>
  <c r="C163" i="37"/>
  <c r="D163" i="37"/>
  <c r="E163" i="37"/>
  <c r="F163" i="37"/>
  <c r="C164" i="37"/>
  <c r="D164" i="37"/>
  <c r="G163" i="37"/>
  <c r="H163" i="37"/>
  <c r="I163" i="37"/>
  <c r="J163" i="37"/>
  <c r="G164" i="37"/>
  <c r="H164" i="37"/>
  <c r="I164" i="37"/>
  <c r="L163" i="37"/>
  <c r="B164" i="37"/>
  <c r="L164" i="37"/>
  <c r="B165" i="37"/>
  <c r="E164" i="37"/>
  <c r="F164" i="37"/>
  <c r="C165" i="37"/>
  <c r="D165" i="37"/>
  <c r="E165" i="37"/>
  <c r="F165" i="37"/>
  <c r="G165" i="37"/>
  <c r="J164" i="37"/>
  <c r="E166" i="37"/>
  <c r="H165" i="37"/>
  <c r="I165" i="37"/>
  <c r="J165" i="37"/>
  <c r="L165" i="37"/>
  <c r="I166" i="37"/>
  <c r="J166" i="37"/>
  <c r="B166" i="37"/>
  <c r="C166" i="37"/>
  <c r="D166" i="37"/>
  <c r="B167" i="37"/>
  <c r="C167" i="37"/>
  <c r="F166" i="37"/>
  <c r="G166" i="37"/>
  <c r="H166" i="37"/>
  <c r="E167" i="37"/>
  <c r="F167" i="37"/>
  <c r="G167" i="37"/>
  <c r="H167" i="37"/>
  <c r="L166" i="37"/>
  <c r="I167" i="37"/>
  <c r="J167" i="37"/>
  <c r="L167" i="37"/>
  <c r="D167" i="37"/>
  <c r="B168" i="37"/>
  <c r="C168" i="37"/>
  <c r="D168" i="37"/>
  <c r="E168" i="37"/>
  <c r="F168" i="37"/>
  <c r="C169" i="37"/>
  <c r="D169" i="37"/>
  <c r="G168" i="37"/>
  <c r="H168" i="37"/>
  <c r="I168" i="37"/>
  <c r="J168" i="37"/>
  <c r="G169" i="37"/>
  <c r="H169" i="37"/>
  <c r="I169" i="37"/>
  <c r="L168" i="37"/>
  <c r="B169" i="37"/>
  <c r="L169" i="37"/>
  <c r="B170" i="37"/>
  <c r="E169" i="37"/>
  <c r="F169" i="37"/>
  <c r="C170" i="37"/>
  <c r="D170" i="37"/>
  <c r="E170" i="37"/>
  <c r="F170" i="37"/>
  <c r="G170" i="37"/>
  <c r="J169" i="37"/>
  <c r="E171" i="37"/>
  <c r="H170" i="37"/>
  <c r="I170" i="37"/>
  <c r="J170" i="37"/>
  <c r="L170" i="37"/>
  <c r="I171" i="37"/>
  <c r="J171" i="37"/>
  <c r="B171" i="37"/>
  <c r="C171" i="37"/>
  <c r="D171" i="37"/>
  <c r="B172" i="37"/>
  <c r="C172" i="37"/>
  <c r="F171" i="37"/>
  <c r="G171" i="37"/>
  <c r="H171" i="37"/>
  <c r="E172" i="37"/>
  <c r="F172" i="37"/>
  <c r="G172" i="37"/>
  <c r="H172" i="37"/>
  <c r="L171" i="37"/>
  <c r="I172" i="37"/>
  <c r="J172" i="37"/>
  <c r="L172" i="37"/>
  <c r="D172" i="37"/>
  <c r="B173" i="37"/>
  <c r="C173" i="37"/>
  <c r="D173" i="37"/>
  <c r="E173" i="37"/>
  <c r="F173" i="37"/>
  <c r="C174" i="37"/>
  <c r="D174" i="37"/>
  <c r="G173" i="37"/>
  <c r="H173" i="37"/>
  <c r="I173" i="37"/>
  <c r="J173" i="37"/>
  <c r="G174" i="37"/>
  <c r="H174" i="37"/>
  <c r="I174" i="37"/>
  <c r="L173" i="37"/>
  <c r="B174" i="37"/>
  <c r="L174" i="37"/>
  <c r="B175" i="37"/>
  <c r="E174" i="37"/>
  <c r="F174" i="37"/>
  <c r="C175" i="37"/>
  <c r="D175" i="37"/>
  <c r="E175" i="37"/>
  <c r="F175" i="37"/>
  <c r="G175" i="37"/>
  <c r="J174" i="37"/>
  <c r="E176" i="37"/>
  <c r="H175" i="37"/>
  <c r="I175" i="37"/>
  <c r="J175" i="37"/>
  <c r="L175" i="37"/>
  <c r="I176" i="37"/>
  <c r="J176" i="37"/>
  <c r="B176" i="37"/>
  <c r="C176" i="37"/>
  <c r="D176" i="37"/>
  <c r="B177" i="37"/>
  <c r="C177" i="37"/>
  <c r="F176" i="37"/>
  <c r="G176" i="37"/>
  <c r="H176" i="37"/>
  <c r="E177" i="37"/>
  <c r="F177" i="37"/>
  <c r="G177" i="37"/>
  <c r="H177" i="37"/>
  <c r="L176" i="37"/>
  <c r="I177" i="37"/>
  <c r="J177" i="37"/>
  <c r="L177" i="37"/>
  <c r="D177" i="37"/>
  <c r="B178" i="37"/>
  <c r="C178" i="37"/>
  <c r="D178" i="37"/>
  <c r="E178" i="37"/>
  <c r="F178" i="37"/>
  <c r="C179" i="37"/>
  <c r="D179" i="37"/>
  <c r="G178" i="37"/>
  <c r="H178" i="37"/>
  <c r="I178" i="37"/>
  <c r="J178" i="37"/>
  <c r="G179" i="37"/>
  <c r="H179" i="37"/>
  <c r="I179" i="37"/>
  <c r="L178" i="37"/>
  <c r="B179" i="37"/>
  <c r="L179" i="37"/>
  <c r="B180" i="37"/>
  <c r="E179" i="37"/>
  <c r="F179" i="37"/>
  <c r="C180" i="37"/>
  <c r="D180" i="37"/>
  <c r="E180" i="37"/>
  <c r="F180" i="37"/>
  <c r="G180" i="37"/>
  <c r="J179" i="37"/>
  <c r="E181" i="37"/>
  <c r="H180" i="37"/>
  <c r="I180" i="37"/>
  <c r="J180" i="37"/>
  <c r="L180" i="37"/>
  <c r="I181" i="37"/>
  <c r="J181" i="37"/>
  <c r="B181" i="37"/>
  <c r="C181" i="37"/>
  <c r="D181" i="37"/>
  <c r="B182" i="37"/>
  <c r="C182" i="37"/>
  <c r="F181" i="37"/>
  <c r="G181" i="37"/>
  <c r="H181" i="37"/>
  <c r="E182" i="37"/>
  <c r="F182" i="37"/>
  <c r="G182" i="37"/>
  <c r="H182" i="37"/>
  <c r="L181" i="37"/>
  <c r="I182" i="37"/>
  <c r="J182" i="37"/>
  <c r="L182" i="37"/>
  <c r="D182" i="37"/>
  <c r="B183" i="37"/>
  <c r="C183" i="37"/>
  <c r="D183" i="37"/>
  <c r="E183" i="37"/>
  <c r="F183" i="37"/>
  <c r="C184" i="37"/>
  <c r="D184" i="37"/>
  <c r="G183" i="37"/>
  <c r="H183" i="37"/>
  <c r="I183" i="37"/>
  <c r="J183" i="37"/>
  <c r="G184" i="37"/>
  <c r="H184" i="37"/>
  <c r="I184" i="37"/>
  <c r="L183" i="37"/>
  <c r="B184" i="37"/>
  <c r="L184" i="37"/>
  <c r="B185" i="37"/>
  <c r="E184" i="37"/>
  <c r="F184" i="37"/>
  <c r="C185" i="37"/>
  <c r="D185" i="37"/>
  <c r="E185" i="37"/>
  <c r="F185" i="37"/>
  <c r="G185" i="37"/>
  <c r="J184" i="37"/>
  <c r="H185" i="37"/>
  <c r="I185" i="37"/>
  <c r="J185" i="37"/>
  <c r="L185" i="37"/>
  <c r="E186" i="37"/>
  <c r="F186" i="37"/>
  <c r="G186" i="37"/>
  <c r="H186" i="37"/>
  <c r="B186" i="37"/>
  <c r="C186" i="37"/>
  <c r="I186" i="37"/>
  <c r="J186" i="37"/>
  <c r="L186" i="37"/>
  <c r="D186" i="37"/>
  <c r="B187" i="37"/>
  <c r="C187" i="37"/>
  <c r="D187" i="37"/>
  <c r="E187" i="37"/>
  <c r="F187" i="37"/>
  <c r="C188" i="37"/>
  <c r="D188" i="37"/>
  <c r="G187" i="37"/>
  <c r="H187" i="37"/>
  <c r="I187" i="37"/>
  <c r="J187" i="37"/>
  <c r="G188" i="37"/>
  <c r="H188" i="37"/>
  <c r="I188" i="37"/>
  <c r="L187" i="37"/>
  <c r="B188" i="37"/>
  <c r="L188" i="37"/>
  <c r="B189" i="37"/>
  <c r="E188" i="37"/>
  <c r="F188" i="37"/>
  <c r="C189" i="37"/>
  <c r="D189" i="37"/>
  <c r="E189" i="37"/>
  <c r="F189" i="37"/>
  <c r="G189" i="37"/>
  <c r="J188" i="37"/>
  <c r="E190" i="37"/>
  <c r="H189" i="37"/>
  <c r="I189" i="37"/>
  <c r="J189" i="37"/>
  <c r="L189" i="37"/>
  <c r="I190" i="37"/>
  <c r="J190" i="37"/>
  <c r="B190" i="37"/>
  <c r="C190" i="37"/>
  <c r="D190" i="37"/>
  <c r="B191" i="37"/>
  <c r="C191" i="37"/>
  <c r="F190" i="37"/>
  <c r="G190" i="37"/>
  <c r="H190" i="37"/>
  <c r="E191" i="37"/>
  <c r="F191" i="37"/>
  <c r="G191" i="37"/>
  <c r="H191" i="37"/>
  <c r="L190" i="37"/>
  <c r="I191" i="37"/>
  <c r="J191" i="37"/>
  <c r="L191" i="37"/>
  <c r="D191" i="37"/>
  <c r="B192" i="37"/>
  <c r="C192" i="37"/>
  <c r="D192" i="37"/>
  <c r="E192" i="37"/>
  <c r="F192" i="37"/>
  <c r="C193" i="37"/>
  <c r="D193" i="37"/>
  <c r="G192" i="37"/>
  <c r="H192" i="37"/>
  <c r="I192" i="37"/>
  <c r="J192" i="37"/>
  <c r="G193" i="37"/>
  <c r="H193" i="37"/>
  <c r="I193" i="37"/>
  <c r="L192" i="37"/>
  <c r="B193" i="37"/>
  <c r="L193" i="37"/>
  <c r="B194" i="37"/>
  <c r="E193" i="37"/>
  <c r="F193" i="37"/>
  <c r="C194" i="37"/>
  <c r="D194" i="37"/>
  <c r="E194" i="37"/>
  <c r="F194" i="37"/>
  <c r="G194" i="37"/>
  <c r="J193" i="37"/>
  <c r="E195" i="37"/>
  <c r="H194" i="37"/>
  <c r="I194" i="37"/>
  <c r="J194" i="37"/>
  <c r="L194" i="37"/>
  <c r="I195" i="37"/>
  <c r="J195" i="37"/>
  <c r="B195" i="37"/>
  <c r="C195" i="37"/>
  <c r="D195" i="37"/>
  <c r="B196" i="37"/>
  <c r="C196" i="37"/>
  <c r="F195" i="37"/>
  <c r="G195" i="37"/>
  <c r="H195" i="37"/>
  <c r="E196" i="37"/>
  <c r="F196" i="37"/>
  <c r="G196" i="37"/>
  <c r="H196" i="37"/>
  <c r="L195" i="37"/>
  <c r="I196" i="37"/>
  <c r="J196" i="37"/>
  <c r="L196" i="37"/>
  <c r="D196" i="37"/>
  <c r="B197" i="37"/>
  <c r="C197" i="37"/>
  <c r="D197" i="37"/>
  <c r="E197" i="37"/>
  <c r="F197" i="37"/>
  <c r="C198" i="37"/>
  <c r="D198" i="37"/>
  <c r="G197" i="37"/>
  <c r="H197" i="37"/>
  <c r="I197" i="37"/>
  <c r="J197" i="37"/>
  <c r="G198" i="37"/>
  <c r="H198" i="37"/>
  <c r="I198" i="37"/>
  <c r="L197" i="37"/>
  <c r="B198" i="37"/>
  <c r="L198" i="37"/>
  <c r="B199" i="37"/>
  <c r="E198" i="37"/>
  <c r="F198" i="37"/>
  <c r="C199" i="37"/>
  <c r="D199" i="37"/>
  <c r="E199" i="37"/>
  <c r="F199" i="37"/>
  <c r="G199" i="37"/>
  <c r="J198" i="37"/>
  <c r="E200" i="37"/>
  <c r="H199" i="37"/>
  <c r="I199" i="37"/>
  <c r="J199" i="37"/>
  <c r="L199" i="37"/>
  <c r="I200" i="37"/>
  <c r="J200" i="37"/>
  <c r="B200" i="37"/>
  <c r="C200" i="37"/>
  <c r="D200" i="37"/>
  <c r="B201" i="37"/>
  <c r="C201" i="37"/>
  <c r="F200" i="37"/>
  <c r="G200" i="37"/>
  <c r="H200" i="37"/>
  <c r="E201" i="37"/>
  <c r="F201" i="37"/>
  <c r="G201" i="37"/>
  <c r="H201" i="37"/>
  <c r="L200" i="37"/>
  <c r="I201" i="37"/>
  <c r="J201" i="37"/>
  <c r="L201" i="37"/>
  <c r="D201" i="37"/>
  <c r="B202" i="37"/>
  <c r="C202" i="37"/>
  <c r="D202" i="37"/>
  <c r="E202" i="37"/>
  <c r="F202" i="37"/>
  <c r="C203" i="37"/>
  <c r="D203" i="37"/>
  <c r="G202" i="37"/>
  <c r="H202" i="37"/>
  <c r="I202" i="37"/>
  <c r="J202" i="37"/>
  <c r="G203" i="37"/>
  <c r="H203" i="37"/>
  <c r="I203" i="37"/>
  <c r="L202" i="37"/>
  <c r="B203" i="37"/>
  <c r="L203" i="37"/>
  <c r="B204" i="37"/>
  <c r="E203" i="37"/>
  <c r="F203" i="37"/>
  <c r="C204" i="37"/>
  <c r="D204" i="37"/>
  <c r="E204" i="37"/>
  <c r="F204" i="37"/>
  <c r="G204" i="37"/>
  <c r="J203" i="37"/>
  <c r="E205" i="37"/>
  <c r="H204" i="37"/>
  <c r="I204" i="37"/>
  <c r="J204" i="37"/>
  <c r="L204" i="37"/>
  <c r="I205" i="37"/>
  <c r="J205" i="37"/>
  <c r="B205" i="37"/>
  <c r="C205" i="37"/>
  <c r="D205" i="37"/>
  <c r="B206" i="37"/>
  <c r="C206" i="37"/>
  <c r="F205" i="37"/>
  <c r="G205" i="37"/>
  <c r="H205" i="37"/>
  <c r="E206" i="37"/>
  <c r="F206" i="37"/>
  <c r="G206" i="37"/>
  <c r="H206" i="37"/>
  <c r="L205" i="37"/>
  <c r="I206" i="37"/>
  <c r="J206" i="37"/>
  <c r="L206" i="37"/>
  <c r="D206" i="37"/>
  <c r="B207" i="37"/>
  <c r="C207" i="37"/>
  <c r="D207" i="37"/>
  <c r="E207" i="37"/>
  <c r="F207" i="37"/>
  <c r="C208" i="37"/>
  <c r="D208" i="37"/>
  <c r="G207" i="37"/>
  <c r="H207" i="37"/>
  <c r="I207" i="37"/>
  <c r="J207" i="37"/>
  <c r="G208" i="37"/>
  <c r="H208" i="37"/>
  <c r="I208" i="37"/>
  <c r="L207" i="37"/>
  <c r="B208" i="37"/>
  <c r="L208" i="37"/>
  <c r="B209" i="37"/>
  <c r="E208" i="37"/>
  <c r="F208" i="37"/>
  <c r="C209" i="37"/>
  <c r="D209" i="37"/>
  <c r="E209" i="37"/>
  <c r="F209" i="37"/>
  <c r="G209" i="37"/>
  <c r="J208" i="37"/>
  <c r="E210" i="37"/>
  <c r="H209" i="37"/>
  <c r="I209" i="37"/>
  <c r="J209" i="37"/>
  <c r="L209" i="37"/>
  <c r="I210" i="37"/>
  <c r="J210" i="37"/>
  <c r="B210" i="37"/>
  <c r="C210" i="37"/>
  <c r="D210" i="37"/>
  <c r="B211" i="37"/>
  <c r="C211" i="37"/>
  <c r="F210" i="37"/>
  <c r="G210" i="37"/>
  <c r="H210" i="37"/>
  <c r="E211" i="37"/>
  <c r="F211" i="37"/>
  <c r="G211" i="37"/>
  <c r="H211" i="37"/>
  <c r="L210" i="37"/>
  <c r="I211" i="37"/>
  <c r="J211" i="37"/>
  <c r="L211" i="37"/>
  <c r="D211" i="37"/>
  <c r="B212" i="37"/>
  <c r="C212" i="37"/>
  <c r="D212" i="37"/>
  <c r="E212" i="37"/>
  <c r="F212" i="37"/>
  <c r="C213" i="37"/>
  <c r="D213" i="37"/>
  <c r="G212" i="37"/>
  <c r="H212" i="37"/>
  <c r="I212" i="37"/>
  <c r="J212" i="37"/>
  <c r="G213" i="37"/>
  <c r="H213" i="37"/>
  <c r="I213" i="37"/>
  <c r="L212" i="37"/>
  <c r="B213" i="37"/>
  <c r="L213" i="37"/>
  <c r="B214" i="37"/>
  <c r="E213" i="37"/>
  <c r="F213" i="37"/>
  <c r="C214" i="37"/>
  <c r="D214" i="37"/>
  <c r="E214" i="37"/>
  <c r="F214" i="37"/>
  <c r="G214" i="37"/>
  <c r="J213" i="37"/>
  <c r="E215" i="37"/>
  <c r="H214" i="37"/>
  <c r="I214" i="37"/>
  <c r="J214" i="37"/>
  <c r="L214" i="37"/>
  <c r="I215" i="37"/>
  <c r="J215" i="37"/>
  <c r="B215" i="37"/>
  <c r="C215" i="37"/>
  <c r="D215" i="37"/>
  <c r="B216" i="37"/>
  <c r="C216" i="37"/>
  <c r="F215" i="37"/>
  <c r="G215" i="37"/>
  <c r="H215" i="37"/>
  <c r="E216" i="37"/>
  <c r="F216" i="37"/>
  <c r="G216" i="37"/>
  <c r="H216" i="37"/>
  <c r="L215" i="37"/>
  <c r="I216" i="37"/>
  <c r="J216" i="37"/>
  <c r="L216" i="37"/>
  <c r="D216" i="37"/>
  <c r="B217" i="37"/>
  <c r="C217" i="37"/>
  <c r="D217" i="37"/>
  <c r="E217" i="37"/>
  <c r="F217" i="37"/>
  <c r="C218" i="37"/>
  <c r="D218" i="37"/>
  <c r="G217" i="37"/>
  <c r="H217" i="37"/>
  <c r="I217" i="37"/>
  <c r="J217" i="37"/>
  <c r="G218" i="37"/>
  <c r="H218" i="37"/>
  <c r="I218" i="37"/>
  <c r="L217" i="37"/>
  <c r="B218" i="37"/>
  <c r="L218" i="37"/>
  <c r="B219" i="37"/>
  <c r="E218" i="37"/>
  <c r="F218" i="37"/>
  <c r="C219" i="37"/>
  <c r="D219" i="37"/>
  <c r="E219" i="37"/>
  <c r="F219" i="37"/>
  <c r="G219" i="37"/>
  <c r="J218" i="37"/>
  <c r="E220" i="37"/>
  <c r="H219" i="37"/>
  <c r="I219" i="37"/>
  <c r="J219" i="37"/>
  <c r="L219" i="37"/>
  <c r="I220" i="37"/>
  <c r="J220" i="37"/>
  <c r="B220" i="37"/>
  <c r="C220" i="37"/>
  <c r="D220" i="37"/>
  <c r="B221" i="37"/>
  <c r="C221" i="37"/>
  <c r="F220" i="37"/>
  <c r="G220" i="37"/>
  <c r="H220" i="37"/>
  <c r="E221" i="37"/>
  <c r="F221" i="37"/>
  <c r="G221" i="37"/>
  <c r="H221" i="37"/>
  <c r="L220" i="37"/>
  <c r="I221" i="37"/>
  <c r="J221" i="37"/>
  <c r="L221" i="37"/>
  <c r="D221" i="37"/>
  <c r="B222" i="37"/>
  <c r="C222" i="37"/>
  <c r="D222" i="37"/>
  <c r="E222" i="37"/>
  <c r="F222" i="37"/>
  <c r="C223" i="37"/>
  <c r="D223" i="37"/>
  <c r="G222" i="37"/>
  <c r="H222" i="37"/>
  <c r="I222" i="37"/>
  <c r="J222" i="37"/>
  <c r="G223" i="37"/>
  <c r="H223" i="37"/>
  <c r="I223" i="37"/>
  <c r="L222" i="37"/>
  <c r="B223" i="37"/>
  <c r="L223" i="37"/>
  <c r="B224" i="37"/>
  <c r="E223" i="37"/>
  <c r="F223" i="37"/>
  <c r="C224" i="37"/>
  <c r="D224" i="37"/>
  <c r="E224" i="37"/>
  <c r="F224" i="37"/>
  <c r="G224" i="37"/>
  <c r="J223" i="37"/>
  <c r="E225" i="37"/>
  <c r="H224" i="37"/>
  <c r="I224" i="37"/>
  <c r="J224" i="37"/>
  <c r="L224" i="37"/>
  <c r="I225" i="37"/>
  <c r="J225" i="37"/>
  <c r="B225" i="37"/>
  <c r="C225" i="37"/>
  <c r="D225" i="37"/>
  <c r="B226" i="37"/>
  <c r="C226" i="37"/>
  <c r="F225" i="37"/>
  <c r="G225" i="37"/>
  <c r="H225" i="37"/>
  <c r="E226" i="37"/>
  <c r="F226" i="37"/>
  <c r="G226" i="37"/>
  <c r="H226" i="37"/>
  <c r="L225" i="37"/>
  <c r="I226" i="37"/>
  <c r="J226" i="37"/>
  <c r="L226" i="37"/>
  <c r="D226" i="37"/>
  <c r="B227" i="37"/>
  <c r="C227" i="37"/>
  <c r="D227" i="37"/>
  <c r="E227" i="37"/>
  <c r="F227" i="37"/>
  <c r="C228" i="37"/>
  <c r="D228" i="37"/>
  <c r="G227" i="37"/>
  <c r="H227" i="37"/>
  <c r="I227" i="37"/>
  <c r="J227" i="37"/>
  <c r="G228" i="37"/>
  <c r="H228" i="37"/>
  <c r="I228" i="37"/>
  <c r="L227" i="37"/>
  <c r="B228" i="37"/>
  <c r="L228" i="37"/>
  <c r="B229" i="37"/>
  <c r="E228" i="37"/>
  <c r="F228" i="37"/>
  <c r="C229" i="37"/>
  <c r="D229" i="37"/>
  <c r="E229" i="37"/>
  <c r="F229" i="37"/>
  <c r="G229" i="37"/>
  <c r="J228" i="37"/>
  <c r="E230" i="37"/>
  <c r="H229" i="37"/>
  <c r="I229" i="37"/>
  <c r="J229" i="37"/>
  <c r="L229" i="37"/>
  <c r="I230" i="37"/>
  <c r="J230" i="37"/>
  <c r="B230" i="37"/>
  <c r="C230" i="37"/>
  <c r="D230" i="37"/>
  <c r="B231" i="37"/>
  <c r="C231" i="37"/>
  <c r="F230" i="37"/>
  <c r="G230" i="37"/>
  <c r="H230" i="37"/>
  <c r="E231" i="37"/>
  <c r="F231" i="37"/>
  <c r="G231" i="37"/>
  <c r="H231" i="37"/>
  <c r="L230" i="37"/>
  <c r="I231" i="37"/>
  <c r="J231" i="37"/>
  <c r="L231" i="37"/>
  <c r="D231" i="37"/>
  <c r="B232" i="37"/>
  <c r="C232" i="37"/>
  <c r="D232" i="37"/>
  <c r="E232" i="37"/>
  <c r="F232" i="37"/>
  <c r="C233" i="37"/>
  <c r="D233" i="37"/>
  <c r="G232" i="37"/>
  <c r="H232" i="37"/>
  <c r="I232" i="37"/>
  <c r="J232" i="37"/>
  <c r="G233" i="37"/>
  <c r="H233" i="37"/>
  <c r="I233" i="37"/>
  <c r="L232" i="37"/>
  <c r="B233" i="37"/>
  <c r="L233" i="37"/>
  <c r="B234" i="37"/>
  <c r="E233" i="37"/>
  <c r="F233" i="37"/>
  <c r="C234" i="37"/>
  <c r="D234" i="37"/>
  <c r="E234" i="37"/>
  <c r="F234" i="37"/>
  <c r="G234" i="37"/>
  <c r="J233" i="37"/>
  <c r="E235" i="37"/>
  <c r="H234" i="37"/>
  <c r="I234" i="37"/>
  <c r="J234" i="37"/>
  <c r="L234" i="37"/>
  <c r="I235" i="37"/>
  <c r="J235" i="37"/>
  <c r="B235" i="37"/>
  <c r="C235" i="37"/>
  <c r="D235" i="37"/>
  <c r="B236" i="37"/>
  <c r="C236" i="37"/>
  <c r="F235" i="37"/>
  <c r="G235" i="37"/>
  <c r="H235" i="37"/>
  <c r="E236" i="37"/>
  <c r="F236" i="37"/>
  <c r="G236" i="37"/>
  <c r="H236" i="37"/>
  <c r="L235" i="37"/>
  <c r="I236" i="37"/>
  <c r="J236" i="37"/>
  <c r="L236" i="37"/>
  <c r="D236" i="37"/>
  <c r="B237" i="37"/>
  <c r="C237" i="37"/>
  <c r="D237" i="37"/>
  <c r="E237" i="37"/>
  <c r="F237" i="37"/>
  <c r="C238" i="37"/>
  <c r="D238" i="37"/>
  <c r="G237" i="37"/>
  <c r="H237" i="37"/>
  <c r="I237" i="37"/>
  <c r="J237" i="37"/>
  <c r="G238" i="37"/>
  <c r="H238" i="37"/>
  <c r="I238" i="37"/>
  <c r="L237" i="37"/>
  <c r="B238" i="37"/>
  <c r="L238" i="37"/>
  <c r="B239" i="37"/>
  <c r="E238" i="37"/>
  <c r="F238" i="37"/>
  <c r="C239" i="37"/>
  <c r="D239" i="37"/>
  <c r="E239" i="37"/>
  <c r="F239" i="37"/>
  <c r="G239" i="37"/>
  <c r="J238" i="37"/>
  <c r="E240" i="37"/>
  <c r="H239" i="37"/>
  <c r="I239" i="37"/>
  <c r="J239" i="37"/>
  <c r="L239" i="37"/>
  <c r="I240" i="37"/>
  <c r="J240" i="37"/>
  <c r="B240" i="37"/>
  <c r="C240" i="37"/>
  <c r="D240" i="37"/>
  <c r="B241" i="37"/>
  <c r="C241" i="37"/>
  <c r="F240" i="37"/>
  <c r="G240" i="37"/>
  <c r="H240" i="37"/>
  <c r="E241" i="37"/>
  <c r="F241" i="37"/>
  <c r="G241" i="37"/>
  <c r="H241" i="37"/>
  <c r="L240" i="37"/>
  <c r="I241" i="37"/>
  <c r="J241" i="37"/>
  <c r="L241" i="37"/>
  <c r="D241" i="37"/>
  <c r="B242" i="37"/>
  <c r="C242" i="37"/>
  <c r="D242" i="37"/>
  <c r="E242" i="37"/>
  <c r="F242" i="37"/>
  <c r="L242" i="37"/>
  <c r="G242" i="37"/>
  <c r="H242" i="37"/>
  <c r="I242" i="37"/>
  <c r="J242" i="37"/>
  <c r="E243" i="37"/>
  <c r="I243" i="37"/>
  <c r="J243" i="37"/>
  <c r="B243" i="37"/>
  <c r="C243" i="37"/>
  <c r="D243" i="37"/>
  <c r="B244" i="37"/>
  <c r="C244" i="37"/>
  <c r="F243" i="37"/>
  <c r="G243" i="37"/>
  <c r="H243" i="37"/>
  <c r="E244" i="37"/>
  <c r="F244" i="37"/>
  <c r="G244" i="37"/>
  <c r="H244" i="37"/>
  <c r="L243" i="37"/>
  <c r="I244" i="37"/>
  <c r="J244" i="37"/>
  <c r="L244" i="37"/>
  <c r="D244" i="37"/>
  <c r="B245" i="37"/>
  <c r="C245" i="37"/>
  <c r="D245" i="37"/>
  <c r="E245" i="37"/>
  <c r="F245" i="37"/>
  <c r="C246" i="37"/>
  <c r="D246" i="37"/>
  <c r="G245" i="37"/>
  <c r="H245" i="37"/>
  <c r="I245" i="37"/>
  <c r="J245" i="37"/>
  <c r="G246" i="37"/>
  <c r="H246" i="37"/>
  <c r="I246" i="37"/>
  <c r="L245" i="37"/>
  <c r="B246" i="37"/>
  <c r="L246" i="37"/>
  <c r="B247" i="37"/>
  <c r="E246" i="37"/>
  <c r="F246" i="37"/>
  <c r="C247" i="37"/>
  <c r="D247" i="37"/>
  <c r="E247" i="37"/>
  <c r="F247" i="37"/>
  <c r="G247" i="37"/>
  <c r="J246" i="37"/>
  <c r="E248" i="37"/>
  <c r="H247" i="37"/>
  <c r="I247" i="37"/>
  <c r="J247" i="37"/>
  <c r="L247" i="37"/>
  <c r="I248" i="37"/>
  <c r="J248" i="37"/>
  <c r="B248" i="37"/>
  <c r="C248" i="37"/>
  <c r="D248" i="37"/>
  <c r="B249" i="37"/>
  <c r="C249" i="37"/>
  <c r="F248" i="37"/>
  <c r="G248" i="37"/>
  <c r="H248" i="37"/>
  <c r="E249" i="37"/>
  <c r="F249" i="37"/>
  <c r="G249" i="37"/>
  <c r="H249" i="37"/>
  <c r="L248" i="37"/>
  <c r="I249" i="37"/>
  <c r="J249" i="37"/>
  <c r="L249" i="37"/>
  <c r="D249" i="37"/>
  <c r="B250" i="37"/>
  <c r="C250" i="37"/>
  <c r="D250" i="37"/>
  <c r="E250" i="37"/>
  <c r="F250" i="37"/>
  <c r="C251" i="37"/>
  <c r="D251" i="37"/>
  <c r="G250" i="37"/>
  <c r="H250" i="37"/>
  <c r="I250" i="37"/>
  <c r="J250" i="37"/>
  <c r="G251" i="37"/>
  <c r="H251" i="37"/>
  <c r="I251" i="37"/>
  <c r="L250" i="37"/>
  <c r="B251" i="37"/>
  <c r="L251" i="37"/>
  <c r="B252" i="37"/>
  <c r="E251" i="37"/>
  <c r="F251" i="37"/>
  <c r="C252" i="37"/>
  <c r="D252" i="37"/>
  <c r="E252" i="37"/>
  <c r="F252" i="37"/>
  <c r="G252" i="37"/>
  <c r="J251" i="37"/>
  <c r="E253" i="37"/>
  <c r="H252" i="37"/>
  <c r="I252" i="37"/>
  <c r="J252" i="37"/>
  <c r="L252" i="37"/>
  <c r="I253" i="37"/>
  <c r="J253" i="37"/>
  <c r="B253" i="37"/>
  <c r="C253" i="37"/>
  <c r="D253" i="37"/>
  <c r="B254" i="37"/>
  <c r="C254" i="37"/>
  <c r="F253" i="37"/>
  <c r="G253" i="37"/>
  <c r="H253" i="37"/>
  <c r="E254" i="37"/>
  <c r="F254" i="37"/>
  <c r="G254" i="37"/>
  <c r="H254" i="37"/>
  <c r="L253" i="37"/>
  <c r="I254" i="37"/>
  <c r="J254" i="37"/>
  <c r="L254" i="37"/>
  <c r="D254" i="37"/>
  <c r="B255" i="37"/>
  <c r="C255" i="37"/>
  <c r="D255" i="37"/>
  <c r="E255" i="37"/>
  <c r="F255" i="37"/>
  <c r="C256" i="37"/>
  <c r="D256" i="37"/>
  <c r="G255" i="37"/>
  <c r="H255" i="37"/>
  <c r="I255" i="37"/>
  <c r="J255" i="37"/>
  <c r="G256" i="37"/>
  <c r="H256" i="37"/>
  <c r="I256" i="37"/>
  <c r="L255" i="37"/>
  <c r="B256" i="37"/>
  <c r="L256" i="37"/>
  <c r="B257" i="37"/>
  <c r="E256" i="37"/>
  <c r="F256" i="37"/>
  <c r="C257" i="37"/>
  <c r="D257" i="37"/>
  <c r="E257" i="37"/>
  <c r="F257" i="37"/>
  <c r="G257" i="37"/>
  <c r="J256" i="37"/>
  <c r="E258" i="37"/>
  <c r="H257" i="37"/>
  <c r="I257" i="37"/>
  <c r="J257" i="37"/>
  <c r="L257" i="37"/>
  <c r="I258" i="37"/>
  <c r="J258" i="37"/>
  <c r="B258" i="37"/>
  <c r="C258" i="37"/>
  <c r="D258" i="37"/>
  <c r="B259" i="37"/>
  <c r="C259" i="37"/>
  <c r="F258" i="37"/>
  <c r="G258" i="37"/>
  <c r="H258" i="37"/>
  <c r="E259" i="37"/>
  <c r="F259" i="37"/>
  <c r="G259" i="37"/>
  <c r="H259" i="37"/>
  <c r="L258" i="37"/>
  <c r="I259" i="37"/>
  <c r="J259" i="37"/>
  <c r="L259" i="37"/>
  <c r="D259" i="37"/>
  <c r="B260" i="37"/>
  <c r="C260" i="37"/>
  <c r="D260" i="37"/>
  <c r="E260" i="37"/>
  <c r="F260" i="37"/>
  <c r="C261" i="37"/>
  <c r="D261" i="37"/>
  <c r="G260" i="37"/>
  <c r="H260" i="37"/>
  <c r="I260" i="37"/>
  <c r="J260" i="37"/>
  <c r="G261" i="37"/>
  <c r="H261" i="37"/>
  <c r="I261" i="37"/>
  <c r="L260" i="37"/>
  <c r="B261" i="37"/>
  <c r="L261" i="37"/>
  <c r="B262" i="37"/>
  <c r="E261" i="37"/>
  <c r="F261" i="37"/>
  <c r="C262" i="37"/>
  <c r="D262" i="37"/>
  <c r="E262" i="37"/>
  <c r="F262" i="37"/>
  <c r="G262" i="37"/>
  <c r="J261" i="37"/>
  <c r="E263" i="37"/>
  <c r="H262" i="37"/>
  <c r="I262" i="37"/>
  <c r="J262" i="37"/>
  <c r="L262" i="37"/>
  <c r="I263" i="37"/>
  <c r="J263" i="37"/>
  <c r="B263" i="37"/>
  <c r="C263" i="37"/>
  <c r="D263" i="37"/>
  <c r="B264" i="37"/>
  <c r="C264" i="37"/>
  <c r="F263" i="37"/>
  <c r="G263" i="37"/>
  <c r="H263" i="37"/>
  <c r="E264" i="37"/>
  <c r="F264" i="37"/>
  <c r="G264" i="37"/>
  <c r="H264" i="37"/>
  <c r="L263" i="37"/>
  <c r="I264" i="37"/>
  <c r="J264" i="37"/>
  <c r="L264" i="37"/>
  <c r="D264" i="37"/>
  <c r="B265" i="37"/>
  <c r="C265" i="37"/>
  <c r="D265" i="37"/>
  <c r="E265" i="37"/>
  <c r="F265" i="37"/>
  <c r="C266" i="37"/>
  <c r="D266" i="37"/>
  <c r="G265" i="37"/>
  <c r="H265" i="37"/>
  <c r="I265" i="37"/>
  <c r="J265" i="37"/>
  <c r="G266" i="37"/>
  <c r="H266" i="37"/>
  <c r="I266" i="37"/>
  <c r="L265" i="37"/>
  <c r="B266" i="37"/>
  <c r="L266" i="37"/>
  <c r="B267" i="37"/>
  <c r="E266" i="37"/>
  <c r="F266" i="37"/>
  <c r="C267" i="37"/>
  <c r="D267" i="37"/>
  <c r="E267" i="37"/>
  <c r="F267" i="37"/>
  <c r="G267" i="37"/>
  <c r="J266" i="37"/>
  <c r="E268" i="37"/>
  <c r="H267" i="37"/>
  <c r="I267" i="37"/>
  <c r="J267" i="37"/>
  <c r="L267" i="37"/>
  <c r="I268" i="37"/>
  <c r="J268" i="37"/>
  <c r="B268" i="37"/>
  <c r="C268" i="37"/>
  <c r="D268" i="37"/>
  <c r="B269" i="37"/>
  <c r="C269" i="37"/>
  <c r="F268" i="37"/>
  <c r="G268" i="37"/>
  <c r="H268" i="37"/>
  <c r="E269" i="37"/>
  <c r="F269" i="37"/>
  <c r="G269" i="37"/>
  <c r="H269" i="37"/>
  <c r="L268" i="37"/>
  <c r="I269" i="37"/>
  <c r="J269" i="37"/>
  <c r="L269" i="37"/>
  <c r="D269" i="37"/>
  <c r="B270" i="37"/>
  <c r="C270" i="37"/>
  <c r="D270" i="37"/>
  <c r="E270" i="37"/>
  <c r="F270" i="37"/>
  <c r="C271" i="37"/>
  <c r="D271" i="37"/>
  <c r="G270" i="37"/>
  <c r="H270" i="37"/>
  <c r="I270" i="37"/>
  <c r="J270" i="37"/>
  <c r="G271" i="37"/>
  <c r="H271" i="37"/>
  <c r="I271" i="37"/>
  <c r="L270" i="37"/>
  <c r="B271" i="37"/>
  <c r="L271" i="37"/>
  <c r="B272" i="37"/>
  <c r="E271" i="37"/>
  <c r="F271" i="37"/>
  <c r="C272" i="37"/>
  <c r="D272" i="37"/>
  <c r="E272" i="37"/>
  <c r="F272" i="37"/>
  <c r="G272" i="37"/>
  <c r="J271" i="37"/>
  <c r="E273" i="37"/>
  <c r="H272" i="37"/>
  <c r="I272" i="37"/>
  <c r="J272" i="37"/>
  <c r="L272" i="37"/>
  <c r="I273" i="37"/>
  <c r="J273" i="37"/>
  <c r="B273" i="37"/>
  <c r="C273" i="37"/>
  <c r="D273" i="37"/>
  <c r="B274" i="37"/>
  <c r="C274" i="37"/>
  <c r="F273" i="37"/>
  <c r="G273" i="37"/>
  <c r="H273" i="37"/>
  <c r="E274" i="37"/>
  <c r="F274" i="37"/>
  <c r="G274" i="37"/>
  <c r="H274" i="37"/>
  <c r="L273" i="37"/>
  <c r="I274" i="37"/>
  <c r="J274" i="37"/>
  <c r="L274" i="37"/>
  <c r="D274" i="37"/>
  <c r="B275" i="37"/>
  <c r="C275" i="37"/>
  <c r="D275" i="37"/>
  <c r="E275" i="37"/>
  <c r="F275" i="37"/>
  <c r="C276" i="37"/>
  <c r="D276" i="37"/>
  <c r="G275" i="37"/>
  <c r="H275" i="37"/>
  <c r="I275" i="37"/>
  <c r="J275" i="37"/>
  <c r="G276" i="37"/>
  <c r="H276" i="37"/>
  <c r="I276" i="37"/>
  <c r="L275" i="37"/>
  <c r="B276" i="37"/>
  <c r="L276" i="37"/>
  <c r="B277" i="37"/>
  <c r="E276" i="37"/>
  <c r="F276" i="37"/>
  <c r="C277" i="37"/>
  <c r="D277" i="37"/>
  <c r="E277" i="37"/>
  <c r="F277" i="37"/>
  <c r="G277" i="37"/>
  <c r="J276" i="37"/>
  <c r="E278" i="37"/>
  <c r="H277" i="37"/>
  <c r="I277" i="37"/>
  <c r="J277" i="37"/>
  <c r="L277" i="37"/>
  <c r="I278" i="37"/>
  <c r="J278" i="37"/>
  <c r="B278" i="37"/>
  <c r="C278" i="37"/>
  <c r="D278" i="37"/>
  <c r="B279" i="37"/>
  <c r="C279" i="37"/>
  <c r="F278" i="37"/>
  <c r="G278" i="37"/>
  <c r="H278" i="37"/>
  <c r="E279" i="37"/>
  <c r="F279" i="37"/>
  <c r="G279" i="37"/>
  <c r="H279" i="37"/>
  <c r="L278" i="37"/>
  <c r="I279" i="37"/>
  <c r="J279" i="37"/>
  <c r="L279" i="37"/>
  <c r="D279" i="37"/>
  <c r="B280" i="37"/>
  <c r="C280" i="37"/>
  <c r="D280" i="37"/>
  <c r="E280" i="37"/>
  <c r="F280" i="37"/>
  <c r="C281" i="37"/>
  <c r="D281" i="37"/>
  <c r="G280" i="37"/>
  <c r="H280" i="37"/>
  <c r="I280" i="37"/>
  <c r="J280" i="37"/>
  <c r="G281" i="37"/>
  <c r="H281" i="37"/>
  <c r="I281" i="37"/>
  <c r="L280" i="37"/>
  <c r="B281" i="37"/>
  <c r="L281" i="37"/>
  <c r="B282" i="37"/>
  <c r="E281" i="37"/>
  <c r="F281" i="37"/>
  <c r="C282" i="37"/>
  <c r="D282" i="37"/>
  <c r="E282" i="37"/>
  <c r="F282" i="37"/>
  <c r="G282" i="37"/>
  <c r="J281" i="37"/>
  <c r="E283" i="37"/>
  <c r="H282" i="37"/>
  <c r="I282" i="37"/>
  <c r="J282" i="37"/>
  <c r="L282" i="37"/>
  <c r="I283" i="37"/>
  <c r="J283" i="37"/>
  <c r="B283" i="37"/>
  <c r="C283" i="37"/>
  <c r="D283" i="37"/>
  <c r="B284" i="37"/>
  <c r="C284" i="37"/>
  <c r="F283" i="37"/>
  <c r="G283" i="37"/>
  <c r="H283" i="37"/>
  <c r="E284" i="37"/>
  <c r="F284" i="37"/>
  <c r="G284" i="37"/>
  <c r="H284" i="37"/>
  <c r="L283" i="37"/>
  <c r="I284" i="37"/>
  <c r="J284" i="37"/>
  <c r="L284" i="37"/>
  <c r="D284" i="37"/>
  <c r="B285" i="37"/>
  <c r="C285" i="37"/>
  <c r="D285" i="37"/>
  <c r="E285" i="37"/>
  <c r="F285" i="37"/>
  <c r="C286" i="37"/>
  <c r="D286" i="37"/>
  <c r="G285" i="37"/>
  <c r="H285" i="37"/>
  <c r="I285" i="37"/>
  <c r="J285" i="37"/>
  <c r="G286" i="37"/>
  <c r="H286" i="37"/>
  <c r="I286" i="37"/>
  <c r="L285" i="37"/>
  <c r="B286" i="37"/>
  <c r="L286" i="37"/>
  <c r="B287" i="37"/>
  <c r="E286" i="37"/>
  <c r="F286" i="37"/>
  <c r="C287" i="37"/>
  <c r="D287" i="37"/>
  <c r="E287" i="37"/>
  <c r="F287" i="37"/>
  <c r="G287" i="37"/>
  <c r="J286" i="37"/>
  <c r="E288" i="37"/>
  <c r="H287" i="37"/>
  <c r="I287" i="37"/>
  <c r="J287" i="37"/>
  <c r="L287" i="37"/>
  <c r="I288" i="37"/>
  <c r="J288" i="37"/>
  <c r="B288" i="37"/>
  <c r="C288" i="37"/>
  <c r="D288" i="37"/>
  <c r="B289" i="37"/>
  <c r="C289" i="37"/>
  <c r="F288" i="37"/>
  <c r="G288" i="37"/>
  <c r="H288" i="37"/>
  <c r="E289" i="37"/>
  <c r="F289" i="37"/>
  <c r="G289" i="37"/>
  <c r="H289" i="37"/>
  <c r="L288" i="37"/>
  <c r="I289" i="37"/>
  <c r="J289" i="37"/>
  <c r="L289" i="37"/>
  <c r="D289" i="37"/>
  <c r="B290" i="37"/>
  <c r="C290" i="37"/>
  <c r="D290" i="37"/>
  <c r="E290" i="37"/>
  <c r="F290" i="37"/>
  <c r="C291" i="37"/>
  <c r="D291" i="37"/>
  <c r="G290" i="37"/>
  <c r="H290" i="37"/>
  <c r="I290" i="37"/>
  <c r="J290" i="37"/>
  <c r="G291" i="37"/>
  <c r="H291" i="37"/>
  <c r="I291" i="37"/>
  <c r="L290" i="37"/>
  <c r="B291" i="37"/>
  <c r="L291" i="37"/>
  <c r="B292" i="37"/>
  <c r="E291" i="37"/>
  <c r="F291" i="37"/>
  <c r="C292" i="37"/>
  <c r="D292" i="37"/>
  <c r="E292" i="37"/>
  <c r="F292" i="37"/>
  <c r="G292" i="37"/>
  <c r="J291" i="37"/>
  <c r="E293" i="37"/>
  <c r="H292" i="37"/>
  <c r="I292" i="37"/>
  <c r="J292" i="37"/>
  <c r="L292" i="37"/>
  <c r="I293" i="37"/>
  <c r="J293" i="37"/>
  <c r="B293" i="37"/>
  <c r="C293" i="37"/>
  <c r="D293" i="37"/>
  <c r="B294" i="37"/>
  <c r="C294" i="37"/>
  <c r="F293" i="37"/>
  <c r="G293" i="37"/>
  <c r="H293" i="37"/>
  <c r="E294" i="37"/>
  <c r="F294" i="37"/>
  <c r="G294" i="37"/>
  <c r="H294" i="37"/>
  <c r="L293" i="37"/>
  <c r="I294" i="37"/>
  <c r="J294" i="37"/>
  <c r="L294" i="37"/>
  <c r="D294" i="37"/>
  <c r="B295" i="37"/>
  <c r="C295" i="37"/>
  <c r="D295" i="37"/>
  <c r="E295" i="37"/>
  <c r="F295" i="37"/>
  <c r="C296" i="37"/>
  <c r="D296" i="37"/>
  <c r="G295" i="37"/>
  <c r="H295" i="37"/>
  <c r="I295" i="37"/>
  <c r="J295" i="37"/>
  <c r="G296" i="37"/>
  <c r="H296" i="37"/>
  <c r="I296" i="37"/>
  <c r="L295" i="37"/>
  <c r="B296" i="37"/>
  <c r="L296" i="37"/>
  <c r="B297" i="37"/>
  <c r="E296" i="37"/>
  <c r="F296" i="37"/>
  <c r="C297" i="37"/>
  <c r="D297" i="37"/>
  <c r="E297" i="37"/>
  <c r="F297" i="37"/>
  <c r="G297" i="37"/>
  <c r="J296" i="37"/>
  <c r="E298" i="37"/>
  <c r="H297" i="37"/>
  <c r="I297" i="37"/>
  <c r="J297" i="37"/>
  <c r="L297" i="37"/>
  <c r="I298" i="37"/>
  <c r="J298" i="37"/>
  <c r="B298" i="37"/>
  <c r="C298" i="37"/>
  <c r="D298" i="37"/>
  <c r="B299" i="37"/>
  <c r="C299" i="37"/>
  <c r="F298" i="37"/>
  <c r="G298" i="37"/>
  <c r="H298" i="37"/>
  <c r="E299" i="37"/>
  <c r="F299" i="37"/>
  <c r="G299" i="37"/>
  <c r="H299" i="37"/>
  <c r="L298" i="37"/>
  <c r="I299" i="37"/>
  <c r="J299" i="37"/>
  <c r="L299" i="37"/>
  <c r="D299" i="37"/>
  <c r="B300" i="37"/>
  <c r="C300" i="37"/>
  <c r="D300" i="37"/>
  <c r="E300" i="37"/>
  <c r="F300" i="37"/>
  <c r="C301" i="37"/>
  <c r="D301" i="37"/>
  <c r="G300" i="37"/>
  <c r="H300" i="37"/>
  <c r="I300" i="37"/>
  <c r="J300" i="37"/>
  <c r="G301" i="37"/>
  <c r="H301" i="37"/>
  <c r="I301" i="37"/>
  <c r="L300" i="37"/>
  <c r="B301" i="37"/>
  <c r="L301" i="37"/>
  <c r="B302" i="37"/>
  <c r="E301" i="37"/>
  <c r="F301" i="37"/>
  <c r="C302" i="37"/>
  <c r="D302" i="37"/>
  <c r="E302" i="37"/>
  <c r="F302" i="37"/>
  <c r="G302" i="37"/>
  <c r="J301" i="37"/>
  <c r="E303" i="37"/>
  <c r="H302" i="37"/>
  <c r="I302" i="37"/>
  <c r="J302" i="37"/>
  <c r="L302" i="37"/>
  <c r="I303" i="37"/>
  <c r="J303" i="37"/>
  <c r="B303" i="37"/>
  <c r="C303" i="37"/>
  <c r="D303" i="37"/>
  <c r="B304" i="37"/>
  <c r="C304" i="37"/>
  <c r="F303" i="37"/>
  <c r="G303" i="37"/>
  <c r="H303" i="37"/>
  <c r="E304" i="37"/>
  <c r="F304" i="37"/>
  <c r="G304" i="37"/>
  <c r="H304" i="37"/>
  <c r="L303" i="37"/>
  <c r="I304" i="37"/>
  <c r="J304" i="37"/>
  <c r="L304" i="37"/>
  <c r="D304" i="37"/>
  <c r="B305" i="37"/>
  <c r="C305" i="37"/>
  <c r="D305" i="37"/>
  <c r="E305" i="37"/>
  <c r="F305" i="37"/>
  <c r="C306" i="37"/>
  <c r="D306" i="37"/>
  <c r="G305" i="37"/>
  <c r="H305" i="37"/>
  <c r="I305" i="37"/>
  <c r="J305" i="37"/>
  <c r="G306" i="37"/>
  <c r="H306" i="37"/>
  <c r="I306" i="37"/>
  <c r="L305" i="37"/>
  <c r="B306" i="37"/>
  <c r="L306" i="37"/>
  <c r="B307" i="37"/>
  <c r="E306" i="37"/>
  <c r="F306" i="37"/>
  <c r="C307" i="37"/>
  <c r="D307" i="37"/>
  <c r="E307" i="37"/>
  <c r="F307" i="37"/>
  <c r="G307" i="37"/>
  <c r="J306" i="37"/>
  <c r="E308" i="37"/>
  <c r="H307" i="37"/>
  <c r="I307" i="37"/>
  <c r="J307" i="37"/>
  <c r="L307" i="37"/>
  <c r="I308" i="37"/>
  <c r="J308" i="37"/>
  <c r="B308" i="37"/>
  <c r="C308" i="37"/>
  <c r="D308" i="37"/>
  <c r="B309" i="37"/>
  <c r="C309" i="37"/>
  <c r="F308" i="37"/>
  <c r="G308" i="37"/>
  <c r="H308" i="37"/>
  <c r="E309" i="37"/>
  <c r="F309" i="37"/>
  <c r="G309" i="37"/>
  <c r="H309" i="37"/>
  <c r="L308" i="37"/>
  <c r="I309" i="37"/>
  <c r="J309" i="37"/>
  <c r="L309" i="37"/>
  <c r="D309" i="37"/>
  <c r="B310" i="37"/>
  <c r="C310" i="37"/>
  <c r="D310" i="37"/>
  <c r="E310" i="37"/>
  <c r="F310" i="37"/>
  <c r="C311" i="37"/>
  <c r="D311" i="37"/>
  <c r="G310" i="37"/>
  <c r="H310" i="37"/>
  <c r="I310" i="37"/>
  <c r="J310" i="37"/>
  <c r="G311" i="37"/>
  <c r="H311" i="37"/>
  <c r="I311" i="37"/>
  <c r="L310" i="37"/>
  <c r="B311" i="37"/>
  <c r="L311" i="37"/>
  <c r="B312" i="37"/>
  <c r="E311" i="37"/>
  <c r="F311" i="37"/>
  <c r="C312" i="37"/>
  <c r="D312" i="37"/>
  <c r="E312" i="37"/>
  <c r="F312" i="37"/>
  <c r="G312" i="37"/>
  <c r="J311" i="37"/>
  <c r="E313" i="37"/>
  <c r="H312" i="37"/>
  <c r="I312" i="37"/>
  <c r="J312" i="37"/>
  <c r="L312" i="37"/>
  <c r="I313" i="37"/>
  <c r="J313" i="37"/>
  <c r="B313" i="37"/>
  <c r="C313" i="37"/>
  <c r="D313" i="37"/>
  <c r="B314" i="37"/>
  <c r="C314" i="37"/>
  <c r="F313" i="37"/>
  <c r="G313" i="37"/>
  <c r="H313" i="37"/>
  <c r="E314" i="37"/>
  <c r="F314" i="37"/>
  <c r="G314" i="37"/>
  <c r="H314" i="37"/>
  <c r="L313" i="37"/>
  <c r="I314" i="37"/>
  <c r="J314" i="37"/>
  <c r="L314" i="37"/>
  <c r="D314" i="37"/>
  <c r="B315" i="37"/>
  <c r="C315" i="37"/>
  <c r="D315" i="37"/>
  <c r="E315" i="37"/>
  <c r="F315" i="37"/>
  <c r="C316" i="37"/>
  <c r="D316" i="37"/>
  <c r="G315" i="37"/>
  <c r="H315" i="37"/>
  <c r="I315" i="37"/>
  <c r="J315" i="37"/>
  <c r="G316" i="37"/>
  <c r="H316" i="37"/>
  <c r="I316" i="37"/>
  <c r="L315" i="37"/>
  <c r="B316" i="37"/>
  <c r="L316" i="37"/>
  <c r="B317" i="37"/>
  <c r="E316" i="37"/>
  <c r="F316" i="37"/>
  <c r="C317" i="37"/>
  <c r="D317" i="37"/>
  <c r="E317" i="37"/>
  <c r="F317" i="37"/>
  <c r="G317" i="37"/>
  <c r="J316" i="37"/>
  <c r="E318" i="37"/>
  <c r="H317" i="37"/>
  <c r="I317" i="37"/>
  <c r="J317" i="37"/>
  <c r="L317" i="37"/>
  <c r="I318" i="37"/>
  <c r="J318" i="37"/>
  <c r="B318" i="37"/>
  <c r="C318" i="37"/>
  <c r="D318" i="37"/>
  <c r="B319" i="37"/>
  <c r="C319" i="37"/>
  <c r="F318" i="37"/>
  <c r="G318" i="37"/>
  <c r="H318" i="37"/>
  <c r="E319" i="37"/>
  <c r="F319" i="37"/>
  <c r="G319" i="37"/>
  <c r="H319" i="37"/>
  <c r="L318" i="37"/>
  <c r="I319" i="37"/>
  <c r="J319" i="37"/>
  <c r="L319" i="37"/>
  <c r="D319" i="37"/>
  <c r="B320" i="37"/>
  <c r="C320" i="37"/>
  <c r="D320" i="37"/>
  <c r="E320" i="37"/>
  <c r="F320" i="37"/>
  <c r="C321" i="37"/>
  <c r="D321" i="37"/>
  <c r="G320" i="37"/>
  <c r="H320" i="37"/>
  <c r="I320" i="37"/>
  <c r="J320" i="37"/>
  <c r="G321" i="37"/>
  <c r="H321" i="37"/>
  <c r="I321" i="37"/>
  <c r="L320" i="37"/>
  <c r="B321" i="37"/>
  <c r="L321" i="37"/>
  <c r="B322" i="37"/>
  <c r="E321" i="37"/>
  <c r="F321" i="37"/>
  <c r="C322" i="37"/>
  <c r="D322" i="37"/>
  <c r="E322" i="37"/>
  <c r="F322" i="37"/>
  <c r="G322" i="37"/>
  <c r="J321" i="37"/>
  <c r="E323" i="37"/>
  <c r="H322" i="37"/>
  <c r="I322" i="37"/>
  <c r="J322" i="37"/>
  <c r="L322" i="37"/>
  <c r="I323" i="37"/>
  <c r="J323" i="37"/>
  <c r="B323" i="37"/>
  <c r="C323" i="37"/>
  <c r="D323" i="37"/>
  <c r="B324" i="37"/>
  <c r="C324" i="37"/>
  <c r="F323" i="37"/>
  <c r="G323" i="37"/>
  <c r="H323" i="37"/>
  <c r="E324" i="37"/>
  <c r="F324" i="37"/>
  <c r="G324" i="37"/>
  <c r="H324" i="37"/>
  <c r="L323" i="37"/>
  <c r="I324" i="37"/>
  <c r="J324" i="37"/>
  <c r="L324" i="37"/>
  <c r="D324" i="37"/>
  <c r="B325" i="37"/>
  <c r="C325" i="37"/>
  <c r="D325" i="37"/>
  <c r="E325" i="37"/>
  <c r="F325" i="37"/>
  <c r="C326" i="37"/>
  <c r="D326" i="37"/>
  <c r="G325" i="37"/>
  <c r="H325" i="37"/>
  <c r="I325" i="37"/>
  <c r="J325" i="37"/>
  <c r="G326" i="37"/>
  <c r="H326" i="37"/>
  <c r="I326" i="37"/>
  <c r="L325" i="37"/>
  <c r="B326" i="37"/>
  <c r="L326" i="37"/>
  <c r="B327" i="37"/>
  <c r="E326" i="37"/>
  <c r="F326" i="37"/>
  <c r="C327" i="37"/>
  <c r="D327" i="37"/>
  <c r="E327" i="37"/>
  <c r="F327" i="37"/>
  <c r="G327" i="37"/>
  <c r="J326" i="37"/>
  <c r="E328" i="37"/>
  <c r="H327" i="37"/>
  <c r="I327" i="37"/>
  <c r="J327" i="37"/>
  <c r="L327" i="37"/>
  <c r="I328" i="37"/>
  <c r="J328" i="37"/>
  <c r="B328" i="37"/>
  <c r="C328" i="37"/>
  <c r="D328" i="37"/>
  <c r="B329" i="37"/>
  <c r="C329" i="37"/>
  <c r="F328" i="37"/>
  <c r="G328" i="37"/>
  <c r="H328" i="37"/>
  <c r="E329" i="37"/>
  <c r="F329" i="37"/>
  <c r="G329" i="37"/>
  <c r="H329" i="37"/>
  <c r="L328" i="37"/>
  <c r="I329" i="37"/>
  <c r="J329" i="37"/>
  <c r="L329" i="37"/>
  <c r="D329" i="37"/>
  <c r="B330" i="37"/>
  <c r="C330" i="37"/>
  <c r="D330" i="37"/>
  <c r="E330" i="37"/>
  <c r="F330" i="37"/>
  <c r="C331" i="37"/>
  <c r="D331" i="37"/>
  <c r="G330" i="37"/>
  <c r="H330" i="37"/>
  <c r="I330" i="37"/>
  <c r="J330" i="37"/>
  <c r="G331" i="37"/>
  <c r="H331" i="37"/>
  <c r="I331" i="37"/>
  <c r="L330" i="37"/>
  <c r="B331" i="37"/>
  <c r="L331" i="37"/>
  <c r="B332" i="37"/>
  <c r="E331" i="37"/>
  <c r="F331" i="37"/>
  <c r="C332" i="37"/>
  <c r="D332" i="37"/>
  <c r="E332" i="37"/>
  <c r="F332" i="37"/>
  <c r="G332" i="37"/>
  <c r="J331" i="37"/>
  <c r="E333" i="37"/>
  <c r="H332" i="37"/>
  <c r="I332" i="37"/>
  <c r="J332" i="37"/>
  <c r="L332" i="37"/>
  <c r="I333" i="37"/>
  <c r="J333" i="37"/>
  <c r="B333" i="37"/>
  <c r="C333" i="37"/>
  <c r="D333" i="37"/>
  <c r="B334" i="37"/>
  <c r="C334" i="37"/>
  <c r="F333" i="37"/>
  <c r="G333" i="37"/>
  <c r="H333" i="37"/>
  <c r="E334" i="37"/>
  <c r="F334" i="37"/>
  <c r="G334" i="37"/>
  <c r="H334" i="37"/>
  <c r="L333" i="37"/>
  <c r="I334" i="37"/>
  <c r="J334" i="37"/>
  <c r="L334" i="37"/>
  <c r="D334" i="37"/>
  <c r="B335" i="37"/>
  <c r="C335" i="37"/>
  <c r="D335" i="37"/>
  <c r="E335" i="37"/>
  <c r="F335" i="37"/>
  <c r="C336" i="37"/>
  <c r="D336" i="37"/>
  <c r="G335" i="37"/>
  <c r="H335" i="37"/>
  <c r="I335" i="37"/>
  <c r="J335" i="37"/>
  <c r="G336" i="37"/>
  <c r="H336" i="37"/>
  <c r="I336" i="37"/>
  <c r="L335" i="37"/>
  <c r="B336" i="37"/>
  <c r="L336" i="37"/>
  <c r="B337" i="37"/>
  <c r="E336" i="37"/>
  <c r="F336" i="37"/>
  <c r="C337" i="37"/>
  <c r="D337" i="37"/>
  <c r="E337" i="37"/>
  <c r="F337" i="37"/>
  <c r="G337" i="37"/>
  <c r="J336" i="37"/>
  <c r="E338" i="37"/>
  <c r="H337" i="37"/>
  <c r="I337" i="37"/>
  <c r="J337" i="37"/>
  <c r="L337" i="37"/>
  <c r="I338" i="37"/>
  <c r="J338" i="37"/>
  <c r="B338" i="37"/>
  <c r="C338" i="37"/>
  <c r="D338" i="37"/>
  <c r="B339" i="37"/>
  <c r="C339" i="37"/>
  <c r="F338" i="37"/>
  <c r="G338" i="37"/>
  <c r="H338" i="37"/>
  <c r="E339" i="37"/>
  <c r="F339" i="37"/>
  <c r="G339" i="37"/>
  <c r="H339" i="37"/>
  <c r="L338" i="37"/>
  <c r="I339" i="37"/>
  <c r="J339" i="37"/>
  <c r="L339" i="37"/>
  <c r="D339" i="37"/>
  <c r="B340" i="37"/>
  <c r="C340" i="37"/>
  <c r="D340" i="37"/>
  <c r="E340" i="37"/>
  <c r="F340" i="37"/>
  <c r="C341" i="37"/>
  <c r="D341" i="37"/>
  <c r="G340" i="37"/>
  <c r="H340" i="37"/>
  <c r="I340" i="37"/>
  <c r="J340" i="37"/>
  <c r="G341" i="37"/>
  <c r="H341" i="37"/>
  <c r="I341" i="37"/>
  <c r="L340" i="37"/>
  <c r="B341" i="37"/>
  <c r="L341" i="37"/>
  <c r="B342" i="37"/>
  <c r="E341" i="37"/>
  <c r="F341" i="37"/>
  <c r="C342" i="37"/>
  <c r="D342" i="37"/>
  <c r="E342" i="37"/>
  <c r="F342" i="37"/>
  <c r="G342" i="37"/>
  <c r="J341" i="37"/>
  <c r="E343" i="37"/>
  <c r="H342" i="37"/>
  <c r="I342" i="37"/>
  <c r="J342" i="37"/>
  <c r="L342" i="37"/>
  <c r="I343" i="37"/>
  <c r="J343" i="37"/>
  <c r="B343" i="37"/>
  <c r="C343" i="37"/>
  <c r="D343" i="37"/>
  <c r="B344" i="37"/>
  <c r="C344" i="37"/>
  <c r="F343" i="37"/>
  <c r="G343" i="37"/>
  <c r="H343" i="37"/>
  <c r="E344" i="37"/>
  <c r="F344" i="37"/>
  <c r="G344" i="37"/>
  <c r="H344" i="37"/>
  <c r="L343" i="37"/>
  <c r="I344" i="37"/>
  <c r="J344" i="37"/>
  <c r="L344" i="37"/>
  <c r="D344" i="37"/>
  <c r="B345" i="37"/>
  <c r="C345" i="37"/>
  <c r="D345" i="37"/>
  <c r="E345" i="37"/>
  <c r="F345" i="37"/>
  <c r="G345" i="37"/>
  <c r="H345" i="37"/>
  <c r="I345" i="37"/>
  <c r="J345" i="37"/>
  <c r="L345" i="37"/>
  <c r="BE13" i="38"/>
  <c r="BM13" i="38"/>
  <c r="BU13" i="38"/>
  <c r="BE14" i="38"/>
  <c r="BM14" i="38"/>
  <c r="BU14" i="38"/>
  <c r="BM11" i="38"/>
  <c r="BU11" i="38"/>
  <c r="BE12" i="38"/>
  <c r="BM12" i="38"/>
  <c r="BU12" i="38"/>
  <c r="BE9" i="38"/>
  <c r="BM9" i="38"/>
  <c r="BU9" i="38"/>
  <c r="BE10" i="38"/>
  <c r="BM10" i="38"/>
  <c r="BU10" i="38"/>
  <c r="BE7" i="38"/>
  <c r="BM7" i="38"/>
  <c r="BU7" i="38"/>
  <c r="BE8" i="38"/>
  <c r="BM8" i="38"/>
  <c r="BU8" i="38"/>
  <c r="FM14" i="38"/>
  <c r="FO14" i="38"/>
  <c r="FR21" i="38"/>
  <c r="BM21" i="38"/>
  <c r="BU21" i="38"/>
  <c r="DY14" i="38"/>
  <c r="EA14" i="38"/>
  <c r="ES14" i="38"/>
  <c r="FG14" i="38"/>
  <c r="FI14" i="38"/>
  <c r="FK14" i="38"/>
  <c r="DI14" i="38"/>
  <c r="DK14" i="38"/>
  <c r="DM14" i="38"/>
  <c r="DQ14" i="38"/>
  <c r="DS14" i="38"/>
  <c r="DU14" i="38"/>
  <c r="CQ14" i="38"/>
  <c r="CS14" i="38"/>
  <c r="CW14" i="38"/>
  <c r="CY14" i="38"/>
  <c r="DA14" i="38"/>
  <c r="DE14" i="38"/>
  <c r="CE14" i="38"/>
  <c r="CG14" i="38"/>
  <c r="CI14" i="38"/>
  <c r="CK14" i="38"/>
  <c r="CM14" i="38"/>
  <c r="CO14" i="38"/>
  <c r="AW14" i="38"/>
  <c r="BC14" i="38"/>
  <c r="BS14" i="38"/>
  <c r="CA14" i="38"/>
  <c r="CC14" i="38"/>
  <c r="E14" i="38"/>
  <c r="G14" i="38"/>
  <c r="AG14" i="38"/>
  <c r="AM14" i="38"/>
  <c r="AO14" i="38"/>
  <c r="AU14" i="38"/>
  <c r="ES13" i="38"/>
  <c r="FG13" i="38"/>
  <c r="FI13" i="38"/>
  <c r="FK13" i="38"/>
  <c r="FM13" i="38"/>
  <c r="FO13" i="38"/>
  <c r="DM13" i="38"/>
  <c r="DQ13" i="38"/>
  <c r="DS13" i="38"/>
  <c r="DU13" i="38"/>
  <c r="DY13" i="38"/>
  <c r="EA13" i="38"/>
  <c r="CW13" i="38"/>
  <c r="CY13" i="38"/>
  <c r="DA13" i="38"/>
  <c r="DE13" i="38"/>
  <c r="DI13" i="38"/>
  <c r="DK13" i="38"/>
  <c r="CI13" i="38"/>
  <c r="CK13" i="38"/>
  <c r="CM13" i="38"/>
  <c r="CO13" i="38"/>
  <c r="CQ13" i="38"/>
  <c r="CS13" i="38"/>
  <c r="BS13" i="38"/>
  <c r="CA13" i="38"/>
  <c r="CC13" i="38"/>
  <c r="CE13" i="38"/>
  <c r="CG13" i="38"/>
  <c r="AG13" i="38"/>
  <c r="AM13" i="38"/>
  <c r="AO13" i="38"/>
  <c r="AU13" i="38"/>
  <c r="AW13" i="38"/>
  <c r="BC13" i="38"/>
  <c r="FI12" i="38"/>
  <c r="FK12" i="38"/>
  <c r="FM12" i="38"/>
  <c r="FO12" i="38"/>
  <c r="E13" i="38"/>
  <c r="G13" i="38"/>
  <c r="DS12" i="38"/>
  <c r="DU12" i="38"/>
  <c r="DY12" i="38"/>
  <c r="EA12" i="38"/>
  <c r="ES12" i="38"/>
  <c r="FG12" i="38"/>
  <c r="DA12" i="38"/>
  <c r="DE12" i="38"/>
  <c r="DI12" i="38"/>
  <c r="DK12" i="38"/>
  <c r="DM12" i="38"/>
  <c r="DQ12" i="38"/>
  <c r="CM12" i="38"/>
  <c r="CO12" i="38"/>
  <c r="CQ12" i="38"/>
  <c r="CS12" i="38"/>
  <c r="CW12" i="38"/>
  <c r="CY12" i="38"/>
  <c r="CA12" i="38"/>
  <c r="CC12" i="38"/>
  <c r="CE12" i="38"/>
  <c r="CG12" i="38"/>
  <c r="CI12" i="38"/>
  <c r="CK12" i="38"/>
  <c r="AO12" i="38"/>
  <c r="AU12" i="38"/>
  <c r="AW12" i="38"/>
  <c r="BC12" i="38"/>
  <c r="BS12" i="38"/>
  <c r="FM11" i="38"/>
  <c r="FO11" i="38"/>
  <c r="E12" i="38"/>
  <c r="G12" i="38"/>
  <c r="AG12" i="38"/>
  <c r="AM12" i="38"/>
  <c r="DY11" i="38"/>
  <c r="EA11" i="38"/>
  <c r="ES11" i="38"/>
  <c r="FG11" i="38"/>
  <c r="FI11" i="38"/>
  <c r="FK11" i="38"/>
  <c r="DI11" i="38"/>
  <c r="DK11" i="38"/>
  <c r="DM11" i="38"/>
  <c r="DQ11" i="38"/>
  <c r="DS11" i="38"/>
  <c r="DU11" i="38"/>
  <c r="CQ11" i="38"/>
  <c r="CS11" i="38"/>
  <c r="CW11" i="38"/>
  <c r="CY11" i="38"/>
  <c r="DA11" i="38"/>
  <c r="DE11" i="38"/>
  <c r="CE11" i="38"/>
  <c r="CG11" i="38"/>
  <c r="CI11" i="38"/>
  <c r="CK11" i="38"/>
  <c r="CM11" i="38"/>
  <c r="CO11" i="38"/>
  <c r="AW11" i="38"/>
  <c r="BC11" i="38"/>
  <c r="BS11" i="38"/>
  <c r="CA11" i="38"/>
  <c r="CC11" i="38"/>
  <c r="E11" i="38"/>
  <c r="G11" i="38"/>
  <c r="AG11" i="38"/>
  <c r="AM11" i="38"/>
  <c r="AO11" i="38"/>
  <c r="AU11" i="38"/>
  <c r="ES10" i="38"/>
  <c r="FG10" i="38"/>
  <c r="FI10" i="38"/>
  <c r="FK10" i="38"/>
  <c r="FM10" i="38"/>
  <c r="FO10" i="38"/>
  <c r="DM10" i="38"/>
  <c r="DQ10" i="38"/>
  <c r="DS10" i="38"/>
  <c r="DU10" i="38"/>
  <c r="DY10" i="38"/>
  <c r="EA10" i="38"/>
  <c r="CW10" i="38"/>
  <c r="CY10" i="38"/>
  <c r="DA10" i="38"/>
  <c r="DE10" i="38"/>
  <c r="DI10" i="38"/>
  <c r="DK10" i="38"/>
  <c r="CI10" i="38"/>
  <c r="CK10" i="38"/>
  <c r="CM10" i="38"/>
  <c r="CO10" i="38"/>
  <c r="CQ10" i="38"/>
  <c r="CS10" i="38"/>
  <c r="BS10" i="38"/>
  <c r="CA10" i="38"/>
  <c r="CC10" i="38"/>
  <c r="CE10" i="38"/>
  <c r="CG10" i="38"/>
  <c r="AG10" i="38"/>
  <c r="AM10" i="38"/>
  <c r="AO10" i="38"/>
  <c r="AU10" i="38"/>
  <c r="AW10" i="38"/>
  <c r="BC10" i="38"/>
  <c r="FI9" i="38"/>
  <c r="FK9" i="38"/>
  <c r="FM9" i="38"/>
  <c r="FO9" i="38"/>
  <c r="E10" i="38"/>
  <c r="G10" i="38"/>
  <c r="DS9" i="38"/>
  <c r="DU9" i="38"/>
  <c r="DY9" i="38"/>
  <c r="EA9" i="38"/>
  <c r="ES9" i="38"/>
  <c r="FG9" i="38"/>
  <c r="DA9" i="38"/>
  <c r="DE9" i="38"/>
  <c r="DI9" i="38"/>
  <c r="DK9" i="38"/>
  <c r="DM9" i="38"/>
  <c r="DQ9" i="38"/>
  <c r="CM9" i="38"/>
  <c r="CO9" i="38"/>
  <c r="CQ9" i="38"/>
  <c r="CS9" i="38"/>
  <c r="CW9" i="38"/>
  <c r="CY9" i="38"/>
  <c r="CA9" i="38"/>
  <c r="CC9" i="38"/>
  <c r="CE9" i="38"/>
  <c r="CG9" i="38"/>
  <c r="CI9" i="38"/>
  <c r="CK9" i="38"/>
  <c r="AO9" i="38"/>
  <c r="AU9" i="38"/>
  <c r="AW9" i="38"/>
  <c r="BC9" i="38"/>
  <c r="BS9" i="38"/>
  <c r="FM8" i="38"/>
  <c r="FO8" i="38"/>
  <c r="E9" i="38"/>
  <c r="G9" i="38"/>
  <c r="AG9" i="38"/>
  <c r="AM9" i="38"/>
  <c r="DY8" i="38"/>
  <c r="EA8" i="38"/>
  <c r="ES8" i="38"/>
  <c r="FG8" i="38"/>
  <c r="FI8" i="38"/>
  <c r="FK8" i="38"/>
  <c r="DI8" i="38"/>
  <c r="DK8" i="38"/>
  <c r="DM8" i="38"/>
  <c r="DQ8" i="38"/>
  <c r="DS8" i="38"/>
  <c r="DU8" i="38"/>
  <c r="CQ8" i="38"/>
  <c r="CS8" i="38"/>
  <c r="CW8" i="38"/>
  <c r="CY8" i="38"/>
  <c r="DA8" i="38"/>
  <c r="DE8" i="38"/>
  <c r="CE8" i="38"/>
  <c r="CG8" i="38"/>
  <c r="CI8" i="38"/>
  <c r="CK8" i="38"/>
  <c r="CM8" i="38"/>
  <c r="CO8" i="38"/>
  <c r="AW8" i="38"/>
  <c r="BC8" i="38"/>
  <c r="BS8" i="38"/>
  <c r="CA8" i="38"/>
  <c r="CC8" i="38"/>
  <c r="E8" i="38"/>
  <c r="G8" i="38"/>
  <c r="AG8" i="38"/>
  <c r="AM8" i="38"/>
  <c r="AO8" i="38"/>
  <c r="AU8" i="38"/>
  <c r="ES7" i="38"/>
  <c r="FG7" i="38"/>
  <c r="FI7" i="38"/>
  <c r="FK7" i="38"/>
  <c r="FM7" i="38"/>
  <c r="FO7" i="38"/>
  <c r="DM7" i="38"/>
  <c r="DQ7" i="38"/>
  <c r="DS7" i="38"/>
  <c r="DU7" i="38"/>
  <c r="DY7" i="38"/>
  <c r="EA7" i="38"/>
  <c r="CW7" i="38"/>
  <c r="CY7" i="38"/>
  <c r="DA7" i="38"/>
  <c r="DE7" i="38"/>
  <c r="DI7" i="38"/>
  <c r="DK7" i="38"/>
  <c r="CI7" i="38"/>
  <c r="CK7" i="38"/>
  <c r="CM7" i="38"/>
  <c r="CO7" i="38"/>
  <c r="CQ7" i="38"/>
  <c r="CS7" i="38"/>
  <c r="BS7" i="38"/>
  <c r="CA7" i="38"/>
  <c r="CC7" i="38"/>
  <c r="CE7" i="38"/>
  <c r="CG7" i="38"/>
  <c r="AG7" i="38"/>
  <c r="AM7" i="38"/>
  <c r="AO7" i="38"/>
  <c r="AU7" i="38"/>
  <c r="AW7" i="38"/>
  <c r="BC7" i="38"/>
  <c r="FE14" i="38"/>
  <c r="FC14" i="38"/>
  <c r="EQ14" i="38"/>
  <c r="EU14" i="38"/>
  <c r="E7" i="38"/>
  <c r="G7" i="38"/>
  <c r="DW14" i="38"/>
  <c r="CU14" i="38"/>
  <c r="DC14" i="38"/>
  <c r="EY14" i="38"/>
  <c r="EW14" i="38"/>
  <c r="FA14" i="38"/>
  <c r="FE13" i="38"/>
  <c r="FC13" i="38"/>
  <c r="EQ13" i="38"/>
  <c r="EU13" i="38"/>
  <c r="DG14" i="38"/>
  <c r="DO14" i="38"/>
  <c r="DW13" i="38"/>
  <c r="CU13" i="38"/>
  <c r="DC13" i="38"/>
  <c r="EY13" i="38"/>
  <c r="EW13" i="38"/>
  <c r="FA13" i="38"/>
  <c r="FE12" i="38"/>
  <c r="FC12" i="38"/>
  <c r="EQ12" i="38"/>
  <c r="EU12" i="38"/>
  <c r="DG13" i="38"/>
  <c r="DO13" i="38"/>
  <c r="DW12" i="38"/>
  <c r="CU12" i="38"/>
  <c r="DC12" i="38"/>
  <c r="EY12" i="38"/>
  <c r="EW12" i="38"/>
  <c r="FA12" i="38"/>
  <c r="FE11" i="38"/>
  <c r="FC11" i="38"/>
  <c r="EQ11" i="38"/>
  <c r="EU11" i="38"/>
  <c r="DG12" i="38"/>
  <c r="DO12" i="38"/>
  <c r="DW11" i="38"/>
  <c r="CU11" i="38"/>
  <c r="DC11" i="38"/>
  <c r="EY11" i="38"/>
  <c r="EW11" i="38"/>
  <c r="FA11" i="38"/>
  <c r="FE10" i="38"/>
  <c r="FC10" i="38"/>
  <c r="EQ10" i="38"/>
  <c r="EU10" i="38"/>
  <c r="DG11" i="38"/>
  <c r="DO11" i="38"/>
  <c r="DW10" i="38"/>
  <c r="CU10" i="38"/>
  <c r="DC10" i="38"/>
  <c r="EY10" i="38"/>
  <c r="EW10" i="38"/>
  <c r="FA10" i="38"/>
  <c r="FE9" i="38"/>
  <c r="FC9" i="38"/>
  <c r="EQ9" i="38"/>
  <c r="EU9" i="38"/>
  <c r="DG10" i="38"/>
  <c r="DO10" i="38"/>
  <c r="DW9" i="38"/>
  <c r="CU9" i="38"/>
  <c r="DC9" i="38"/>
  <c r="EY9" i="38"/>
  <c r="EW9" i="38"/>
  <c r="FA9" i="38"/>
  <c r="FE8" i="38"/>
  <c r="FC8" i="38"/>
  <c r="EQ8" i="38"/>
  <c r="EU8" i="38"/>
  <c r="DG9" i="38"/>
  <c r="DO9" i="38"/>
  <c r="DW8" i="38"/>
  <c r="CU8" i="38"/>
  <c r="DC8" i="38"/>
  <c r="EY8" i="38"/>
  <c r="EW8" i="38"/>
  <c r="FA8" i="38"/>
  <c r="FE7" i="38"/>
  <c r="FC7" i="38"/>
  <c r="EQ7" i="38"/>
  <c r="EU7" i="38"/>
  <c r="DG8" i="38"/>
  <c r="DO8" i="38"/>
  <c r="DW7" i="38"/>
  <c r="CU7" i="38"/>
  <c r="DC7" i="38"/>
  <c r="EY7" i="38"/>
  <c r="EW7" i="38"/>
  <c r="FA7" i="38"/>
  <c r="BO14" i="38"/>
  <c r="BQ14" i="38"/>
  <c r="BW14" i="38"/>
  <c r="BY14" i="38"/>
  <c r="DG7" i="38"/>
  <c r="DO7" i="38"/>
  <c r="EE14" i="38"/>
  <c r="EI14" i="38"/>
  <c r="EK14" i="38"/>
  <c r="EM14" i="38"/>
  <c r="EO14" i="38"/>
  <c r="BG14" i="38"/>
  <c r="BG13" i="38"/>
  <c r="BO13" i="38"/>
  <c r="BQ13" i="38"/>
  <c r="BW13" i="38"/>
  <c r="BY13" i="38"/>
  <c r="EC14" i="38"/>
  <c r="EC13" i="38"/>
  <c r="EE13" i="38"/>
  <c r="EI13" i="38"/>
  <c r="EK13" i="38"/>
  <c r="EM13" i="38"/>
  <c r="EO13" i="38"/>
  <c r="EO12" i="38"/>
  <c r="BG12" i="38"/>
  <c r="BO12" i="38"/>
  <c r="BQ12" i="38"/>
  <c r="BW12" i="38"/>
  <c r="BY12" i="38"/>
  <c r="BY11" i="38"/>
  <c r="EC12" i="38"/>
  <c r="EE12" i="38"/>
  <c r="EI12" i="38"/>
  <c r="EK12" i="38"/>
  <c r="EM12" i="38"/>
  <c r="EM11" i="38"/>
  <c r="EO11" i="38"/>
  <c r="BG11" i="38"/>
  <c r="BO11" i="38"/>
  <c r="BQ11" i="38"/>
  <c r="BW11" i="38"/>
  <c r="BW10" i="38"/>
  <c r="BY10" i="38"/>
  <c r="EC11" i="38"/>
  <c r="EE11" i="38"/>
  <c r="EI11" i="38"/>
  <c r="EK11" i="38"/>
  <c r="EK10" i="38"/>
  <c r="EM10" i="38"/>
  <c r="EO10" i="38"/>
  <c r="BG10" i="38"/>
  <c r="BO10" i="38"/>
  <c r="BQ10" i="38"/>
  <c r="BQ9" i="38"/>
  <c r="BW9" i="38"/>
  <c r="BY9" i="38"/>
  <c r="EC10" i="38"/>
  <c r="EE10" i="38"/>
  <c r="EI10" i="38"/>
  <c r="EI9" i="38"/>
  <c r="EK9" i="38"/>
  <c r="EM9" i="38"/>
  <c r="EO9" i="38"/>
  <c r="BG9" i="38"/>
  <c r="BO9" i="38"/>
  <c r="BO8" i="38"/>
  <c r="BQ8" i="38"/>
  <c r="BW8" i="38"/>
  <c r="BY8" i="38"/>
  <c r="EC9" i="38"/>
  <c r="EE9" i="38"/>
  <c r="EE8" i="38"/>
  <c r="EI8" i="38"/>
  <c r="EK8" i="38"/>
  <c r="EM8" i="38"/>
  <c r="EO8" i="38"/>
  <c r="BG8" i="38"/>
  <c r="BG7" i="38"/>
  <c r="BO7" i="38"/>
  <c r="BQ7" i="38"/>
  <c r="BW7" i="38"/>
  <c r="BY7" i="38"/>
  <c r="EC8" i="38"/>
  <c r="EC7" i="38"/>
  <c r="EE7" i="38"/>
  <c r="EI7" i="38"/>
  <c r="EK7" i="38"/>
  <c r="EM7" i="38"/>
  <c r="EO7" i="38"/>
  <c r="AI14" i="38"/>
  <c r="AK14" i="38"/>
  <c r="AQ14" i="38"/>
  <c r="AS14" i="38"/>
  <c r="AY14" i="38"/>
  <c r="BA14" i="38"/>
  <c r="M14" i="38"/>
  <c r="S14" i="38"/>
  <c r="W14" i="38"/>
  <c r="Y14" i="38"/>
  <c r="AA14" i="38"/>
  <c r="AC14" i="38"/>
  <c r="AS13" i="38"/>
  <c r="AY13" i="38"/>
  <c r="BA13" i="38"/>
  <c r="C14" i="38"/>
  <c r="I14" i="38"/>
  <c r="K14" i="38"/>
  <c r="Y13" i="38"/>
  <c r="AA13" i="38"/>
  <c r="AC13" i="38"/>
  <c r="AI13" i="38"/>
  <c r="AK13" i="38"/>
  <c r="AQ13" i="38"/>
  <c r="C13" i="38"/>
  <c r="I13" i="38"/>
  <c r="K13" i="38"/>
  <c r="M13" i="38"/>
  <c r="S13" i="38"/>
  <c r="W13" i="38"/>
  <c r="AI12" i="38"/>
  <c r="AK12" i="38"/>
  <c r="AQ12" i="38"/>
  <c r="AS12" i="38"/>
  <c r="AY12" i="38"/>
  <c r="BA12" i="38"/>
  <c r="M12" i="38"/>
  <c r="S12" i="38"/>
  <c r="W12" i="38"/>
  <c r="Y12" i="38"/>
  <c r="AA12" i="38"/>
  <c r="AC12" i="38"/>
  <c r="AS11" i="38"/>
  <c r="AY11" i="38"/>
  <c r="BA11" i="38"/>
  <c r="C12" i="38"/>
  <c r="I12" i="38"/>
  <c r="K12" i="38"/>
  <c r="Y11" i="38"/>
  <c r="AA11" i="38"/>
  <c r="AC11" i="38"/>
  <c r="AI11" i="38"/>
  <c r="AK11" i="38"/>
  <c r="AQ11" i="38"/>
  <c r="C11" i="38"/>
  <c r="I11" i="38"/>
  <c r="K11" i="38"/>
  <c r="M11" i="38"/>
  <c r="S11" i="38"/>
  <c r="W11" i="38"/>
  <c r="AI10" i="38"/>
  <c r="AK10" i="38"/>
  <c r="AQ10" i="38"/>
  <c r="AS10" i="38"/>
  <c r="AY10" i="38"/>
  <c r="BA10" i="38"/>
  <c r="M10" i="38"/>
  <c r="S10" i="38"/>
  <c r="W10" i="38"/>
  <c r="Y10" i="38"/>
  <c r="AA10" i="38"/>
  <c r="AC10" i="38"/>
  <c r="AS9" i="38"/>
  <c r="AY9" i="38"/>
  <c r="BA9" i="38"/>
  <c r="C10" i="38"/>
  <c r="I10" i="38"/>
  <c r="K10" i="38"/>
  <c r="Y9" i="38"/>
  <c r="AA9" i="38"/>
  <c r="AC9" i="38"/>
  <c r="AI9" i="38"/>
  <c r="AK9" i="38"/>
  <c r="AQ9" i="38"/>
  <c r="C9" i="38"/>
  <c r="I9" i="38"/>
  <c r="K9" i="38"/>
  <c r="M9" i="38"/>
  <c r="S9" i="38"/>
  <c r="W9" i="38"/>
  <c r="AI8" i="38"/>
  <c r="AK8" i="38"/>
  <c r="AQ8" i="38"/>
  <c r="AS8" i="38"/>
  <c r="AY8" i="38"/>
  <c r="BA8" i="38"/>
  <c r="M8" i="38"/>
  <c r="S8" i="38"/>
  <c r="W8" i="38"/>
  <c r="Y8" i="38"/>
  <c r="AA8" i="38"/>
  <c r="AC8" i="38"/>
  <c r="AS7" i="38"/>
  <c r="AY7" i="38"/>
  <c r="BA7" i="38"/>
  <c r="C8" i="38"/>
  <c r="I8" i="38"/>
  <c r="K8" i="38"/>
  <c r="Y7" i="38"/>
  <c r="AA7" i="38"/>
  <c r="AC7" i="38"/>
  <c r="AI7" i="38"/>
  <c r="AK7" i="38"/>
  <c r="AQ7" i="38"/>
  <c r="C7" i="38"/>
  <c r="I7" i="38"/>
  <c r="K7" i="38"/>
  <c r="M7" i="38"/>
  <c r="S7" i="38"/>
  <c r="W7" i="38"/>
  <c r="FM21" i="38"/>
  <c r="BA21" i="38"/>
  <c r="BE21" i="38"/>
  <c r="FO21" i="38"/>
  <c r="FA21" i="38"/>
  <c r="FC21" i="38"/>
  <c r="FE21" i="38"/>
  <c r="FG21" i="38"/>
  <c r="FI21" i="38"/>
  <c r="FK21" i="38"/>
  <c r="EO21" i="38"/>
  <c r="EQ21" i="38"/>
  <c r="ES21" i="38"/>
  <c r="EU21" i="38"/>
  <c r="EW21" i="38"/>
  <c r="EY21" i="38"/>
  <c r="EA21" i="38"/>
  <c r="EC21" i="38"/>
  <c r="EE21" i="38"/>
  <c r="EI21" i="38"/>
  <c r="EK21" i="38"/>
  <c r="EM21" i="38"/>
  <c r="DO21" i="38"/>
  <c r="DQ21" i="38"/>
  <c r="DS21" i="38"/>
  <c r="DU21" i="38"/>
  <c r="DW21" i="38"/>
  <c r="DY21" i="38"/>
  <c r="DC21" i="38"/>
  <c r="DE21" i="38"/>
  <c r="DG21" i="38"/>
  <c r="DI21" i="38"/>
  <c r="DK21" i="38"/>
  <c r="DM21" i="38"/>
  <c r="CQ21" i="38"/>
  <c r="CS21" i="38"/>
  <c r="CU21" i="38"/>
  <c r="CW21" i="38"/>
  <c r="CY21" i="38"/>
  <c r="DA21" i="38"/>
  <c r="CE21" i="38"/>
  <c r="CG21" i="38"/>
  <c r="CI21" i="38"/>
  <c r="CK21" i="38"/>
  <c r="CM21" i="38"/>
  <c r="CO21" i="38"/>
  <c r="BQ21" i="38"/>
  <c r="BS21" i="38"/>
  <c r="BW21" i="38"/>
  <c r="BY21" i="38"/>
  <c r="CA21" i="38"/>
  <c r="CC21" i="38"/>
  <c r="BC21" i="38"/>
  <c r="BG21" i="38"/>
  <c r="BO21" i="38"/>
  <c r="AO21" i="38"/>
  <c r="AQ21" i="38"/>
  <c r="AS21" i="38"/>
  <c r="AU21" i="38"/>
  <c r="AW21" i="38"/>
  <c r="AY21" i="38"/>
  <c r="AA21" i="38"/>
  <c r="AC21" i="38"/>
  <c r="AG21" i="38"/>
  <c r="AI21" i="38"/>
  <c r="AK21" i="38"/>
  <c r="AM21" i="38"/>
  <c r="I21" i="38"/>
  <c r="K21" i="38"/>
  <c r="M21" i="38"/>
  <c r="S21" i="38"/>
  <c r="W21" i="38"/>
  <c r="Y21" i="38"/>
  <c r="C21" i="38"/>
  <c r="E21" i="38"/>
  <c r="G21" i="38"/>
  <c r="A24" i="41"/>
  <c r="A25" i="41"/>
  <c r="A16" i="41"/>
  <c r="L81" i="37"/>
  <c r="L68" i="37"/>
  <c r="L18" i="37"/>
  <c r="J10" i="37"/>
  <c r="K10" i="37"/>
  <c r="L10" i="37"/>
  <c r="E10" i="37"/>
  <c r="F10" i="37"/>
  <c r="G10" i="37"/>
  <c r="H10" i="37"/>
  <c r="I10" i="37"/>
  <c r="AA1" i="37"/>
  <c r="A7" i="37"/>
  <c r="B10" i="37"/>
  <c r="C10" i="37"/>
  <c r="D10" i="37"/>
  <c r="A5" i="41"/>
  <c r="A6" i="41"/>
  <c r="A8" i="41"/>
  <c r="CY8" i="41" a="1"/>
  <c r="CY8" i="41"/>
  <c r="CY9" i="41"/>
  <c r="CY10" i="41"/>
  <c r="CY11" i="41"/>
  <c r="CY12" i="41"/>
  <c r="CY13" i="41"/>
  <c r="CY14" i="41"/>
  <c r="CY15" i="41"/>
  <c r="CY16" i="41"/>
  <c r="CY17" i="41"/>
  <c r="CY18" i="41"/>
  <c r="CY19" i="41"/>
  <c r="CY20" i="41"/>
  <c r="CY21" i="41"/>
  <c r="CY22" i="41"/>
  <c r="CY23" i="41"/>
  <c r="CY24" i="41"/>
  <c r="CY25" i="41"/>
  <c r="CY26" i="41"/>
  <c r="CY27" i="41"/>
  <c r="CY28" i="41"/>
  <c r="CY29" i="41"/>
  <c r="CY30" i="41"/>
  <c r="CY31" i="41"/>
  <c r="CY32" i="41"/>
  <c r="CY33" i="41"/>
  <c r="CY34" i="41"/>
  <c r="CY35" i="41"/>
  <c r="CY36" i="41"/>
  <c r="CY37" i="41"/>
  <c r="CY38" i="41"/>
  <c r="CY39" i="41"/>
  <c r="CY40" i="41"/>
  <c r="CY41" i="41"/>
  <c r="CY42" i="41"/>
  <c r="CY43" i="41"/>
  <c r="CY44" i="41"/>
  <c r="CY45" i="41"/>
  <c r="CY46" i="41"/>
  <c r="CY47" i="41"/>
  <c r="CY48" i="41"/>
  <c r="CY49" i="41"/>
  <c r="CY50" i="41"/>
  <c r="CY51" i="41"/>
  <c r="CY52" i="41"/>
  <c r="CY53" i="41"/>
  <c r="CY54" i="41"/>
  <c r="CY55" i="41"/>
  <c r="CY56" i="41"/>
  <c r="CY57" i="41"/>
  <c r="CY58" i="41"/>
  <c r="CY59" i="41"/>
  <c r="CY60" i="41"/>
  <c r="CY61" i="41"/>
  <c r="CY62" i="41"/>
  <c r="CY63" i="41"/>
  <c r="CY64" i="41"/>
  <c r="CY65" i="41"/>
  <c r="CY66" i="41"/>
  <c r="CY67" i="41"/>
  <c r="CY68" i="41"/>
  <c r="CY69" i="41"/>
  <c r="CY70" i="41"/>
  <c r="CY71" i="41"/>
  <c r="CY72" i="41"/>
  <c r="CY73" i="41"/>
  <c r="CY74" i="41"/>
  <c r="CY75" i="41"/>
  <c r="CY76" i="41"/>
  <c r="CY77" i="41"/>
  <c r="CY78" i="41"/>
  <c r="CY79" i="41"/>
  <c r="CY80" i="41"/>
  <c r="CY81" i="41"/>
  <c r="CY82" i="41"/>
  <c r="CY83" i="41"/>
  <c r="CY84" i="41"/>
  <c r="CY85" i="41"/>
  <c r="CY86" i="41"/>
  <c r="CY87" i="41"/>
  <c r="CY88" i="41"/>
  <c r="CY89" i="41"/>
  <c r="CY90" i="41"/>
  <c r="CY91" i="41"/>
  <c r="CY92" i="41"/>
  <c r="CY93" i="41"/>
  <c r="CY94" i="41"/>
  <c r="CY95" i="41"/>
  <c r="CY96" i="41"/>
  <c r="CY97" i="41"/>
  <c r="CY98" i="41"/>
  <c r="CY99" i="41"/>
  <c r="CY100" i="41"/>
  <c r="CY101" i="41"/>
  <c r="CY102" i="41"/>
  <c r="CY103" i="41"/>
  <c r="CY104" i="41"/>
  <c r="CY105" i="41"/>
  <c r="CY106" i="41"/>
  <c r="CY107" i="41"/>
  <c r="A9" i="41"/>
  <c r="A10" i="41"/>
  <c r="A11" i="41"/>
  <c r="A12" i="41"/>
  <c r="A13" i="41"/>
  <c r="A14" i="41"/>
  <c r="A15" i="41"/>
  <c r="A17" i="41"/>
  <c r="A18" i="41"/>
  <c r="A19" i="41"/>
  <c r="A20" i="41"/>
  <c r="A21" i="41"/>
  <c r="A22" i="41"/>
  <c r="A23" i="41"/>
  <c r="A26" i="41"/>
  <c r="A27" i="41"/>
  <c r="A28" i="41"/>
  <c r="A29" i="41"/>
  <c r="A30" i="41"/>
  <c r="A31" i="41"/>
  <c r="A32" i="41"/>
  <c r="A33" i="41"/>
  <c r="A34" i="41"/>
  <c r="A35" i="41"/>
  <c r="A36" i="41"/>
  <c r="A37" i="41"/>
  <c r="A38" i="41"/>
  <c r="A39" i="41"/>
  <c r="A40" i="41"/>
  <c r="A41" i="41"/>
  <c r="A42" i="41"/>
  <c r="A43" i="41"/>
  <c r="A44" i="41"/>
  <c r="A45" i="41"/>
  <c r="A46" i="41"/>
  <c r="A47" i="41"/>
  <c r="A48" i="41"/>
  <c r="A49" i="41"/>
  <c r="A50" i="41"/>
  <c r="A51" i="41"/>
  <c r="A52" i="41"/>
  <c r="A53" i="41"/>
  <c r="A54" i="41"/>
  <c r="A55" i="41"/>
  <c r="A56" i="41"/>
  <c r="A57" i="41"/>
  <c r="A58" i="41"/>
  <c r="A59" i="41"/>
  <c r="A60" i="41"/>
  <c r="A61" i="41"/>
  <c r="A62" i="41"/>
  <c r="A63" i="41"/>
  <c r="A64" i="41"/>
  <c r="A65" i="41"/>
  <c r="A66" i="41"/>
  <c r="A67" i="41"/>
  <c r="A68" i="41"/>
  <c r="A69" i="41"/>
  <c r="A70" i="41"/>
  <c r="A71" i="41"/>
  <c r="A72" i="41"/>
  <c r="A73" i="41"/>
  <c r="A74" i="41"/>
  <c r="A75" i="41"/>
  <c r="A76" i="41"/>
  <c r="A77" i="41"/>
  <c r="A78" i="41"/>
  <c r="A79" i="41"/>
  <c r="A80" i="41"/>
  <c r="A81" i="41"/>
  <c r="A82" i="41"/>
  <c r="A83" i="41"/>
  <c r="A84" i="41"/>
  <c r="A85" i="41"/>
  <c r="A86" i="41"/>
  <c r="A87" i="41"/>
  <c r="A88" i="41"/>
  <c r="A89" i="41"/>
  <c r="A90" i="41"/>
  <c r="A91" i="41"/>
  <c r="A92" i="41"/>
  <c r="A93" i="41"/>
  <c r="A94" i="41"/>
  <c r="A95" i="41"/>
  <c r="A96" i="41"/>
  <c r="A97" i="41"/>
  <c r="A98" i="41"/>
  <c r="A99" i="41"/>
  <c r="A100" i="41"/>
  <c r="A101" i="41"/>
  <c r="A102" i="41"/>
  <c r="A103" i="41"/>
  <c r="A104" i="41"/>
  <c r="A105" i="41"/>
  <c r="A106" i="41"/>
  <c r="A107" i="41"/>
  <c r="A108" i="41"/>
  <c r="A109" i="41"/>
  <c r="A110" i="41"/>
  <c r="A111" i="41"/>
  <c r="A112" i="41"/>
  <c r="A113" i="41"/>
  <c r="A114" i="41"/>
  <c r="A115" i="41"/>
  <c r="A116" i="41"/>
  <c r="A117" i="41"/>
  <c r="A118" i="41"/>
  <c r="A119" i="41"/>
  <c r="A120" i="41"/>
  <c r="A121" i="41"/>
  <c r="A122" i="41"/>
  <c r="A123" i="41"/>
  <c r="A124" i="41"/>
  <c r="A125" i="41"/>
  <c r="A126" i="41"/>
  <c r="A127" i="41"/>
  <c r="A128" i="41"/>
  <c r="A129" i="41"/>
  <c r="A130" i="41"/>
  <c r="A131" i="41"/>
  <c r="A132" i="41"/>
  <c r="A133" i="41"/>
  <c r="A134" i="41"/>
  <c r="A135" i="41"/>
  <c r="A136" i="41"/>
  <c r="A137" i="41"/>
  <c r="A138" i="41"/>
  <c r="A139" i="41"/>
  <c r="A140" i="41"/>
  <c r="A141" i="41"/>
  <c r="A142" i="41"/>
  <c r="A143" i="41"/>
  <c r="A144" i="41"/>
  <c r="A145" i="41"/>
  <c r="A146" i="41"/>
  <c r="A147" i="41"/>
  <c r="A148" i="41"/>
  <c r="A149" i="41"/>
  <c r="A150" i="41"/>
  <c r="A151" i="41"/>
  <c r="A152" i="41"/>
  <c r="A153" i="41"/>
  <c r="A154" i="41"/>
  <c r="A155" i="41"/>
  <c r="A156" i="41"/>
  <c r="A157" i="41"/>
  <c r="A158" i="41"/>
  <c r="A159" i="41"/>
  <c r="A160" i="41"/>
  <c r="A161" i="41"/>
  <c r="A162" i="41"/>
  <c r="A163" i="41"/>
  <c r="A164" i="41"/>
  <c r="A165" i="41"/>
  <c r="A166" i="41"/>
  <c r="A167" i="41"/>
  <c r="A168" i="41"/>
  <c r="A169" i="41"/>
  <c r="A170" i="41"/>
  <c r="A171" i="41"/>
  <c r="A172" i="41"/>
  <c r="A173" i="41"/>
  <c r="A174" i="41"/>
  <c r="A175" i="41"/>
  <c r="A176" i="41"/>
  <c r="A177" i="41"/>
  <c r="A178" i="41"/>
  <c r="A179" i="41"/>
  <c r="A180" i="41"/>
  <c r="A181" i="41"/>
  <c r="A182" i="41"/>
  <c r="A183" i="41"/>
  <c r="A184" i="41"/>
  <c r="A185" i="41"/>
  <c r="A186" i="41"/>
  <c r="A187" i="41"/>
  <c r="A188" i="41"/>
  <c r="A189" i="41"/>
  <c r="A190" i="41"/>
  <c r="A191" i="41"/>
  <c r="A192" i="41"/>
  <c r="A193" i="41"/>
  <c r="A194" i="41"/>
  <c r="A195" i="41"/>
  <c r="A196" i="41"/>
  <c r="A197" i="41"/>
  <c r="A198" i="41"/>
  <c r="A199" i="41"/>
  <c r="A200" i="41"/>
  <c r="A201" i="41"/>
  <c r="A202" i="41"/>
  <c r="A203" i="41"/>
  <c r="A204" i="41"/>
  <c r="A205" i="41"/>
  <c r="A206" i="41"/>
  <c r="A207" i="41"/>
  <c r="A208" i="41"/>
  <c r="A209" i="41"/>
  <c r="A210" i="41"/>
  <c r="A211" i="41"/>
  <c r="A212" i="41"/>
  <c r="A213" i="41"/>
  <c r="A214" i="41"/>
  <c r="A215" i="41"/>
  <c r="A216" i="41"/>
  <c r="A217" i="41"/>
  <c r="A218" i="41"/>
  <c r="A219" i="41"/>
  <c r="A220" i="41"/>
  <c r="A221" i="41"/>
  <c r="A222" i="41"/>
  <c r="A223" i="41"/>
  <c r="A224" i="41"/>
  <c r="A225" i="41"/>
  <c r="A226" i="41"/>
  <c r="A227" i="41"/>
  <c r="A228" i="41"/>
  <c r="A229" i="41"/>
  <c r="A230" i="41"/>
  <c r="A231" i="41"/>
  <c r="A232" i="41"/>
  <c r="A233" i="41"/>
  <c r="A234" i="41"/>
  <c r="A235" i="41"/>
  <c r="A236" i="41"/>
  <c r="A237" i="41"/>
  <c r="A238" i="41"/>
  <c r="A239" i="41"/>
  <c r="A240" i="41"/>
  <c r="A241" i="41"/>
  <c r="A242" i="41"/>
  <c r="A243" i="41"/>
  <c r="A244" i="41"/>
  <c r="A245" i="41"/>
  <c r="A246" i="41"/>
  <c r="A247" i="41"/>
  <c r="A248" i="41"/>
  <c r="A249" i="41"/>
  <c r="A250" i="41"/>
  <c r="A251" i="41"/>
  <c r="A252" i="41"/>
  <c r="A253" i="41"/>
  <c r="A254" i="41"/>
  <c r="A255" i="41"/>
  <c r="A256" i="41"/>
  <c r="A257" i="41"/>
  <c r="A258" i="41"/>
  <c r="A259" i="41"/>
  <c r="A260" i="41"/>
  <c r="A261" i="41"/>
  <c r="A262" i="41"/>
  <c r="A263" i="41"/>
  <c r="A264" i="41"/>
  <c r="A265" i="41"/>
  <c r="A266" i="41"/>
  <c r="A267" i="41"/>
  <c r="A268" i="41"/>
  <c r="A269" i="41"/>
  <c r="A270" i="41"/>
  <c r="A271" i="41"/>
  <c r="A272" i="41"/>
  <c r="A273" i="41"/>
  <c r="A274" i="41"/>
  <c r="A275" i="41"/>
  <c r="A276" i="41"/>
  <c r="A277" i="41"/>
  <c r="A278" i="41"/>
  <c r="A279" i="41"/>
  <c r="A280" i="41"/>
  <c r="A281" i="41"/>
  <c r="A282" i="41"/>
  <c r="A283" i="41"/>
  <c r="A284" i="41"/>
  <c r="A285" i="41"/>
  <c r="A286" i="41"/>
  <c r="A287" i="41"/>
  <c r="A288" i="41"/>
  <c r="A289" i="41"/>
  <c r="A290" i="41"/>
  <c r="A291" i="41"/>
  <c r="A292" i="41"/>
  <c r="A293" i="41"/>
  <c r="A294" i="41"/>
  <c r="A295" i="41"/>
  <c r="A296" i="41"/>
  <c r="A297" i="41"/>
  <c r="A298" i="41"/>
  <c r="A299" i="41"/>
  <c r="A300" i="41"/>
  <c r="A301" i="41"/>
  <c r="A302" i="41"/>
  <c r="A303" i="41"/>
  <c r="A304" i="41"/>
  <c r="A305" i="41"/>
  <c r="A306" i="41"/>
  <c r="A307" i="41"/>
  <c r="A308" i="41"/>
  <c r="A309" i="41"/>
  <c r="A310" i="41"/>
  <c r="A311" i="41"/>
  <c r="A312" i="41"/>
  <c r="A313" i="41"/>
  <c r="A314" i="41"/>
  <c r="A315" i="41"/>
  <c r="A316" i="41"/>
  <c r="A317" i="41"/>
  <c r="A318" i="41"/>
  <c r="A319" i="41"/>
  <c r="A320" i="41"/>
  <c r="A321" i="41"/>
  <c r="A322" i="41"/>
  <c r="A323" i="41"/>
  <c r="A324" i="41"/>
  <c r="A325" i="41"/>
  <c r="A326" i="41"/>
  <c r="A327" i="41"/>
  <c r="A328" i="41"/>
  <c r="A329" i="41"/>
  <c r="A330" i="41"/>
  <c r="A331" i="41"/>
  <c r="A332" i="41"/>
  <c r="A333" i="41"/>
  <c r="A334" i="41"/>
  <c r="A335" i="41"/>
  <c r="A336" i="41"/>
  <c r="A337" i="41"/>
  <c r="A338" i="41"/>
  <c r="A339" i="41"/>
  <c r="A340" i="41"/>
  <c r="A341" i="41"/>
  <c r="A342" i="41"/>
  <c r="A343" i="41"/>
  <c r="A344" i="41"/>
  <c r="A345" i="41"/>
  <c r="A346" i="41"/>
  <c r="A347" i="41"/>
  <c r="A348" i="41"/>
  <c r="A349" i="41"/>
  <c r="A350" i="41"/>
  <c r="A351" i="41"/>
  <c r="A352" i="41"/>
  <c r="A353" i="41"/>
  <c r="A354" i="41"/>
  <c r="A355" i="41"/>
  <c r="A356" i="41"/>
  <c r="A357" i="41"/>
  <c r="A358" i="41"/>
  <c r="A359" i="41"/>
  <c r="A360" i="41"/>
  <c r="A361" i="41"/>
  <c r="A362" i="41"/>
  <c r="A363" i="41"/>
  <c r="A364" i="41"/>
  <c r="A365" i="41"/>
  <c r="A366" i="41"/>
  <c r="A367" i="41"/>
  <c r="A368" i="41"/>
  <c r="A369" i="41"/>
  <c r="A370" i="41"/>
  <c r="A371" i="41"/>
  <c r="A372" i="41"/>
  <c r="A373" i="41"/>
  <c r="A374" i="41"/>
  <c r="A375" i="41"/>
  <c r="A376" i="41"/>
  <c r="A377" i="41"/>
  <c r="A378" i="41"/>
  <c r="A379" i="41"/>
  <c r="A380" i="41"/>
  <c r="A381" i="41"/>
  <c r="A382" i="41"/>
  <c r="A383" i="41"/>
  <c r="A384" i="41"/>
  <c r="A385" i="41"/>
  <c r="A386" i="41"/>
  <c r="A387" i="41"/>
  <c r="A388" i="41"/>
  <c r="A389" i="41"/>
  <c r="A390" i="41"/>
  <c r="A391" i="41"/>
  <c r="A392" i="41"/>
  <c r="A393" i="41"/>
  <c r="A394" i="41"/>
  <c r="A395" i="41"/>
  <c r="A396" i="41"/>
  <c r="A397" i="41"/>
  <c r="A398" i="41"/>
  <c r="A399" i="41"/>
  <c r="A400" i="41"/>
  <c r="A401" i="41"/>
  <c r="A402" i="41"/>
  <c r="A403" i="41"/>
  <c r="A404" i="41"/>
  <c r="A405" i="41"/>
  <c r="A406" i="41"/>
  <c r="A407" i="41"/>
  <c r="A408" i="41"/>
  <c r="A409" i="41"/>
  <c r="A410" i="41"/>
  <c r="A411" i="41"/>
  <c r="A412" i="41"/>
  <c r="A413" i="41"/>
  <c r="A414" i="41"/>
  <c r="A415" i="41"/>
  <c r="A416" i="41"/>
  <c r="A417" i="41"/>
  <c r="A418" i="41"/>
  <c r="A419" i="41"/>
  <c r="A420" i="41"/>
  <c r="A421" i="41"/>
  <c r="A422" i="41"/>
  <c r="A423" i="41"/>
  <c r="A424" i="41"/>
  <c r="A425" i="41"/>
  <c r="A426" i="41"/>
  <c r="A427" i="41"/>
  <c r="A428" i="41"/>
  <c r="A429" i="41"/>
  <c r="A430" i="41"/>
  <c r="A431" i="41"/>
  <c r="A432" i="41"/>
  <c r="A433" i="41"/>
  <c r="A434" i="41"/>
  <c r="A435" i="41"/>
  <c r="A436" i="41"/>
  <c r="A437" i="41"/>
  <c r="A438" i="41"/>
  <c r="A439" i="41"/>
  <c r="A440" i="41"/>
  <c r="A441" i="41"/>
  <c r="A442" i="41"/>
  <c r="A443" i="41"/>
  <c r="A444" i="41"/>
  <c r="A445" i="41"/>
  <c r="A446" i="41"/>
  <c r="A447" i="41"/>
  <c r="A448" i="41"/>
  <c r="A449" i="41"/>
  <c r="A450" i="41"/>
  <c r="A451" i="41"/>
  <c r="A452" i="41"/>
  <c r="A453" i="41"/>
  <c r="A454" i="41"/>
  <c r="A455" i="41"/>
  <c r="A456" i="41"/>
  <c r="A457" i="41"/>
  <c r="A458" i="41"/>
  <c r="A459" i="41"/>
  <c r="A460" i="41"/>
  <c r="A461" i="41"/>
  <c r="A462" i="41"/>
  <c r="A463" i="41"/>
  <c r="A464" i="41"/>
  <c r="A465" i="41"/>
  <c r="A466" i="41"/>
  <c r="A467" i="41"/>
  <c r="A468" i="41"/>
  <c r="A469" i="41"/>
  <c r="A470" i="41"/>
  <c r="A471" i="41"/>
  <c r="A472" i="41"/>
  <c r="A473" i="41"/>
  <c r="A474" i="41"/>
  <c r="A475" i="41"/>
  <c r="A476" i="41"/>
  <c r="A477" i="41"/>
  <c r="A478" i="41"/>
  <c r="A479" i="41"/>
  <c r="A480" i="41"/>
  <c r="A481" i="41"/>
  <c r="A482" i="41"/>
  <c r="A483" i="41"/>
  <c r="A484" i="41"/>
  <c r="A485" i="41"/>
  <c r="A486" i="41"/>
  <c r="A487" i="41"/>
  <c r="A488" i="41"/>
  <c r="A489" i="41"/>
  <c r="A490" i="41"/>
  <c r="A491" i="41"/>
  <c r="A492" i="41"/>
  <c r="A493" i="41"/>
  <c r="A494" i="41"/>
  <c r="A495" i="41"/>
  <c r="A496" i="41"/>
  <c r="A497" i="41"/>
  <c r="A498" i="41"/>
  <c r="A499" i="41"/>
  <c r="A500" i="41"/>
  <c r="A501" i="41"/>
  <c r="A502" i="41"/>
  <c r="A503" i="41"/>
  <c r="A504" i="41"/>
  <c r="A505" i="41"/>
  <c r="A506" i="41"/>
  <c r="A507" i="41"/>
  <c r="A508" i="41"/>
  <c r="A509" i="41"/>
  <c r="A510" i="41"/>
  <c r="A511" i="41"/>
  <c r="A512" i="41"/>
  <c r="A513" i="41"/>
  <c r="A514" i="41"/>
  <c r="A515" i="41"/>
  <c r="A516" i="41"/>
  <c r="A517" i="41"/>
  <c r="A518" i="41"/>
  <c r="A519" i="41"/>
  <c r="A520" i="41"/>
  <c r="A521" i="41"/>
  <c r="A522" i="41"/>
  <c r="A523" i="41"/>
  <c r="A524" i="41"/>
  <c r="A525" i="41"/>
  <c r="A526" i="41"/>
  <c r="A527" i="41"/>
  <c r="A528" i="41"/>
  <c r="A529" i="41"/>
  <c r="A530" i="41"/>
  <c r="A531" i="41"/>
  <c r="A532" i="41"/>
  <c r="A533" i="41"/>
  <c r="A534" i="41"/>
  <c r="A535" i="41"/>
  <c r="A536" i="41"/>
  <c r="A537" i="41"/>
  <c r="A538" i="41"/>
  <c r="A539" i="41"/>
  <c r="A540" i="41"/>
  <c r="A541" i="41"/>
  <c r="A542" i="41"/>
  <c r="A543" i="41"/>
  <c r="A544" i="41"/>
  <c r="A545" i="41"/>
  <c r="A546" i="41"/>
  <c r="A547" i="41"/>
  <c r="A548" i="41"/>
  <c r="A549" i="41"/>
  <c r="A550" i="41"/>
  <c r="A551" i="41"/>
  <c r="A552" i="41"/>
  <c r="A553" i="41"/>
  <c r="A554" i="41"/>
  <c r="A555" i="41"/>
  <c r="A556" i="41"/>
  <c r="A557" i="41"/>
  <c r="A558" i="41"/>
  <c r="A559" i="41"/>
  <c r="A560" i="41"/>
  <c r="A561" i="41"/>
  <c r="A562" i="41"/>
  <c r="A563" i="41"/>
  <c r="A564" i="41"/>
  <c r="A565" i="41"/>
  <c r="A566" i="41"/>
  <c r="A567" i="41"/>
  <c r="A568" i="41"/>
  <c r="A569" i="41"/>
  <c r="A570" i="41"/>
  <c r="A571" i="41"/>
  <c r="A572" i="41"/>
  <c r="A573" i="41"/>
  <c r="A574" i="41"/>
  <c r="A575" i="41"/>
  <c r="A576" i="41"/>
  <c r="A577" i="41"/>
  <c r="A578" i="41"/>
  <c r="A579" i="41"/>
  <c r="A580" i="41"/>
  <c r="A581" i="41"/>
  <c r="A582" i="41"/>
  <c r="A583" i="41"/>
  <c r="A584" i="41"/>
  <c r="A585" i="41"/>
  <c r="A586" i="41"/>
  <c r="A587" i="41"/>
  <c r="A588" i="41"/>
  <c r="A589" i="41"/>
  <c r="A590" i="41"/>
  <c r="A591" i="41"/>
  <c r="A592" i="41"/>
  <c r="A593" i="41"/>
  <c r="A594" i="41"/>
  <c r="A595" i="41"/>
  <c r="A596" i="41"/>
  <c r="A597" i="41"/>
  <c r="A598" i="41"/>
  <c r="A599" i="41"/>
  <c r="A600" i="41"/>
  <c r="A601" i="41"/>
  <c r="A602" i="41"/>
  <c r="A603" i="41"/>
  <c r="A604" i="41"/>
  <c r="A605" i="41"/>
  <c r="A606" i="41"/>
  <c r="A607" i="41"/>
  <c r="A608" i="41"/>
  <c r="A609" i="41"/>
  <c r="A610" i="41"/>
  <c r="A611" i="41"/>
  <c r="A612" i="41"/>
  <c r="A613" i="41"/>
  <c r="A614" i="41"/>
  <c r="A615" i="41"/>
  <c r="A616" i="41"/>
  <c r="A617" i="41"/>
  <c r="A618" i="41"/>
  <c r="A619" i="41"/>
  <c r="A620" i="41"/>
  <c r="A621" i="41"/>
  <c r="A622" i="41"/>
  <c r="A623" i="41"/>
  <c r="A624" i="41"/>
  <c r="A625" i="41"/>
  <c r="A626" i="41"/>
  <c r="A627" i="41"/>
  <c r="A628" i="41"/>
  <c r="A629" i="41"/>
  <c r="A630" i="41"/>
  <c r="A631" i="41"/>
  <c r="A632" i="41"/>
  <c r="A633" i="41"/>
  <c r="A634" i="41"/>
  <c r="A635" i="41"/>
  <c r="A636" i="41"/>
  <c r="A637" i="41"/>
  <c r="A638" i="41"/>
  <c r="A639" i="41"/>
  <c r="A640" i="41"/>
  <c r="A641" i="41"/>
  <c r="A642" i="41"/>
  <c r="A643" i="41"/>
  <c r="A644" i="41"/>
  <c r="A645" i="41"/>
  <c r="A646" i="41"/>
  <c r="A647" i="41"/>
  <c r="A648" i="41"/>
  <c r="A649" i="41"/>
  <c r="A650" i="41"/>
  <c r="A651" i="41"/>
  <c r="A652" i="41"/>
  <c r="A653" i="41"/>
  <c r="A654" i="41"/>
  <c r="A655" i="41"/>
  <c r="A656" i="41"/>
  <c r="A657" i="41"/>
  <c r="A658" i="41"/>
  <c r="A659" i="41"/>
  <c r="A660" i="41"/>
  <c r="A661" i="41"/>
  <c r="A662" i="41"/>
  <c r="A663" i="41"/>
  <c r="A664" i="41"/>
  <c r="A665" i="41"/>
  <c r="A666" i="41"/>
  <c r="A667" i="41"/>
  <c r="A668" i="41"/>
  <c r="A669" i="41"/>
  <c r="A670" i="41"/>
  <c r="A671" i="41"/>
  <c r="A672" i="41"/>
  <c r="A673" i="41"/>
  <c r="A674" i="41"/>
  <c r="A675" i="41"/>
  <c r="A676" i="41"/>
  <c r="A677" i="41"/>
  <c r="A678" i="41"/>
  <c r="A679" i="41"/>
  <c r="A680" i="41"/>
  <c r="A681" i="41"/>
  <c r="A682" i="41"/>
  <c r="A683" i="41"/>
  <c r="A684" i="41"/>
  <c r="A685" i="41"/>
  <c r="A686" i="41"/>
  <c r="A687" i="41"/>
  <c r="A688" i="41"/>
  <c r="A689" i="41"/>
  <c r="A690" i="41"/>
  <c r="A691" i="41"/>
  <c r="A692" i="41"/>
  <c r="A693" i="41"/>
  <c r="A694" i="41"/>
  <c r="A695" i="41"/>
  <c r="A696" i="41"/>
  <c r="A697" i="41"/>
  <c r="A698" i="41"/>
  <c r="A699" i="41"/>
  <c r="A700" i="41"/>
  <c r="A701" i="41"/>
  <c r="A702" i="41"/>
  <c r="A703" i="41"/>
  <c r="A704" i="41"/>
  <c r="A705" i="41"/>
  <c r="A706" i="41"/>
  <c r="A707" i="41"/>
  <c r="A708" i="41"/>
  <c r="A709" i="41"/>
  <c r="A710" i="41"/>
  <c r="A711" i="41"/>
  <c r="A712" i="41"/>
  <c r="A713" i="41"/>
  <c r="A714" i="41"/>
  <c r="A715" i="41"/>
  <c r="A716" i="41"/>
  <c r="A717" i="41"/>
  <c r="A718" i="41"/>
  <c r="A719" i="41"/>
  <c r="A720" i="41"/>
  <c r="A721" i="41"/>
  <c r="A722" i="41"/>
  <c r="A723" i="41"/>
  <c r="A724" i="41"/>
  <c r="A725" i="41"/>
  <c r="A726" i="41"/>
  <c r="A727" i="41"/>
  <c r="A728" i="41"/>
  <c r="A729" i="41"/>
  <c r="A730" i="41"/>
  <c r="A731" i="41"/>
  <c r="A732" i="41"/>
  <c r="A733" i="41"/>
  <c r="A734" i="41"/>
  <c r="A735" i="41"/>
  <c r="A736" i="41"/>
  <c r="A737" i="41"/>
  <c r="A738" i="41"/>
  <c r="A739" i="41"/>
  <c r="A740" i="41"/>
  <c r="A741" i="41"/>
  <c r="A742" i="41"/>
  <c r="A743" i="41"/>
  <c r="A744" i="41"/>
  <c r="A745" i="41"/>
  <c r="A746" i="41"/>
  <c r="A747" i="41"/>
  <c r="A748" i="41"/>
  <c r="A749" i="41"/>
  <c r="A750" i="41"/>
  <c r="A751" i="41"/>
  <c r="A752" i="41"/>
  <c r="A753" i="41"/>
  <c r="A754" i="41"/>
  <c r="A755" i="41"/>
  <c r="A756" i="41"/>
  <c r="A757" i="41"/>
  <c r="A758" i="41"/>
  <c r="A759" i="41"/>
  <c r="A760" i="41"/>
  <c r="A761" i="41"/>
  <c r="A762" i="41"/>
  <c r="A763" i="41"/>
  <c r="A764" i="41"/>
  <c r="A765" i="41"/>
  <c r="A766" i="41"/>
  <c r="A767" i="41"/>
  <c r="A768" i="41"/>
  <c r="A769" i="41"/>
  <c r="A770" i="41"/>
  <c r="A771" i="41"/>
  <c r="A772" i="41"/>
  <c r="A773" i="41"/>
  <c r="A774" i="41"/>
  <c r="A775" i="41"/>
  <c r="A776" i="41"/>
  <c r="A777" i="41"/>
  <c r="A778" i="41"/>
  <c r="A779" i="41"/>
  <c r="A780" i="41"/>
  <c r="A781" i="41"/>
  <c r="A782" i="41"/>
  <c r="A783" i="41"/>
  <c r="A784" i="41"/>
  <c r="A785" i="41"/>
  <c r="A786" i="41"/>
  <c r="A787" i="41"/>
  <c r="A788" i="41"/>
  <c r="A789" i="41"/>
  <c r="A790" i="41"/>
  <c r="A791" i="41"/>
  <c r="A792" i="41"/>
  <c r="A793" i="41"/>
  <c r="A794" i="41"/>
  <c r="A795" i="41"/>
  <c r="A796" i="41"/>
  <c r="A797" i="41"/>
  <c r="A798" i="41"/>
  <c r="A799" i="41"/>
  <c r="A800" i="41"/>
  <c r="A801" i="41"/>
  <c r="A802" i="41"/>
  <c r="A803" i="41"/>
  <c r="A804" i="41"/>
  <c r="A805" i="41"/>
  <c r="A806" i="41"/>
  <c r="A807" i="41"/>
  <c r="A808" i="41"/>
  <c r="A809" i="41"/>
  <c r="A810" i="41"/>
  <c r="A811" i="41"/>
  <c r="A812" i="41"/>
  <c r="A813" i="41"/>
  <c r="A814" i="41"/>
  <c r="A815" i="41"/>
  <c r="A816" i="41"/>
  <c r="A817" i="41"/>
  <c r="A818" i="41"/>
  <c r="A819" i="41"/>
  <c r="A820" i="41"/>
  <c r="A821" i="41"/>
  <c r="A822" i="41"/>
  <c r="A823" i="41"/>
  <c r="A824" i="41"/>
  <c r="A825" i="41"/>
  <c r="A826" i="41"/>
  <c r="A827" i="41"/>
  <c r="A828" i="41"/>
  <c r="A829" i="41"/>
  <c r="A830" i="41"/>
  <c r="A831" i="41"/>
  <c r="A832" i="41"/>
  <c r="A833" i="41"/>
  <c r="A834" i="41"/>
  <c r="A835" i="41"/>
  <c r="A836" i="41"/>
  <c r="A837" i="41"/>
  <c r="A838" i="41"/>
  <c r="A839" i="41"/>
  <c r="A840" i="41"/>
  <c r="A841" i="41"/>
  <c r="A842" i="41"/>
  <c r="A843" i="41"/>
  <c r="A844" i="41"/>
  <c r="A845" i="41"/>
  <c r="A846" i="41"/>
  <c r="A847" i="41"/>
  <c r="A848" i="41"/>
  <c r="A849" i="41"/>
  <c r="A850" i="41"/>
  <c r="A851" i="41"/>
  <c r="A852" i="41"/>
  <c r="A853" i="41"/>
  <c r="A854" i="41"/>
  <c r="A855" i="41"/>
  <c r="A856" i="41"/>
  <c r="A857" i="41"/>
  <c r="A858" i="41"/>
  <c r="A859" i="41"/>
  <c r="A860" i="41"/>
  <c r="A861" i="41"/>
  <c r="A862" i="41"/>
  <c r="A863" i="41"/>
  <c r="A864" i="41"/>
  <c r="A865" i="41"/>
  <c r="A866" i="41"/>
  <c r="A867" i="41"/>
  <c r="A868" i="41"/>
  <c r="A869" i="41"/>
  <c r="A870" i="41"/>
  <c r="A871" i="41"/>
  <c r="A872" i="41"/>
  <c r="A873" i="41"/>
  <c r="A1" i="39"/>
  <c r="A3" i="38"/>
  <c r="A2" i="39"/>
  <c r="D3" i="39"/>
  <c r="F3" i="39"/>
  <c r="J3" i="39"/>
  <c r="L3" i="39"/>
  <c r="N3" i="39"/>
  <c r="P3" i="39"/>
  <c r="T3" i="39"/>
  <c r="X3" i="39"/>
  <c r="A4" i="39"/>
  <c r="C4" i="39"/>
  <c r="D4" i="39"/>
  <c r="F4" i="39"/>
  <c r="H4" i="39"/>
  <c r="J4" i="39"/>
  <c r="L4" i="39"/>
  <c r="N4" i="39"/>
  <c r="P4" i="39"/>
  <c r="R4" i="39"/>
  <c r="T4" i="39"/>
  <c r="V4" i="39"/>
  <c r="X4" i="39"/>
  <c r="Z4" i="39"/>
  <c r="A5" i="39"/>
  <c r="C5" i="39"/>
  <c r="D5" i="39"/>
  <c r="O7" i="38"/>
  <c r="F5" i="39"/>
  <c r="Q7" i="38"/>
  <c r="H5" i="39"/>
  <c r="J5" i="39"/>
  <c r="U7" i="38"/>
  <c r="L5" i="39"/>
  <c r="AE7" i="38"/>
  <c r="N5" i="39"/>
  <c r="P5" i="39"/>
  <c r="R5" i="39"/>
  <c r="T5" i="39"/>
  <c r="V5" i="39"/>
  <c r="X5" i="39"/>
  <c r="Z5" i="39"/>
  <c r="A6" i="39"/>
  <c r="C6" i="39"/>
  <c r="D6" i="39"/>
  <c r="O8" i="38"/>
  <c r="F6" i="39"/>
  <c r="Q8" i="38"/>
  <c r="H6" i="39"/>
  <c r="J6" i="39"/>
  <c r="U8" i="38"/>
  <c r="L6" i="39"/>
  <c r="AE8" i="38"/>
  <c r="N6" i="39"/>
  <c r="P6" i="39"/>
  <c r="R6" i="39"/>
  <c r="T6" i="39"/>
  <c r="V6" i="39"/>
  <c r="X6" i="39"/>
  <c r="Z6" i="39"/>
  <c r="A7" i="39"/>
  <c r="C7" i="39"/>
  <c r="D7" i="39"/>
  <c r="O9" i="38"/>
  <c r="F7" i="39"/>
  <c r="Q9" i="38"/>
  <c r="H7" i="39"/>
  <c r="J7" i="39"/>
  <c r="U9" i="38"/>
  <c r="L7" i="39"/>
  <c r="AE9" i="38"/>
  <c r="N7" i="39"/>
  <c r="P7" i="39"/>
  <c r="R7" i="39"/>
  <c r="T7" i="39"/>
  <c r="V7" i="39"/>
  <c r="X7" i="39"/>
  <c r="Z7" i="39"/>
  <c r="A8" i="39"/>
  <c r="C8" i="39"/>
  <c r="D8" i="39"/>
  <c r="O10" i="38"/>
  <c r="F8" i="39"/>
  <c r="Q10" i="38"/>
  <c r="H8" i="39"/>
  <c r="J8" i="39"/>
  <c r="U10" i="38"/>
  <c r="L8" i="39"/>
  <c r="AE10" i="38"/>
  <c r="N8" i="39"/>
  <c r="P8" i="39"/>
  <c r="R8" i="39"/>
  <c r="T8" i="39"/>
  <c r="V8" i="39"/>
  <c r="X8" i="39"/>
  <c r="Z8" i="39"/>
  <c r="A9" i="39"/>
  <c r="C9" i="39"/>
  <c r="D9" i="39"/>
  <c r="O11" i="38"/>
  <c r="F9" i="39"/>
  <c r="Q11" i="38"/>
  <c r="H9" i="39"/>
  <c r="J9" i="39"/>
  <c r="U11" i="38"/>
  <c r="L9" i="39"/>
  <c r="AE11" i="38"/>
  <c r="N9" i="39"/>
  <c r="P9" i="39"/>
  <c r="R9" i="39"/>
  <c r="T9" i="39"/>
  <c r="V9" i="39"/>
  <c r="X9" i="39"/>
  <c r="Z9" i="39"/>
  <c r="A10" i="39"/>
  <c r="C10" i="39"/>
  <c r="D10" i="39"/>
  <c r="O12" i="38"/>
  <c r="F10" i="39"/>
  <c r="Q12" i="38"/>
  <c r="H10" i="39"/>
  <c r="J10" i="39"/>
  <c r="U12" i="38"/>
  <c r="L10" i="39"/>
  <c r="AE12" i="38"/>
  <c r="N10" i="39"/>
  <c r="P10" i="39"/>
  <c r="R10" i="39"/>
  <c r="T10" i="39"/>
  <c r="V10" i="39"/>
  <c r="X10" i="39"/>
  <c r="Z10" i="39"/>
  <c r="A11" i="39"/>
  <c r="C11" i="39"/>
  <c r="D11" i="39"/>
  <c r="O13" i="38"/>
  <c r="F11" i="39"/>
  <c r="Q13" i="38"/>
  <c r="H11" i="39"/>
  <c r="J11" i="39"/>
  <c r="U13" i="38"/>
  <c r="L11" i="39"/>
  <c r="AE13" i="38"/>
  <c r="N11" i="39"/>
  <c r="P11" i="39"/>
  <c r="R11" i="39"/>
  <c r="T11" i="39"/>
  <c r="V11" i="39"/>
  <c r="X11" i="39"/>
  <c r="Z11" i="39"/>
  <c r="A12" i="39"/>
  <c r="C12" i="39"/>
  <c r="D12" i="39"/>
  <c r="O14" i="38"/>
  <c r="F12" i="39"/>
  <c r="Q14" i="38"/>
  <c r="H12" i="39"/>
  <c r="J12" i="39"/>
  <c r="U14" i="38"/>
  <c r="L12" i="39"/>
  <c r="AE14" i="38"/>
  <c r="N12" i="39"/>
  <c r="P12" i="39"/>
  <c r="R12" i="39"/>
  <c r="T12" i="39"/>
  <c r="V12" i="39"/>
  <c r="X12" i="39"/>
  <c r="Z12" i="39"/>
  <c r="C14" i="39"/>
  <c r="D14" i="39"/>
  <c r="F14" i="39"/>
  <c r="H14" i="39"/>
  <c r="J14" i="39"/>
  <c r="L14" i="39"/>
  <c r="N14" i="39"/>
  <c r="P14" i="39"/>
  <c r="R14" i="39"/>
  <c r="T14" i="39"/>
  <c r="V14" i="39"/>
  <c r="X14" i="39"/>
  <c r="Z14" i="39"/>
  <c r="C15" i="39"/>
  <c r="D15" i="39"/>
  <c r="F15" i="39"/>
  <c r="H15" i="39"/>
  <c r="J15" i="39"/>
  <c r="L15" i="39"/>
  <c r="N15" i="39"/>
  <c r="P15" i="39"/>
  <c r="R15" i="39"/>
  <c r="T15" i="39"/>
  <c r="V15" i="39"/>
  <c r="X15" i="39"/>
  <c r="Z15" i="39"/>
  <c r="C16" i="39"/>
  <c r="D16" i="39"/>
  <c r="F16" i="39"/>
  <c r="H16" i="39"/>
  <c r="J16" i="39"/>
  <c r="L16" i="39"/>
  <c r="N16" i="39"/>
  <c r="P16" i="39"/>
  <c r="R16" i="39"/>
  <c r="T16" i="39"/>
  <c r="V16" i="39"/>
  <c r="X16" i="39"/>
  <c r="Z16" i="39"/>
  <c r="C17" i="39"/>
  <c r="D17" i="39"/>
  <c r="F17" i="39"/>
  <c r="H17" i="39"/>
  <c r="J17" i="39"/>
  <c r="L17" i="39"/>
  <c r="N17" i="39"/>
  <c r="P17" i="39"/>
  <c r="R17" i="39"/>
  <c r="T17" i="39"/>
  <c r="V17" i="39"/>
  <c r="X17" i="39"/>
  <c r="Z17" i="39"/>
  <c r="A19" i="39"/>
  <c r="C19" i="39"/>
  <c r="D19" i="39"/>
  <c r="O21" i="38"/>
  <c r="F19" i="39"/>
  <c r="Q21" i="38"/>
  <c r="H19" i="39"/>
  <c r="J19" i="39"/>
  <c r="U21" i="38"/>
  <c r="L19" i="39"/>
  <c r="AE21" i="38"/>
  <c r="N19" i="39"/>
  <c r="P19" i="39"/>
  <c r="R19" i="39"/>
  <c r="T19" i="39"/>
  <c r="V19" i="39"/>
  <c r="X19" i="39"/>
  <c r="Z19" i="39"/>
  <c r="D22" i="39"/>
  <c r="F22" i="39"/>
  <c r="H22" i="39"/>
  <c r="J22" i="39"/>
  <c r="L22" i="39"/>
  <c r="N22" i="39"/>
  <c r="P22" i="39"/>
  <c r="T22" i="39"/>
  <c r="X22" i="39"/>
  <c r="A23" i="39"/>
  <c r="C23" i="39"/>
  <c r="D23" i="39"/>
  <c r="F23" i="39"/>
  <c r="H23" i="39"/>
  <c r="J23" i="39"/>
  <c r="L23" i="39"/>
  <c r="N23" i="39"/>
  <c r="P23" i="39"/>
  <c r="R23" i="39"/>
  <c r="T23" i="39"/>
  <c r="V23" i="39"/>
  <c r="X23" i="39"/>
  <c r="Z23" i="39"/>
  <c r="A24" i="39"/>
  <c r="C24" i="39"/>
  <c r="D24" i="39"/>
  <c r="F24" i="39"/>
  <c r="H24" i="39"/>
  <c r="J24" i="39"/>
  <c r="L24" i="39"/>
  <c r="N24" i="39"/>
  <c r="P24" i="39"/>
  <c r="BI7" i="38"/>
  <c r="R24" i="39"/>
  <c r="T24" i="39"/>
  <c r="V24" i="39"/>
  <c r="X24" i="39"/>
  <c r="Z24" i="39"/>
  <c r="A25" i="39"/>
  <c r="C25" i="39"/>
  <c r="D25" i="39"/>
  <c r="F25" i="39"/>
  <c r="H25" i="39"/>
  <c r="J25" i="39"/>
  <c r="L25" i="39"/>
  <c r="N25" i="39"/>
  <c r="P25" i="39"/>
  <c r="BI8" i="38"/>
  <c r="R25" i="39"/>
  <c r="T25" i="39"/>
  <c r="V25" i="39"/>
  <c r="X25" i="39"/>
  <c r="Z25" i="39"/>
  <c r="A26" i="39"/>
  <c r="C26" i="39"/>
  <c r="D26" i="39"/>
  <c r="F26" i="39"/>
  <c r="H26" i="39"/>
  <c r="J26" i="39"/>
  <c r="L26" i="39"/>
  <c r="N26" i="39"/>
  <c r="P26" i="39"/>
  <c r="BI9" i="38"/>
  <c r="R26" i="39"/>
  <c r="T26" i="39"/>
  <c r="V26" i="39"/>
  <c r="X26" i="39"/>
  <c r="Z26" i="39"/>
  <c r="A27" i="39"/>
  <c r="C27" i="39"/>
  <c r="D27" i="39"/>
  <c r="F27" i="39"/>
  <c r="H27" i="39"/>
  <c r="J27" i="39"/>
  <c r="L27" i="39"/>
  <c r="N27" i="39"/>
  <c r="P27" i="39"/>
  <c r="BI10" i="38"/>
  <c r="R27" i="39"/>
  <c r="T27" i="39"/>
  <c r="V27" i="39"/>
  <c r="X27" i="39"/>
  <c r="Z27" i="39"/>
  <c r="A28" i="39"/>
  <c r="C28" i="39"/>
  <c r="D28" i="39"/>
  <c r="F28" i="39"/>
  <c r="H28" i="39"/>
  <c r="J28" i="39"/>
  <c r="L28" i="39"/>
  <c r="N28" i="39"/>
  <c r="P28" i="39"/>
  <c r="BI11" i="38"/>
  <c r="R28" i="39"/>
  <c r="T28" i="39"/>
  <c r="V28" i="39"/>
  <c r="X28" i="39"/>
  <c r="Z28" i="39"/>
  <c r="A29" i="39"/>
  <c r="C29" i="39"/>
  <c r="D29" i="39"/>
  <c r="F29" i="39"/>
  <c r="H29" i="39"/>
  <c r="J29" i="39"/>
  <c r="L29" i="39"/>
  <c r="N29" i="39"/>
  <c r="P29" i="39"/>
  <c r="BI12" i="38"/>
  <c r="R29" i="39"/>
  <c r="T29" i="39"/>
  <c r="V29" i="39"/>
  <c r="X29" i="39"/>
  <c r="Z29" i="39"/>
  <c r="A30" i="39"/>
  <c r="C30" i="39"/>
  <c r="D30" i="39"/>
  <c r="F30" i="39"/>
  <c r="H30" i="39"/>
  <c r="J30" i="39"/>
  <c r="L30" i="39"/>
  <c r="N30" i="39"/>
  <c r="P30" i="39"/>
  <c r="BI13" i="38"/>
  <c r="R30" i="39"/>
  <c r="T30" i="39"/>
  <c r="V30" i="39"/>
  <c r="X30" i="39"/>
  <c r="Z30" i="39"/>
  <c r="A31" i="39"/>
  <c r="C31" i="39"/>
  <c r="D31" i="39"/>
  <c r="F31" i="39"/>
  <c r="H31" i="39"/>
  <c r="J31" i="39"/>
  <c r="L31" i="39"/>
  <c r="N31" i="39"/>
  <c r="P31" i="39"/>
  <c r="BI14" i="38"/>
  <c r="R31" i="39"/>
  <c r="T31" i="39"/>
  <c r="V31" i="39"/>
  <c r="X31" i="39"/>
  <c r="Z31" i="39"/>
  <c r="C33" i="39"/>
  <c r="D33" i="39"/>
  <c r="F33" i="39"/>
  <c r="H33" i="39"/>
  <c r="J33" i="39"/>
  <c r="L33" i="39"/>
  <c r="N33" i="39"/>
  <c r="P33" i="39"/>
  <c r="R33" i="39"/>
  <c r="T33" i="39"/>
  <c r="V33" i="39"/>
  <c r="X33" i="39"/>
  <c r="Z33" i="39"/>
  <c r="C34" i="39"/>
  <c r="D34" i="39"/>
  <c r="F34" i="39"/>
  <c r="H34" i="39"/>
  <c r="J34" i="39"/>
  <c r="L34" i="39"/>
  <c r="N34" i="39"/>
  <c r="P34" i="39"/>
  <c r="R34" i="39"/>
  <c r="T34" i="39"/>
  <c r="V34" i="39"/>
  <c r="X34" i="39"/>
  <c r="Z34" i="39"/>
  <c r="C35" i="39"/>
  <c r="D35" i="39"/>
  <c r="F35" i="39"/>
  <c r="H35" i="39"/>
  <c r="J35" i="39"/>
  <c r="L35" i="39"/>
  <c r="N35" i="39"/>
  <c r="P35" i="39"/>
  <c r="R35" i="39"/>
  <c r="T35" i="39"/>
  <c r="V35" i="39"/>
  <c r="X35" i="39"/>
  <c r="Z35" i="39"/>
  <c r="C36" i="39"/>
  <c r="D36" i="39"/>
  <c r="F36" i="39"/>
  <c r="H36" i="39"/>
  <c r="J36" i="39"/>
  <c r="L36" i="39"/>
  <c r="N36" i="39"/>
  <c r="P36" i="39"/>
  <c r="R36" i="39"/>
  <c r="T36" i="39"/>
  <c r="V36" i="39"/>
  <c r="X36" i="39"/>
  <c r="Z36" i="39"/>
  <c r="A38" i="39"/>
  <c r="C38" i="39"/>
  <c r="D38" i="39"/>
  <c r="F38" i="39"/>
  <c r="H38" i="39"/>
  <c r="J38" i="39"/>
  <c r="L38" i="39"/>
  <c r="N38" i="39"/>
  <c r="P38" i="39"/>
  <c r="BI21" i="38"/>
  <c r="R38" i="39"/>
  <c r="T38" i="39"/>
  <c r="V38" i="39"/>
  <c r="X38" i="39"/>
  <c r="Z38" i="39"/>
  <c r="D41" i="39"/>
  <c r="J41" i="39"/>
  <c r="N41" i="39"/>
  <c r="R41" i="39"/>
  <c r="X41" i="39"/>
  <c r="A42" i="39"/>
  <c r="C42" i="39"/>
  <c r="D42" i="39"/>
  <c r="F42" i="39"/>
  <c r="H42" i="39"/>
  <c r="J42" i="39"/>
  <c r="L42" i="39"/>
  <c r="N42" i="39"/>
  <c r="P42" i="39"/>
  <c r="R42" i="39"/>
  <c r="T42" i="39"/>
  <c r="V42" i="39"/>
  <c r="X42" i="39"/>
  <c r="Z42" i="39"/>
  <c r="A43" i="39"/>
  <c r="C43" i="39"/>
  <c r="D43" i="39"/>
  <c r="F43" i="39"/>
  <c r="H43" i="39"/>
  <c r="J43" i="39"/>
  <c r="L43" i="39"/>
  <c r="N43" i="39"/>
  <c r="P43" i="39"/>
  <c r="R43" i="39"/>
  <c r="T43" i="39"/>
  <c r="V43" i="39"/>
  <c r="X43" i="39"/>
  <c r="Z43" i="39"/>
  <c r="A44" i="39"/>
  <c r="C44" i="39"/>
  <c r="D44" i="39"/>
  <c r="F44" i="39"/>
  <c r="H44" i="39"/>
  <c r="J44" i="39"/>
  <c r="L44" i="39"/>
  <c r="N44" i="39"/>
  <c r="P44" i="39"/>
  <c r="R44" i="39"/>
  <c r="T44" i="39"/>
  <c r="V44" i="39"/>
  <c r="X44" i="39"/>
  <c r="Z44" i="39"/>
  <c r="A45" i="39"/>
  <c r="C45" i="39"/>
  <c r="D45" i="39"/>
  <c r="F45" i="39"/>
  <c r="H45" i="39"/>
  <c r="J45" i="39"/>
  <c r="L45" i="39"/>
  <c r="N45" i="39"/>
  <c r="P45" i="39"/>
  <c r="R45" i="39"/>
  <c r="T45" i="39"/>
  <c r="V45" i="39"/>
  <c r="X45" i="39"/>
  <c r="Z45" i="39"/>
  <c r="A46" i="39"/>
  <c r="C46" i="39"/>
  <c r="D46" i="39"/>
  <c r="F46" i="39"/>
  <c r="H46" i="39"/>
  <c r="J46" i="39"/>
  <c r="L46" i="39"/>
  <c r="N46" i="39"/>
  <c r="P46" i="39"/>
  <c r="R46" i="39"/>
  <c r="T46" i="39"/>
  <c r="V46" i="39"/>
  <c r="X46" i="39"/>
  <c r="Z46" i="39"/>
  <c r="A47" i="39"/>
  <c r="C47" i="39"/>
  <c r="D47" i="39"/>
  <c r="F47" i="39"/>
  <c r="H47" i="39"/>
  <c r="J47" i="39"/>
  <c r="L47" i="39"/>
  <c r="N47" i="39"/>
  <c r="P47" i="39"/>
  <c r="R47" i="39"/>
  <c r="T47" i="39"/>
  <c r="V47" i="39"/>
  <c r="X47" i="39"/>
  <c r="Z47" i="39"/>
  <c r="A48" i="39"/>
  <c r="C48" i="39"/>
  <c r="D48" i="39"/>
  <c r="F48" i="39"/>
  <c r="H48" i="39"/>
  <c r="J48" i="39"/>
  <c r="L48" i="39"/>
  <c r="N48" i="39"/>
  <c r="P48" i="39"/>
  <c r="R48" i="39"/>
  <c r="T48" i="39"/>
  <c r="V48" i="39"/>
  <c r="X48" i="39"/>
  <c r="Z48" i="39"/>
  <c r="A49" i="39"/>
  <c r="C49" i="39"/>
  <c r="D49" i="39"/>
  <c r="F49" i="39"/>
  <c r="H49" i="39"/>
  <c r="J49" i="39"/>
  <c r="L49" i="39"/>
  <c r="N49" i="39"/>
  <c r="P49" i="39"/>
  <c r="R49" i="39"/>
  <c r="T49" i="39"/>
  <c r="V49" i="39"/>
  <c r="X49" i="39"/>
  <c r="Z49" i="39"/>
  <c r="A50" i="39"/>
  <c r="C50" i="39"/>
  <c r="D50" i="39"/>
  <c r="F50" i="39"/>
  <c r="H50" i="39"/>
  <c r="J50" i="39"/>
  <c r="L50" i="39"/>
  <c r="N50" i="39"/>
  <c r="P50" i="39"/>
  <c r="R50" i="39"/>
  <c r="T50" i="39"/>
  <c r="V50" i="39"/>
  <c r="X50" i="39"/>
  <c r="Z50" i="39"/>
  <c r="C52" i="39"/>
  <c r="D52" i="39"/>
  <c r="F52" i="39"/>
  <c r="H52" i="39"/>
  <c r="J52" i="39"/>
  <c r="L52" i="39"/>
  <c r="N52" i="39"/>
  <c r="P52" i="39"/>
  <c r="R52" i="39"/>
  <c r="T52" i="39"/>
  <c r="V52" i="39"/>
  <c r="X52" i="39"/>
  <c r="Z52" i="39"/>
  <c r="C53" i="39"/>
  <c r="D53" i="39"/>
  <c r="F53" i="39"/>
  <c r="H53" i="39"/>
  <c r="J53" i="39"/>
  <c r="L53" i="39"/>
  <c r="N53" i="39"/>
  <c r="P53" i="39"/>
  <c r="R53" i="39"/>
  <c r="T53" i="39"/>
  <c r="V53" i="39"/>
  <c r="X53" i="39"/>
  <c r="Z53" i="39"/>
  <c r="C54" i="39"/>
  <c r="D54" i="39"/>
  <c r="F54" i="39"/>
  <c r="H54" i="39"/>
  <c r="J54" i="39"/>
  <c r="L54" i="39"/>
  <c r="N54" i="39"/>
  <c r="P54" i="39"/>
  <c r="R54" i="39"/>
  <c r="T54" i="39"/>
  <c r="V54" i="39"/>
  <c r="X54" i="39"/>
  <c r="Z54" i="39"/>
  <c r="C55" i="39"/>
  <c r="D55" i="39"/>
  <c r="F55" i="39"/>
  <c r="H55" i="39"/>
  <c r="J55" i="39"/>
  <c r="L55" i="39"/>
  <c r="N55" i="39"/>
  <c r="P55" i="39"/>
  <c r="R55" i="39"/>
  <c r="T55" i="39"/>
  <c r="V55" i="39"/>
  <c r="X55" i="39"/>
  <c r="Z55" i="39"/>
  <c r="A57" i="39"/>
  <c r="C57" i="39"/>
  <c r="D57" i="39"/>
  <c r="F57" i="39"/>
  <c r="H57" i="39"/>
  <c r="J57" i="39"/>
  <c r="L57" i="39"/>
  <c r="N57" i="39"/>
  <c r="P57" i="39"/>
  <c r="R57" i="39"/>
  <c r="T57" i="39"/>
  <c r="V57" i="39"/>
  <c r="X57" i="39"/>
  <c r="Z57" i="39"/>
  <c r="A60" i="39"/>
  <c r="A61" i="39"/>
  <c r="A1" i="38"/>
  <c r="E3" i="38"/>
  <c r="I3" i="38"/>
  <c r="S3" i="38"/>
  <c r="AG3" i="38"/>
  <c r="BE3" i="38"/>
  <c r="CG3" i="38"/>
  <c r="DE3" i="38"/>
  <c r="EC3" i="38"/>
  <c r="EQ3" i="38"/>
  <c r="EW3" i="38"/>
  <c r="FI3" i="38"/>
  <c r="I4" i="38"/>
  <c r="K4" i="38"/>
  <c r="M4" i="38"/>
  <c r="O4" i="38"/>
  <c r="Q4" i="38"/>
  <c r="AG4" i="38"/>
  <c r="AO4" i="38"/>
  <c r="AW4" i="38"/>
  <c r="BE4" i="38"/>
  <c r="BM4" i="38"/>
  <c r="BU4" i="38"/>
  <c r="CC4" i="38"/>
  <c r="CE4" i="38"/>
  <c r="CG4" i="38"/>
  <c r="CO4" i="38"/>
  <c r="CW4" i="38"/>
  <c r="DE4" i="38"/>
  <c r="DM4" i="38"/>
  <c r="DU4" i="38"/>
  <c r="EC4" i="38"/>
  <c r="EE4" i="38"/>
  <c r="EG4" i="38"/>
  <c r="EI4" i="38"/>
  <c r="EK4" i="38"/>
  <c r="EM4" i="38"/>
  <c r="EO4" i="38"/>
  <c r="EW4" i="38"/>
  <c r="EY4" i="38"/>
  <c r="FA4" i="38"/>
  <c r="FC4" i="38"/>
  <c r="FE4" i="38"/>
  <c r="FG4" i="38"/>
  <c r="A5" i="38"/>
  <c r="C5" i="38"/>
  <c r="E5" i="38"/>
  <c r="G5" i="38"/>
  <c r="K5" i="38"/>
  <c r="M5" i="38"/>
  <c r="O5" i="38"/>
  <c r="Q5" i="38"/>
  <c r="S5" i="38"/>
  <c r="U5" i="38"/>
  <c r="W5" i="38"/>
  <c r="Y5" i="38"/>
  <c r="AA5" i="38"/>
  <c r="AC5" i="38"/>
  <c r="AE5" i="38"/>
  <c r="AG5" i="38"/>
  <c r="AI5" i="38"/>
  <c r="AK5" i="38"/>
  <c r="AM5" i="38"/>
  <c r="AO5" i="38"/>
  <c r="AQ5" i="38"/>
  <c r="AS5" i="38"/>
  <c r="AU5" i="38"/>
  <c r="AW5" i="38"/>
  <c r="AY5" i="38"/>
  <c r="BA5" i="38"/>
  <c r="BC5" i="38"/>
  <c r="BE5" i="38"/>
  <c r="BG5" i="38"/>
  <c r="BI5" i="38"/>
  <c r="BK5" i="38"/>
  <c r="BM5" i="38"/>
  <c r="BO5" i="38"/>
  <c r="BQ5" i="38"/>
  <c r="BS5" i="38"/>
  <c r="BU5" i="38"/>
  <c r="BW5" i="38"/>
  <c r="BY5" i="38"/>
  <c r="CA5" i="38"/>
  <c r="CC5" i="38"/>
  <c r="CE5" i="38"/>
  <c r="CG5" i="38"/>
  <c r="CI5" i="38"/>
  <c r="CK5" i="38"/>
  <c r="CM5" i="38"/>
  <c r="CO5" i="38"/>
  <c r="CQ5" i="38"/>
  <c r="CS5" i="38"/>
  <c r="CU5" i="38"/>
  <c r="CW5" i="38"/>
  <c r="CY5" i="38"/>
  <c r="DA5" i="38"/>
  <c r="DC5" i="38"/>
  <c r="DE5" i="38"/>
  <c r="DG5" i="38"/>
  <c r="DI5" i="38"/>
  <c r="DK5" i="38"/>
  <c r="DM5" i="38"/>
  <c r="DO5" i="38"/>
  <c r="DQ5" i="38"/>
  <c r="DS5" i="38"/>
  <c r="DU5" i="38"/>
  <c r="DW5" i="38"/>
  <c r="DY5" i="38"/>
  <c r="EA5" i="38"/>
  <c r="EC5" i="38"/>
  <c r="EE5" i="38"/>
  <c r="EG5" i="38"/>
  <c r="EI5" i="38"/>
  <c r="EK5" i="38"/>
  <c r="EM5" i="38"/>
  <c r="EO5" i="38"/>
  <c r="EQ5" i="38"/>
  <c r="ES5" i="38"/>
  <c r="EU5" i="38"/>
  <c r="EW5" i="38"/>
  <c r="EY5" i="38"/>
  <c r="FA5" i="38"/>
  <c r="FC5" i="38"/>
  <c r="FE5" i="38"/>
  <c r="FG5" i="38"/>
  <c r="FI5" i="38"/>
  <c r="FK5" i="38"/>
  <c r="FM5" i="38"/>
  <c r="FO5" i="38"/>
  <c r="BK7" i="38"/>
  <c r="EG7" i="38"/>
  <c r="BK8" i="38"/>
  <c r="EG8" i="38"/>
  <c r="BK9" i="38"/>
  <c r="EG9" i="38"/>
  <c r="BK10" i="38"/>
  <c r="EG10" i="38"/>
  <c r="BK11" i="38"/>
  <c r="EG11" i="38"/>
  <c r="BK12" i="38"/>
  <c r="EG12" i="38"/>
  <c r="BK13" i="38"/>
  <c r="EG13" i="38"/>
  <c r="BK14" i="38"/>
  <c r="EG14" i="38"/>
  <c r="G16" i="38"/>
  <c r="I16" i="38"/>
  <c r="K16" i="38"/>
  <c r="M16" i="38"/>
  <c r="O16" i="38"/>
  <c r="Q16" i="38"/>
  <c r="S16" i="38"/>
  <c r="U16" i="38"/>
  <c r="W16" i="38"/>
  <c r="Y16" i="38"/>
  <c r="AA16" i="38"/>
  <c r="AC16" i="38"/>
  <c r="AE16" i="38"/>
  <c r="AG16" i="38"/>
  <c r="AI16" i="38"/>
  <c r="AK16" i="38"/>
  <c r="AM16" i="38"/>
  <c r="AO16" i="38"/>
  <c r="AQ16" i="38"/>
  <c r="AS16" i="38"/>
  <c r="AU16" i="38"/>
  <c r="AW16" i="38"/>
  <c r="AY16" i="38"/>
  <c r="BA16" i="38"/>
  <c r="BC16" i="38"/>
  <c r="BE16" i="38"/>
  <c r="BG16" i="38"/>
  <c r="BI16" i="38"/>
  <c r="BK16" i="38"/>
  <c r="BM16" i="38"/>
  <c r="BO16" i="38"/>
  <c r="BQ16" i="38"/>
  <c r="BS16" i="38"/>
  <c r="BU16" i="38"/>
  <c r="BW16" i="38"/>
  <c r="BY16" i="38"/>
  <c r="CA16" i="38"/>
  <c r="CC16" i="38"/>
  <c r="CE16" i="38"/>
  <c r="CG16" i="38"/>
  <c r="CI16" i="38"/>
  <c r="CK16" i="38"/>
  <c r="CM16" i="38"/>
  <c r="CO16" i="38"/>
  <c r="CQ16" i="38"/>
  <c r="CS16" i="38"/>
  <c r="CU16" i="38"/>
  <c r="CW16" i="38"/>
  <c r="CY16" i="38"/>
  <c r="DA16" i="38"/>
  <c r="DC16" i="38"/>
  <c r="DE16" i="38"/>
  <c r="DG16" i="38"/>
  <c r="DI16" i="38"/>
  <c r="DK16" i="38"/>
  <c r="DM16" i="38"/>
  <c r="DO16" i="38"/>
  <c r="DQ16" i="38"/>
  <c r="DS16" i="38"/>
  <c r="DU16" i="38"/>
  <c r="DW16" i="38"/>
  <c r="DY16" i="38"/>
  <c r="EA16" i="38"/>
  <c r="EC16" i="38"/>
  <c r="EE16" i="38"/>
  <c r="EG16" i="38"/>
  <c r="EI16" i="38"/>
  <c r="EK16" i="38"/>
  <c r="EM16" i="38"/>
  <c r="EO16" i="38"/>
  <c r="EQ16" i="38"/>
  <c r="ES16" i="38"/>
  <c r="EU16" i="38"/>
  <c r="EW16" i="38"/>
  <c r="EY16" i="38"/>
  <c r="FA16" i="38"/>
  <c r="FC16" i="38"/>
  <c r="FE16" i="38"/>
  <c r="FG16" i="38"/>
  <c r="FI16" i="38"/>
  <c r="FK16" i="38"/>
  <c r="FM16" i="38"/>
  <c r="FO16" i="38"/>
  <c r="G17" i="38"/>
  <c r="I17" i="38"/>
  <c r="K17" i="38"/>
  <c r="M17" i="38"/>
  <c r="O17" i="38"/>
  <c r="Q17" i="38"/>
  <c r="S17" i="38"/>
  <c r="U17" i="38"/>
  <c r="W17" i="38"/>
  <c r="Y17" i="38"/>
  <c r="AA17" i="38"/>
  <c r="AC17" i="38"/>
  <c r="AE17" i="38"/>
  <c r="AG17" i="38"/>
  <c r="AI17" i="38"/>
  <c r="AK17" i="38"/>
  <c r="AM17" i="38"/>
  <c r="AO17" i="38"/>
  <c r="AQ17" i="38"/>
  <c r="AS17" i="38"/>
  <c r="AU17" i="38"/>
  <c r="AW17" i="38"/>
  <c r="AY17" i="38"/>
  <c r="BA17" i="38"/>
  <c r="BC17" i="38"/>
  <c r="BE17" i="38"/>
  <c r="BG17" i="38"/>
  <c r="BI17" i="38"/>
  <c r="BK17" i="38"/>
  <c r="BM17" i="38"/>
  <c r="BO17" i="38"/>
  <c r="BQ17" i="38"/>
  <c r="BS17" i="38"/>
  <c r="BU17" i="38"/>
  <c r="BW17" i="38"/>
  <c r="BY17" i="38"/>
  <c r="CA17" i="38"/>
  <c r="CC17" i="38"/>
  <c r="CE17" i="38"/>
  <c r="CG17" i="38"/>
  <c r="CI17" i="38"/>
  <c r="CK17" i="38"/>
  <c r="CM17" i="38"/>
  <c r="CO17" i="38"/>
  <c r="CQ17" i="38"/>
  <c r="CS17" i="38"/>
  <c r="CU17" i="38"/>
  <c r="CW17" i="38"/>
  <c r="CY17" i="38"/>
  <c r="DA17" i="38"/>
  <c r="DC17" i="38"/>
  <c r="DE17" i="38"/>
  <c r="DG17" i="38"/>
  <c r="DI17" i="38"/>
  <c r="DK17" i="38"/>
  <c r="DM17" i="38"/>
  <c r="DO17" i="38"/>
  <c r="DQ17" i="38"/>
  <c r="DS17" i="38"/>
  <c r="DU17" i="38"/>
  <c r="DW17" i="38"/>
  <c r="DY17" i="38"/>
  <c r="EA17" i="38"/>
  <c r="EC17" i="38"/>
  <c r="EE17" i="38"/>
  <c r="EG17" i="38"/>
  <c r="EI17" i="38"/>
  <c r="EK17" i="38"/>
  <c r="EM17" i="38"/>
  <c r="EO17" i="38"/>
  <c r="EQ17" i="38"/>
  <c r="ES17" i="38"/>
  <c r="EU17" i="38"/>
  <c r="EW17" i="38"/>
  <c r="EY17" i="38"/>
  <c r="FA17" i="38"/>
  <c r="FC17" i="38"/>
  <c r="FE17" i="38"/>
  <c r="FG17" i="38"/>
  <c r="FI17" i="38"/>
  <c r="FK17" i="38"/>
  <c r="FM17" i="38"/>
  <c r="FO17" i="38"/>
  <c r="G18" i="38"/>
  <c r="I18" i="38"/>
  <c r="K18" i="38"/>
  <c r="M18" i="38"/>
  <c r="O18" i="38"/>
  <c r="Q18" i="38"/>
  <c r="S18" i="38"/>
  <c r="U18" i="38"/>
  <c r="W18" i="38"/>
  <c r="Y18" i="38"/>
  <c r="AA18" i="38"/>
  <c r="AC18" i="38"/>
  <c r="AE18" i="38"/>
  <c r="AG18" i="38"/>
  <c r="AI18" i="38"/>
  <c r="AK18" i="38"/>
  <c r="AM18" i="38"/>
  <c r="AO18" i="38"/>
  <c r="AQ18" i="38"/>
  <c r="AS18" i="38"/>
  <c r="AU18" i="38"/>
  <c r="AW18" i="38"/>
  <c r="AY18" i="38"/>
  <c r="BA18" i="38"/>
  <c r="BC18" i="38"/>
  <c r="BE18" i="38"/>
  <c r="BG18" i="38"/>
  <c r="BI18" i="38"/>
  <c r="BK18" i="38"/>
  <c r="BM18" i="38"/>
  <c r="BO18" i="38"/>
  <c r="BQ18" i="38"/>
  <c r="BS18" i="38"/>
  <c r="BU18" i="38"/>
  <c r="BW18" i="38"/>
  <c r="BY18" i="38"/>
  <c r="CA18" i="38"/>
  <c r="CC18" i="38"/>
  <c r="CE18" i="38"/>
  <c r="CG18" i="38"/>
  <c r="CI18" i="38"/>
  <c r="CK18" i="38"/>
  <c r="CM18" i="38"/>
  <c r="CO18" i="38"/>
  <c r="CQ18" i="38"/>
  <c r="CS18" i="38"/>
  <c r="CU18" i="38"/>
  <c r="CW18" i="38"/>
  <c r="CY18" i="38"/>
  <c r="DA18" i="38"/>
  <c r="DC18" i="38"/>
  <c r="DE18" i="38"/>
  <c r="DG18" i="38"/>
  <c r="DI18" i="38"/>
  <c r="DK18" i="38"/>
  <c r="DM18" i="38"/>
  <c r="DO18" i="38"/>
  <c r="DQ18" i="38"/>
  <c r="DS18" i="38"/>
  <c r="DU18" i="38"/>
  <c r="DW18" i="38"/>
  <c r="DY18" i="38"/>
  <c r="EA18" i="38"/>
  <c r="EC18" i="38"/>
  <c r="EE18" i="38"/>
  <c r="EG18" i="38"/>
  <c r="EI18" i="38"/>
  <c r="EK18" i="38"/>
  <c r="EM18" i="38"/>
  <c r="EO18" i="38"/>
  <c r="EQ18" i="38"/>
  <c r="ES18" i="38"/>
  <c r="EU18" i="38"/>
  <c r="EW18" i="38"/>
  <c r="EY18" i="38"/>
  <c r="FA18" i="38"/>
  <c r="FC18" i="38"/>
  <c r="FE18" i="38"/>
  <c r="FG18" i="38"/>
  <c r="FI18" i="38"/>
  <c r="FK18" i="38"/>
  <c r="FM18" i="38"/>
  <c r="FO18" i="38"/>
  <c r="G19" i="38"/>
  <c r="I19" i="38"/>
  <c r="K19" i="38"/>
  <c r="M19" i="38"/>
  <c r="O19" i="38"/>
  <c r="Q19" i="38"/>
  <c r="S19" i="38"/>
  <c r="U19" i="38"/>
  <c r="W19" i="38"/>
  <c r="Y19" i="38"/>
  <c r="AA19" i="38"/>
  <c r="AC19" i="38"/>
  <c r="AE19" i="38"/>
  <c r="AG19" i="38"/>
  <c r="AI19" i="38"/>
  <c r="AK19" i="38"/>
  <c r="AM19" i="38"/>
  <c r="AO19" i="38"/>
  <c r="AQ19" i="38"/>
  <c r="AS19" i="38"/>
  <c r="AU19" i="38"/>
  <c r="AW19" i="38"/>
  <c r="AY19" i="38"/>
  <c r="BA19" i="38"/>
  <c r="BC19" i="38"/>
  <c r="BE19" i="38"/>
  <c r="BG19" i="38"/>
  <c r="BI19" i="38"/>
  <c r="BK19" i="38"/>
  <c r="BM19" i="38"/>
  <c r="BO19" i="38"/>
  <c r="BQ19" i="38"/>
  <c r="BS19" i="38"/>
  <c r="BU19" i="38"/>
  <c r="BW19" i="38"/>
  <c r="BY19" i="38"/>
  <c r="CA19" i="38"/>
  <c r="CC19" i="38"/>
  <c r="CE19" i="38"/>
  <c r="CG19" i="38"/>
  <c r="CI19" i="38"/>
  <c r="CK19" i="38"/>
  <c r="CM19" i="38"/>
  <c r="CO19" i="38"/>
  <c r="CQ19" i="38"/>
  <c r="CS19" i="38"/>
  <c r="CU19" i="38"/>
  <c r="CW19" i="38"/>
  <c r="CY19" i="38"/>
  <c r="DA19" i="38"/>
  <c r="DC19" i="38"/>
  <c r="DE19" i="38"/>
  <c r="DG19" i="38"/>
  <c r="DI19" i="38"/>
  <c r="DK19" i="38"/>
  <c r="DM19" i="38"/>
  <c r="DO19" i="38"/>
  <c r="DQ19" i="38"/>
  <c r="DS19" i="38"/>
  <c r="DU19" i="38"/>
  <c r="DW19" i="38"/>
  <c r="DY19" i="38"/>
  <c r="EA19" i="38"/>
  <c r="EC19" i="38"/>
  <c r="EE19" i="38"/>
  <c r="EG19" i="38"/>
  <c r="EI19" i="38"/>
  <c r="EK19" i="38"/>
  <c r="EM19" i="38"/>
  <c r="EO19" i="38"/>
  <c r="EQ19" i="38"/>
  <c r="ES19" i="38"/>
  <c r="EU19" i="38"/>
  <c r="EW19" i="38"/>
  <c r="EY19" i="38"/>
  <c r="FA19" i="38"/>
  <c r="FC19" i="38"/>
  <c r="FE19" i="38"/>
  <c r="FG19" i="38"/>
  <c r="FI19" i="38"/>
  <c r="FK19" i="38"/>
  <c r="FM19" i="38"/>
  <c r="FO19" i="38"/>
  <c r="A20" i="38"/>
  <c r="BK21" i="38"/>
  <c r="EG21" i="38"/>
  <c r="A23" i="38"/>
  <c r="A24" i="38"/>
  <c r="A2" i="40"/>
  <c r="C2" i="40"/>
  <c r="E2" i="40"/>
  <c r="F2" i="40"/>
  <c r="A3" i="40"/>
  <c r="C3" i="40"/>
  <c r="E3" i="40"/>
  <c r="F3" i="40"/>
  <c r="A4" i="40"/>
  <c r="C4" i="40"/>
  <c r="E4" i="40"/>
  <c r="X2" i="37"/>
  <c r="Z2" i="37"/>
  <c r="F4" i="40"/>
  <c r="A7" i="40"/>
  <c r="A9" i="40"/>
  <c r="D9" i="40"/>
  <c r="P9" i="40"/>
  <c r="D10" i="40"/>
  <c r="E10" i="40"/>
  <c r="F10" i="40"/>
  <c r="G10" i="40"/>
  <c r="H10" i="40"/>
  <c r="I10" i="40"/>
  <c r="J10" i="40"/>
  <c r="K10" i="40"/>
  <c r="L10" i="40"/>
  <c r="M10" i="40"/>
  <c r="N10" i="40"/>
  <c r="P10" i="40"/>
  <c r="A12" i="40"/>
  <c r="D12" i="40"/>
  <c r="E12" i="40"/>
  <c r="F12" i="40"/>
  <c r="G12" i="40"/>
  <c r="H12" i="40"/>
  <c r="I12" i="40"/>
  <c r="J12" i="40"/>
  <c r="K12" i="40"/>
  <c r="L12" i="40"/>
  <c r="M12" i="40"/>
  <c r="N12" i="40"/>
  <c r="P12" i="40"/>
  <c r="A13" i="40"/>
  <c r="D13" i="40"/>
  <c r="E13" i="40"/>
  <c r="F13" i="40"/>
  <c r="G13" i="40"/>
  <c r="H13" i="40"/>
  <c r="I13" i="40"/>
  <c r="J13" i="40"/>
  <c r="K13" i="40"/>
  <c r="L13" i="40"/>
  <c r="M13" i="40"/>
  <c r="N13" i="40"/>
  <c r="P13" i="40"/>
  <c r="A14" i="40"/>
  <c r="D14" i="40"/>
  <c r="E14" i="40"/>
  <c r="F14" i="40"/>
  <c r="G14" i="40"/>
  <c r="H14" i="40"/>
  <c r="I14" i="40"/>
  <c r="J14" i="40"/>
  <c r="K14" i="40"/>
  <c r="L14" i="40"/>
  <c r="M14" i="40"/>
  <c r="N14" i="40"/>
  <c r="P14" i="40"/>
  <c r="A15" i="40"/>
  <c r="D15" i="40"/>
  <c r="E15" i="40"/>
  <c r="F15" i="40"/>
  <c r="G15" i="40"/>
  <c r="H15" i="40"/>
  <c r="I15" i="40"/>
  <c r="J15" i="40"/>
  <c r="K15" i="40"/>
  <c r="L15" i="40"/>
  <c r="M15" i="40"/>
  <c r="N15" i="40"/>
  <c r="P15" i="40"/>
  <c r="A16" i="40"/>
  <c r="D16" i="40"/>
  <c r="E16" i="40"/>
  <c r="F16" i="40"/>
  <c r="G16" i="40"/>
  <c r="H16" i="40"/>
  <c r="I16" i="40"/>
  <c r="J16" i="40"/>
  <c r="K16" i="40"/>
  <c r="L16" i="40"/>
  <c r="M16" i="40"/>
  <c r="N16" i="40"/>
  <c r="P16" i="40"/>
  <c r="A17" i="40"/>
  <c r="D17" i="40"/>
  <c r="E17" i="40"/>
  <c r="F17" i="40"/>
  <c r="G17" i="40"/>
  <c r="H17" i="40"/>
  <c r="I17" i="40"/>
  <c r="J17" i="40"/>
  <c r="K17" i="40"/>
  <c r="L17" i="40"/>
  <c r="M17" i="40"/>
  <c r="N17" i="40"/>
  <c r="P17" i="40"/>
  <c r="A18" i="40"/>
  <c r="D18" i="40"/>
  <c r="E18" i="40"/>
  <c r="F18" i="40"/>
  <c r="G18" i="40"/>
  <c r="H18" i="40"/>
  <c r="I18" i="40"/>
  <c r="J18" i="40"/>
  <c r="K18" i="40"/>
  <c r="L18" i="40"/>
  <c r="M18" i="40"/>
  <c r="N18" i="40"/>
  <c r="P18" i="40"/>
  <c r="A19" i="40"/>
  <c r="D19" i="40"/>
  <c r="E19" i="40"/>
  <c r="F19" i="40"/>
  <c r="G19" i="40"/>
  <c r="H19" i="40"/>
  <c r="I19" i="40"/>
  <c r="J19" i="40"/>
  <c r="K19" i="40"/>
  <c r="L19" i="40"/>
  <c r="M19" i="40"/>
  <c r="N19" i="40"/>
  <c r="P19" i="40"/>
  <c r="A21" i="40"/>
  <c r="D21" i="40"/>
  <c r="E21" i="40"/>
  <c r="F21" i="40"/>
  <c r="G21" i="40"/>
  <c r="H21" i="40"/>
  <c r="I21" i="40"/>
  <c r="J21" i="40"/>
  <c r="K21" i="40"/>
  <c r="L21" i="40"/>
  <c r="M21" i="40"/>
  <c r="N21" i="40"/>
  <c r="P21" i="40"/>
  <c r="A22" i="40"/>
  <c r="D22" i="40"/>
  <c r="E22" i="40"/>
  <c r="F22" i="40"/>
  <c r="G22" i="40"/>
  <c r="H22" i="40"/>
  <c r="I22" i="40"/>
  <c r="J22" i="40"/>
  <c r="K22" i="40"/>
  <c r="L22" i="40"/>
  <c r="M22" i="40"/>
  <c r="N22" i="40"/>
  <c r="P22" i="40"/>
  <c r="A23" i="40"/>
  <c r="D23" i="40"/>
  <c r="E23" i="40"/>
  <c r="F23" i="40"/>
  <c r="G23" i="40"/>
  <c r="H23" i="40"/>
  <c r="I23" i="40"/>
  <c r="J23" i="40"/>
  <c r="K23" i="40"/>
  <c r="L23" i="40"/>
  <c r="M23" i="40"/>
  <c r="N23" i="40"/>
  <c r="P23" i="40"/>
  <c r="A24" i="40"/>
  <c r="D24" i="40"/>
  <c r="E24" i="40"/>
  <c r="F24" i="40"/>
  <c r="G24" i="40"/>
  <c r="H24" i="40"/>
  <c r="I24" i="40"/>
  <c r="J24" i="40"/>
  <c r="K24" i="40"/>
  <c r="L24" i="40"/>
  <c r="M24" i="40"/>
  <c r="N24" i="40"/>
  <c r="P24" i="40"/>
  <c r="A25" i="40"/>
  <c r="D25" i="40"/>
  <c r="E25" i="40"/>
  <c r="F25" i="40"/>
  <c r="G25" i="40"/>
  <c r="H25" i="40"/>
  <c r="I25" i="40"/>
  <c r="J25" i="40"/>
  <c r="K25" i="40"/>
  <c r="L25" i="40"/>
  <c r="M25" i="40"/>
  <c r="N25" i="40"/>
  <c r="P25" i="40"/>
  <c r="A27" i="40"/>
  <c r="D27" i="40"/>
  <c r="E27" i="40"/>
  <c r="F27" i="40"/>
  <c r="G27" i="40"/>
  <c r="H27" i="40"/>
  <c r="I27" i="40"/>
  <c r="J27" i="40"/>
  <c r="K27" i="40"/>
  <c r="L27" i="40"/>
  <c r="M27" i="40"/>
  <c r="N27" i="40"/>
  <c r="P27" i="40"/>
  <c r="A28" i="40"/>
  <c r="D28" i="40"/>
  <c r="E28" i="40"/>
  <c r="F28" i="40"/>
  <c r="G28" i="40"/>
  <c r="H28" i="40"/>
  <c r="I28" i="40"/>
  <c r="J28" i="40"/>
  <c r="K28" i="40"/>
  <c r="L28" i="40"/>
  <c r="M28" i="40"/>
  <c r="N28" i="40"/>
  <c r="P28" i="40"/>
  <c r="A29" i="40"/>
  <c r="D29" i="40"/>
  <c r="E29" i="40"/>
  <c r="F29" i="40"/>
  <c r="G29" i="40"/>
  <c r="H29" i="40"/>
  <c r="I29" i="40"/>
  <c r="J29" i="40"/>
  <c r="K29" i="40"/>
  <c r="L29" i="40"/>
  <c r="M29" i="40"/>
  <c r="N29" i="40"/>
  <c r="P29" i="40"/>
  <c r="A30" i="40"/>
  <c r="D30" i="40"/>
  <c r="E30" i="40"/>
  <c r="F30" i="40"/>
  <c r="G30" i="40"/>
  <c r="H30" i="40"/>
  <c r="I30" i="40"/>
  <c r="J30" i="40"/>
  <c r="K30" i="40"/>
  <c r="L30" i="40"/>
  <c r="M30" i="40"/>
  <c r="N30" i="40"/>
  <c r="P30" i="40"/>
  <c r="A31" i="40"/>
  <c r="D31" i="40"/>
  <c r="E31" i="40"/>
  <c r="F31" i="40"/>
  <c r="G31" i="40"/>
  <c r="H31" i="40"/>
  <c r="I31" i="40"/>
  <c r="J31" i="40"/>
  <c r="K31" i="40"/>
  <c r="L31" i="40"/>
  <c r="M31" i="40"/>
  <c r="N31" i="40"/>
  <c r="P31" i="40"/>
  <c r="A32" i="40"/>
  <c r="D32" i="40"/>
  <c r="E32" i="40"/>
  <c r="F32" i="40"/>
  <c r="G32" i="40"/>
  <c r="H32" i="40"/>
  <c r="I32" i="40"/>
  <c r="J32" i="40"/>
  <c r="K32" i="40"/>
  <c r="L32" i="40"/>
  <c r="M32" i="40"/>
  <c r="N32" i="40"/>
  <c r="P32" i="40"/>
  <c r="A33" i="40"/>
  <c r="D33" i="40"/>
  <c r="E33" i="40"/>
  <c r="F33" i="40"/>
  <c r="G33" i="40"/>
  <c r="H33" i="40"/>
  <c r="I33" i="40"/>
  <c r="J33" i="40"/>
  <c r="K33" i="40"/>
  <c r="L33" i="40"/>
  <c r="M33" i="40"/>
  <c r="N33" i="40"/>
  <c r="P33" i="40"/>
  <c r="A34" i="40"/>
  <c r="D34" i="40"/>
  <c r="E34" i="40"/>
  <c r="F34" i="40"/>
  <c r="G34" i="40"/>
  <c r="H34" i="40"/>
  <c r="I34" i="40"/>
  <c r="J34" i="40"/>
  <c r="K34" i="40"/>
  <c r="L34" i="40"/>
  <c r="M34" i="40"/>
  <c r="N34" i="40"/>
  <c r="P34" i="40"/>
  <c r="A35" i="40"/>
  <c r="D35" i="40"/>
  <c r="E35" i="40"/>
  <c r="F35" i="40"/>
  <c r="G35" i="40"/>
  <c r="H35" i="40"/>
  <c r="I35" i="40"/>
  <c r="J35" i="40"/>
  <c r="K35" i="40"/>
  <c r="L35" i="40"/>
  <c r="M35" i="40"/>
  <c r="N35" i="40"/>
  <c r="P35" i="40"/>
  <c r="A36" i="40"/>
  <c r="D36" i="40"/>
  <c r="E36" i="40"/>
  <c r="F36" i="40"/>
  <c r="G36" i="40"/>
  <c r="H36" i="40"/>
  <c r="I36" i="40"/>
  <c r="J36" i="40"/>
  <c r="K36" i="40"/>
  <c r="L36" i="40"/>
  <c r="M36" i="40"/>
  <c r="N36" i="40"/>
  <c r="P36" i="40"/>
  <c r="A37" i="40"/>
  <c r="D37" i="40"/>
  <c r="E37" i="40"/>
  <c r="F37" i="40"/>
  <c r="G37" i="40"/>
  <c r="H37" i="40"/>
  <c r="I37" i="40"/>
  <c r="J37" i="40"/>
  <c r="K37" i="40"/>
  <c r="L37" i="40"/>
  <c r="M37" i="40"/>
  <c r="N37" i="40"/>
  <c r="P37" i="40"/>
  <c r="A39" i="40"/>
  <c r="D39" i="40"/>
  <c r="E39" i="40"/>
  <c r="F39" i="40"/>
  <c r="G39" i="40"/>
  <c r="H39" i="40"/>
  <c r="I39" i="40"/>
  <c r="J39" i="40"/>
  <c r="K39" i="40"/>
  <c r="L39" i="40"/>
  <c r="M39" i="40"/>
  <c r="N39" i="40"/>
  <c r="P39" i="40"/>
  <c r="A41" i="40"/>
  <c r="D41" i="40"/>
  <c r="E41" i="40"/>
  <c r="F41" i="40"/>
  <c r="G41" i="40"/>
  <c r="H41" i="40"/>
  <c r="I41" i="40"/>
  <c r="J41" i="40"/>
  <c r="K41" i="40"/>
  <c r="L41" i="40"/>
  <c r="M41" i="40"/>
  <c r="N41" i="40"/>
  <c r="P41" i="40"/>
  <c r="A42" i="40"/>
  <c r="D42" i="40"/>
  <c r="E42" i="40"/>
  <c r="F42" i="40"/>
  <c r="G42" i="40"/>
  <c r="H42" i="40"/>
  <c r="I42" i="40"/>
  <c r="J42" i="40"/>
  <c r="K42" i="40"/>
  <c r="L42" i="40"/>
  <c r="M42" i="40"/>
  <c r="N42" i="40"/>
  <c r="P42" i="40"/>
  <c r="A43" i="40"/>
  <c r="D43" i="40"/>
  <c r="E43" i="40"/>
  <c r="F43" i="40"/>
  <c r="G43" i="40"/>
  <c r="H43" i="40"/>
  <c r="I43" i="40"/>
  <c r="J43" i="40"/>
  <c r="K43" i="40"/>
  <c r="L43" i="40"/>
  <c r="M43" i="40"/>
  <c r="N43" i="40"/>
  <c r="P43" i="40"/>
  <c r="A39" i="37"/>
  <c r="A45" i="40"/>
  <c r="D45" i="40"/>
  <c r="E45" i="40"/>
  <c r="F45" i="40"/>
  <c r="G45" i="40"/>
  <c r="H45" i="40"/>
  <c r="I45" i="40"/>
  <c r="J45" i="40"/>
  <c r="K45" i="40"/>
  <c r="L45" i="40"/>
  <c r="M45" i="40"/>
  <c r="N45" i="40"/>
  <c r="P45" i="40"/>
  <c r="A40" i="37"/>
  <c r="A46" i="40"/>
  <c r="D46" i="40"/>
  <c r="E46" i="40"/>
  <c r="F46" i="40"/>
  <c r="G46" i="40"/>
  <c r="H46" i="40"/>
  <c r="I46" i="40"/>
  <c r="J46" i="40"/>
  <c r="K46" i="40"/>
  <c r="L46" i="40"/>
  <c r="M46" i="40"/>
  <c r="N46" i="40"/>
  <c r="P46" i="40"/>
  <c r="A41" i="37"/>
  <c r="A47" i="40"/>
  <c r="D47" i="40"/>
  <c r="E47" i="40"/>
  <c r="F47" i="40"/>
  <c r="G47" i="40"/>
  <c r="H47" i="40"/>
  <c r="I47" i="40"/>
  <c r="J47" i="40"/>
  <c r="K47" i="40"/>
  <c r="L47" i="40"/>
  <c r="M47" i="40"/>
  <c r="N47" i="40"/>
  <c r="P47" i="40"/>
  <c r="A42" i="37"/>
  <c r="A48" i="40"/>
  <c r="D48" i="40"/>
  <c r="E48" i="40"/>
  <c r="F48" i="40"/>
  <c r="G48" i="40"/>
  <c r="H48" i="40"/>
  <c r="I48" i="40"/>
  <c r="J48" i="40"/>
  <c r="K48" i="40"/>
  <c r="L48" i="40"/>
  <c r="M48" i="40"/>
  <c r="N48" i="40"/>
  <c r="P48" i="40"/>
  <c r="A50" i="40"/>
  <c r="D50" i="40"/>
  <c r="E50" i="40"/>
  <c r="F50" i="40"/>
  <c r="G50" i="40"/>
  <c r="H50" i="40"/>
  <c r="I50" i="40"/>
  <c r="J50" i="40"/>
  <c r="K50" i="40"/>
  <c r="L50" i="40"/>
  <c r="M50" i="40"/>
  <c r="N50" i="40"/>
  <c r="P50" i="40"/>
  <c r="A51" i="40"/>
  <c r="D51" i="40"/>
  <c r="E51" i="40"/>
  <c r="F51" i="40"/>
  <c r="G51" i="40"/>
  <c r="H51" i="40"/>
  <c r="I51" i="40"/>
  <c r="J51" i="40"/>
  <c r="K51" i="40"/>
  <c r="L51" i="40"/>
  <c r="M51" i="40"/>
  <c r="N51" i="40"/>
  <c r="P51" i="40"/>
  <c r="A52" i="40"/>
  <c r="D52" i="40"/>
  <c r="E52" i="40"/>
  <c r="F52" i="40"/>
  <c r="G52" i="40"/>
  <c r="H52" i="40"/>
  <c r="I52" i="40"/>
  <c r="J52" i="40"/>
  <c r="K52" i="40"/>
  <c r="L52" i="40"/>
  <c r="M52" i="40"/>
  <c r="N52" i="40"/>
  <c r="P52" i="40"/>
  <c r="A53" i="40"/>
  <c r="D53" i="40"/>
  <c r="E53" i="40"/>
  <c r="F53" i="40"/>
  <c r="G53" i="40"/>
  <c r="H53" i="40"/>
  <c r="I53" i="40"/>
  <c r="J53" i="40"/>
  <c r="K53" i="40"/>
  <c r="L53" i="40"/>
  <c r="M53" i="40"/>
  <c r="N53" i="40"/>
  <c r="P53" i="40"/>
  <c r="A54" i="40"/>
  <c r="D54" i="40"/>
  <c r="E54" i="40"/>
  <c r="F54" i="40"/>
  <c r="G54" i="40"/>
  <c r="H54" i="40"/>
  <c r="I54" i="40"/>
  <c r="J54" i="40"/>
  <c r="K54" i="40"/>
  <c r="L54" i="40"/>
  <c r="M54" i="40"/>
  <c r="N54" i="40"/>
  <c r="P54" i="40"/>
  <c r="A55" i="40"/>
  <c r="D55" i="40"/>
  <c r="E55" i="40"/>
  <c r="F55" i="40"/>
  <c r="G55" i="40"/>
  <c r="H55" i="40"/>
  <c r="I55" i="40"/>
  <c r="J55" i="40"/>
  <c r="K55" i="40"/>
  <c r="L55" i="40"/>
  <c r="M55" i="40"/>
  <c r="N55" i="40"/>
  <c r="P55" i="40"/>
  <c r="A56" i="40"/>
  <c r="D56" i="40"/>
  <c r="E56" i="40"/>
  <c r="F56" i="40"/>
  <c r="G56" i="40"/>
  <c r="H56" i="40"/>
  <c r="I56" i="40"/>
  <c r="J56" i="40"/>
  <c r="K56" i="40"/>
  <c r="L56" i="40"/>
  <c r="M56" i="40"/>
  <c r="N56" i="40"/>
  <c r="P56" i="40"/>
  <c r="A57" i="40"/>
  <c r="D57" i="40"/>
  <c r="E57" i="40"/>
  <c r="F57" i="40"/>
  <c r="G57" i="40"/>
  <c r="H57" i="40"/>
  <c r="I57" i="40"/>
  <c r="J57" i="40"/>
  <c r="K57" i="40"/>
  <c r="L57" i="40"/>
  <c r="M57" i="40"/>
  <c r="N57" i="40"/>
  <c r="P57" i="40"/>
  <c r="A58" i="40"/>
  <c r="D58" i="40"/>
  <c r="E58" i="40"/>
  <c r="F58" i="40"/>
  <c r="G58" i="40"/>
  <c r="H58" i="40"/>
  <c r="I58" i="40"/>
  <c r="J58" i="40"/>
  <c r="K58" i="40"/>
  <c r="L58" i="40"/>
  <c r="M58" i="40"/>
  <c r="N58" i="40"/>
  <c r="P58" i="40"/>
  <c r="A59" i="40"/>
  <c r="D59" i="40"/>
  <c r="E59" i="40"/>
  <c r="F59" i="40"/>
  <c r="G59" i="40"/>
  <c r="H59" i="40"/>
  <c r="I59" i="40"/>
  <c r="J59" i="40"/>
  <c r="K59" i="40"/>
  <c r="L59" i="40"/>
  <c r="M59" i="40"/>
  <c r="N59" i="40"/>
  <c r="P59" i="40"/>
  <c r="A60" i="40"/>
  <c r="D60" i="40"/>
  <c r="E60" i="40"/>
  <c r="F60" i="40"/>
  <c r="G60" i="40"/>
  <c r="H60" i="40"/>
  <c r="I60" i="40"/>
  <c r="J60" i="40"/>
  <c r="K60" i="40"/>
  <c r="L60" i="40"/>
  <c r="M60" i="40"/>
  <c r="N60" i="40"/>
  <c r="P60" i="40"/>
  <c r="A62" i="40"/>
  <c r="D62" i="40"/>
  <c r="E62" i="40"/>
  <c r="F62" i="40"/>
  <c r="G62" i="40"/>
  <c r="H62" i="40"/>
  <c r="I62" i="40"/>
  <c r="J62" i="40"/>
  <c r="K62" i="40"/>
  <c r="L62" i="40"/>
  <c r="M62" i="40"/>
  <c r="N62" i="40"/>
  <c r="P62" i="40"/>
  <c r="A63" i="40"/>
  <c r="D63" i="40"/>
  <c r="E63" i="40"/>
  <c r="F63" i="40"/>
  <c r="G63" i="40"/>
  <c r="H63" i="40"/>
  <c r="I63" i="40"/>
  <c r="J63" i="40"/>
  <c r="K63" i="40"/>
  <c r="L63" i="40"/>
  <c r="M63" i="40"/>
  <c r="N63" i="40"/>
  <c r="P63" i="40"/>
  <c r="A65" i="40"/>
  <c r="D65" i="40"/>
  <c r="E65" i="40"/>
  <c r="F65" i="40"/>
  <c r="G65" i="40"/>
  <c r="H65" i="40"/>
  <c r="I65" i="40"/>
  <c r="J65" i="40"/>
  <c r="K65" i="40"/>
  <c r="L65" i="40"/>
  <c r="M65" i="40"/>
  <c r="N65" i="40"/>
  <c r="P65" i="40"/>
  <c r="A66" i="40"/>
  <c r="D66" i="40"/>
  <c r="E66" i="40"/>
  <c r="F66" i="40"/>
  <c r="G66" i="40"/>
  <c r="H66" i="40"/>
  <c r="I66" i="40"/>
  <c r="J66" i="40"/>
  <c r="K66" i="40"/>
  <c r="L66" i="40"/>
  <c r="M66" i="40"/>
  <c r="N66" i="40"/>
  <c r="P66" i="40"/>
  <c r="A67" i="40"/>
  <c r="D67" i="40"/>
  <c r="E67" i="40"/>
  <c r="F67" i="40"/>
  <c r="G67" i="40"/>
  <c r="H67" i="40"/>
  <c r="I67" i="40"/>
  <c r="J67" i="40"/>
  <c r="K67" i="40"/>
  <c r="L67" i="40"/>
  <c r="M67" i="40"/>
  <c r="N67" i="40"/>
  <c r="P67" i="40"/>
  <c r="A69" i="40"/>
  <c r="D69" i="40"/>
  <c r="E69" i="40"/>
  <c r="F69" i="40"/>
  <c r="G69" i="40"/>
  <c r="H69" i="40"/>
  <c r="I69" i="40"/>
  <c r="J69" i="40"/>
  <c r="K69" i="40"/>
  <c r="L69" i="40"/>
  <c r="M69" i="40"/>
  <c r="N69" i="40"/>
  <c r="P69" i="40"/>
  <c r="A70" i="40"/>
  <c r="D70" i="40"/>
  <c r="E70" i="40"/>
  <c r="F70" i="40"/>
  <c r="G70" i="40"/>
  <c r="H70" i="40"/>
  <c r="I70" i="40"/>
  <c r="J70" i="40"/>
  <c r="K70" i="40"/>
  <c r="L70" i="40"/>
  <c r="M70" i="40"/>
  <c r="N70" i="40"/>
  <c r="P70" i="40"/>
  <c r="A72" i="40"/>
  <c r="D72" i="40"/>
  <c r="E72" i="40"/>
  <c r="F72" i="40"/>
  <c r="G72" i="40"/>
  <c r="H72" i="40"/>
  <c r="I72" i="40"/>
  <c r="J72" i="40"/>
  <c r="K72" i="40"/>
  <c r="L72" i="40"/>
  <c r="M72" i="40"/>
  <c r="N72" i="40"/>
  <c r="P72" i="40"/>
  <c r="A74" i="40"/>
  <c r="D74" i="40"/>
  <c r="E74" i="40"/>
  <c r="F74" i="40"/>
  <c r="G74" i="40"/>
  <c r="H74" i="40"/>
  <c r="I74" i="40"/>
  <c r="J74" i="40"/>
  <c r="K74" i="40"/>
  <c r="L74" i="40"/>
  <c r="M74" i="40"/>
  <c r="N74" i="40"/>
  <c r="P74" i="40"/>
  <c r="A75" i="40"/>
  <c r="D75" i="40"/>
  <c r="E75" i="40"/>
  <c r="F75" i="40"/>
  <c r="G75" i="40"/>
  <c r="H75" i="40"/>
  <c r="I75" i="40"/>
  <c r="J75" i="40"/>
  <c r="K75" i="40"/>
  <c r="L75" i="40"/>
  <c r="M75" i="40"/>
  <c r="N75" i="40"/>
  <c r="P75" i="40"/>
  <c r="A78" i="40"/>
  <c r="D78" i="40"/>
  <c r="P78" i="40"/>
  <c r="D79" i="40"/>
  <c r="E79" i="40"/>
  <c r="F79" i="40"/>
  <c r="G79" i="40"/>
  <c r="H79" i="40"/>
  <c r="I79" i="40"/>
  <c r="J79" i="40"/>
  <c r="K79" i="40"/>
  <c r="L79" i="40"/>
  <c r="M79" i="40"/>
  <c r="N79" i="40"/>
  <c r="P79" i="40"/>
  <c r="A81" i="40"/>
  <c r="A82" i="40"/>
  <c r="D82" i="40"/>
  <c r="E82" i="40"/>
  <c r="F82" i="40"/>
  <c r="G82" i="40"/>
  <c r="H82" i="40"/>
  <c r="I82" i="40"/>
  <c r="J82" i="40"/>
  <c r="K82" i="40"/>
  <c r="L82" i="40"/>
  <c r="M82" i="40"/>
  <c r="N82" i="40"/>
  <c r="P82" i="40"/>
  <c r="A83" i="40"/>
  <c r="D83" i="40"/>
  <c r="E83" i="40"/>
  <c r="F83" i="40"/>
  <c r="G83" i="40"/>
  <c r="H83" i="40"/>
  <c r="I83" i="40"/>
  <c r="J83" i="40"/>
  <c r="K83" i="40"/>
  <c r="L83" i="40"/>
  <c r="M83" i="40"/>
  <c r="N83" i="40"/>
  <c r="P83" i="40"/>
  <c r="A84" i="40"/>
  <c r="D84" i="40"/>
  <c r="E84" i="40"/>
  <c r="F84" i="40"/>
  <c r="G84" i="40"/>
  <c r="H84" i="40"/>
  <c r="I84" i="40"/>
  <c r="J84" i="40"/>
  <c r="K84" i="40"/>
  <c r="L84" i="40"/>
  <c r="M84" i="40"/>
  <c r="N84" i="40"/>
  <c r="P84" i="40"/>
  <c r="A85" i="40"/>
  <c r="D85" i="40"/>
  <c r="E85" i="40"/>
  <c r="F85" i="40"/>
  <c r="G85" i="40"/>
  <c r="H85" i="40"/>
  <c r="I85" i="40"/>
  <c r="J85" i="40"/>
  <c r="K85" i="40"/>
  <c r="L85" i="40"/>
  <c r="M85" i="40"/>
  <c r="N85" i="40"/>
  <c r="P85" i="40"/>
  <c r="A87" i="40"/>
  <c r="D87" i="40"/>
  <c r="E87" i="40"/>
  <c r="F87" i="40"/>
  <c r="G87" i="40"/>
  <c r="H87" i="40"/>
  <c r="I87" i="40"/>
  <c r="J87" i="40"/>
  <c r="K87" i="40"/>
  <c r="L87" i="40"/>
  <c r="M87" i="40"/>
  <c r="N87" i="40"/>
  <c r="P87" i="40"/>
  <c r="A88" i="40"/>
  <c r="D88" i="40"/>
  <c r="E88" i="40"/>
  <c r="F88" i="40"/>
  <c r="G88" i="40"/>
  <c r="H88" i="40"/>
  <c r="I88" i="40"/>
  <c r="J88" i="40"/>
  <c r="K88" i="40"/>
  <c r="L88" i="40"/>
  <c r="M88" i="40"/>
  <c r="N88" i="40"/>
  <c r="P88" i="40"/>
  <c r="A89" i="40"/>
  <c r="D89" i="40"/>
  <c r="E89" i="40"/>
  <c r="F89" i="40"/>
  <c r="G89" i="40"/>
  <c r="H89" i="40"/>
  <c r="I89" i="40"/>
  <c r="J89" i="40"/>
  <c r="K89" i="40"/>
  <c r="L89" i="40"/>
  <c r="M89" i="40"/>
  <c r="N89" i="40"/>
  <c r="P89" i="40"/>
  <c r="A90" i="40"/>
  <c r="D90" i="40"/>
  <c r="E90" i="40"/>
  <c r="F90" i="40"/>
  <c r="G90" i="40"/>
  <c r="H90" i="40"/>
  <c r="I90" i="40"/>
  <c r="J90" i="40"/>
  <c r="K90" i="40"/>
  <c r="L90" i="40"/>
  <c r="M90" i="40"/>
  <c r="N90" i="40"/>
  <c r="P90" i="40"/>
  <c r="A92" i="40"/>
  <c r="D92" i="40"/>
  <c r="E92" i="40"/>
  <c r="F92" i="40"/>
  <c r="G92" i="40"/>
  <c r="H92" i="40"/>
  <c r="I92" i="40"/>
  <c r="J92" i="40"/>
  <c r="K92" i="40"/>
  <c r="L92" i="40"/>
  <c r="M92" i="40"/>
  <c r="N92" i="40"/>
  <c r="P92" i="40"/>
  <c r="A93" i="40"/>
  <c r="D93" i="40"/>
  <c r="E93" i="40"/>
  <c r="F93" i="40"/>
  <c r="G93" i="40"/>
  <c r="H93" i="40"/>
  <c r="I93" i="40"/>
  <c r="J93" i="40"/>
  <c r="K93" i="40"/>
  <c r="L93" i="40"/>
  <c r="M93" i="40"/>
  <c r="N93" i="40"/>
  <c r="P93" i="40"/>
  <c r="A94" i="40"/>
  <c r="D94" i="40"/>
  <c r="E94" i="40"/>
  <c r="F94" i="40"/>
  <c r="G94" i="40"/>
  <c r="H94" i="40"/>
  <c r="I94" i="40"/>
  <c r="J94" i="40"/>
  <c r="K94" i="40"/>
  <c r="L94" i="40"/>
  <c r="M94" i="40"/>
  <c r="N94" i="40"/>
  <c r="P94" i="40"/>
  <c r="A95" i="40"/>
  <c r="D95" i="40"/>
  <c r="E95" i="40"/>
  <c r="F95" i="40"/>
  <c r="G95" i="40"/>
  <c r="H95" i="40"/>
  <c r="I95" i="40"/>
  <c r="J95" i="40"/>
  <c r="K95" i="40"/>
  <c r="L95" i="40"/>
  <c r="M95" i="40"/>
  <c r="N95" i="40"/>
  <c r="P95" i="40"/>
  <c r="A96" i="40"/>
  <c r="D96" i="40"/>
  <c r="E96" i="40"/>
  <c r="F96" i="40"/>
  <c r="G96" i="40"/>
  <c r="H96" i="40"/>
  <c r="I96" i="40"/>
  <c r="J96" i="40"/>
  <c r="K96" i="40"/>
  <c r="L96" i="40"/>
  <c r="M96" i="40"/>
  <c r="N96" i="40"/>
  <c r="P96" i="40"/>
  <c r="A97" i="40"/>
  <c r="D97" i="40"/>
  <c r="E97" i="40"/>
  <c r="F97" i="40"/>
  <c r="G97" i="40"/>
  <c r="H97" i="40"/>
  <c r="I97" i="40"/>
  <c r="J97" i="40"/>
  <c r="K97" i="40"/>
  <c r="L97" i="40"/>
  <c r="M97" i="40"/>
  <c r="N97" i="40"/>
  <c r="P97" i="40"/>
  <c r="A98" i="40"/>
  <c r="D98" i="40"/>
  <c r="E98" i="40"/>
  <c r="F98" i="40"/>
  <c r="G98" i="40"/>
  <c r="H98" i="40"/>
  <c r="I98" i="40"/>
  <c r="J98" i="40"/>
  <c r="K98" i="40"/>
  <c r="L98" i="40"/>
  <c r="M98" i="40"/>
  <c r="N98" i="40"/>
  <c r="P98" i="40"/>
  <c r="A99" i="40"/>
  <c r="D99" i="40"/>
  <c r="E99" i="40"/>
  <c r="F99" i="40"/>
  <c r="G99" i="40"/>
  <c r="H99" i="40"/>
  <c r="I99" i="40"/>
  <c r="J99" i="40"/>
  <c r="K99" i="40"/>
  <c r="L99" i="40"/>
  <c r="M99" i="40"/>
  <c r="N99" i="40"/>
  <c r="P99" i="40"/>
  <c r="A100" i="40"/>
  <c r="D100" i="40"/>
  <c r="E100" i="40"/>
  <c r="F100" i="40"/>
  <c r="G100" i="40"/>
  <c r="H100" i="40"/>
  <c r="I100" i="40"/>
  <c r="J100" i="40"/>
  <c r="K100" i="40"/>
  <c r="L100" i="40"/>
  <c r="M100" i="40"/>
  <c r="N100" i="40"/>
  <c r="P100" i="40"/>
  <c r="A102" i="40"/>
  <c r="D102" i="40"/>
  <c r="E102" i="40"/>
  <c r="F102" i="40"/>
  <c r="G102" i="40"/>
  <c r="H102" i="40"/>
  <c r="I102" i="40"/>
  <c r="J102" i="40"/>
  <c r="K102" i="40"/>
  <c r="L102" i="40"/>
  <c r="M102" i="40"/>
  <c r="N102" i="40"/>
  <c r="P102" i="40"/>
  <c r="A103" i="40"/>
  <c r="D103" i="40"/>
  <c r="E103" i="40"/>
  <c r="F103" i="40"/>
  <c r="G103" i="40"/>
  <c r="H103" i="40"/>
  <c r="I103" i="40"/>
  <c r="J103" i="40"/>
  <c r="K103" i="40"/>
  <c r="L103" i="40"/>
  <c r="M103" i="40"/>
  <c r="N103" i="40"/>
  <c r="P103" i="40"/>
  <c r="A104" i="40"/>
  <c r="D104" i="40"/>
  <c r="E104" i="40"/>
  <c r="F104" i="40"/>
  <c r="G104" i="40"/>
  <c r="H104" i="40"/>
  <c r="I104" i="40"/>
  <c r="J104" i="40"/>
  <c r="K104" i="40"/>
  <c r="L104" i="40"/>
  <c r="M104" i="40"/>
  <c r="N104" i="40"/>
  <c r="P104" i="40"/>
  <c r="A106" i="40"/>
  <c r="D106" i="40"/>
  <c r="E106" i="40"/>
  <c r="F106" i="40"/>
  <c r="G106" i="40"/>
  <c r="H106" i="40"/>
  <c r="I106" i="40"/>
  <c r="J106" i="40"/>
  <c r="K106" i="40"/>
  <c r="L106" i="40"/>
  <c r="M106" i="40"/>
  <c r="N106" i="40"/>
  <c r="P106" i="40"/>
  <c r="A107" i="40"/>
  <c r="D107" i="40"/>
  <c r="E107" i="40"/>
  <c r="F107" i="40"/>
  <c r="G107" i="40"/>
  <c r="H107" i="40"/>
  <c r="I107" i="40"/>
  <c r="J107" i="40"/>
  <c r="K107" i="40"/>
  <c r="L107" i="40"/>
  <c r="M107" i="40"/>
  <c r="N107" i="40"/>
  <c r="P107" i="40"/>
  <c r="A108" i="40"/>
  <c r="D108" i="40"/>
  <c r="E108" i="40"/>
  <c r="F108" i="40"/>
  <c r="G108" i="40"/>
  <c r="H108" i="40"/>
  <c r="I108" i="40"/>
  <c r="J108" i="40"/>
  <c r="K108" i="40"/>
  <c r="L108" i="40"/>
  <c r="M108" i="40"/>
  <c r="N108" i="40"/>
  <c r="P108" i="40"/>
  <c r="A109" i="40"/>
  <c r="D109" i="40"/>
  <c r="E109" i="40"/>
  <c r="F109" i="40"/>
  <c r="G109" i="40"/>
  <c r="H109" i="40"/>
  <c r="I109" i="40"/>
  <c r="J109" i="40"/>
  <c r="K109" i="40"/>
  <c r="L109" i="40"/>
  <c r="M109" i="40"/>
  <c r="N109" i="40"/>
  <c r="P109" i="40"/>
  <c r="A110" i="40"/>
  <c r="D110" i="40"/>
  <c r="E110" i="40"/>
  <c r="F110" i="40"/>
  <c r="G110" i="40"/>
  <c r="H110" i="40"/>
  <c r="I110" i="40"/>
  <c r="J110" i="40"/>
  <c r="K110" i="40"/>
  <c r="L110" i="40"/>
  <c r="M110" i="40"/>
  <c r="N110" i="40"/>
  <c r="P110" i="40"/>
  <c r="A111" i="40"/>
  <c r="D111" i="40"/>
  <c r="E111" i="40"/>
  <c r="F111" i="40"/>
  <c r="G111" i="40"/>
  <c r="H111" i="40"/>
  <c r="I111" i="40"/>
  <c r="J111" i="40"/>
  <c r="K111" i="40"/>
  <c r="L111" i="40"/>
  <c r="M111" i="40"/>
  <c r="N111" i="40"/>
  <c r="P111" i="40"/>
  <c r="A112" i="40"/>
  <c r="D112" i="40"/>
  <c r="E112" i="40"/>
  <c r="F112" i="40"/>
  <c r="G112" i="40"/>
  <c r="H112" i="40"/>
  <c r="I112" i="40"/>
  <c r="J112" i="40"/>
  <c r="K112" i="40"/>
  <c r="L112" i="40"/>
  <c r="M112" i="40"/>
  <c r="N112" i="40"/>
  <c r="P112" i="40"/>
  <c r="A113" i="40"/>
  <c r="D113" i="40"/>
  <c r="E113" i="40"/>
  <c r="F113" i="40"/>
  <c r="G113" i="40"/>
  <c r="H113" i="40"/>
  <c r="I113" i="40"/>
  <c r="J113" i="40"/>
  <c r="K113" i="40"/>
  <c r="L113" i="40"/>
  <c r="M113" i="40"/>
  <c r="N113" i="40"/>
  <c r="P113" i="40"/>
  <c r="A114" i="40"/>
  <c r="D114" i="40"/>
  <c r="E114" i="40"/>
  <c r="F114" i="40"/>
  <c r="G114" i="40"/>
  <c r="H114" i="40"/>
  <c r="I114" i="40"/>
  <c r="J114" i="40"/>
  <c r="K114" i="40"/>
  <c r="L114" i="40"/>
  <c r="M114" i="40"/>
  <c r="N114" i="40"/>
  <c r="P114" i="40"/>
  <c r="A115" i="40"/>
  <c r="D115" i="40"/>
  <c r="E115" i="40"/>
  <c r="F115" i="40"/>
  <c r="G115" i="40"/>
  <c r="H115" i="40"/>
  <c r="I115" i="40"/>
  <c r="J115" i="40"/>
  <c r="K115" i="40"/>
  <c r="L115" i="40"/>
  <c r="M115" i="40"/>
  <c r="N115" i="40"/>
  <c r="P115" i="40"/>
  <c r="A116" i="40"/>
  <c r="D116" i="40"/>
  <c r="E116" i="40"/>
  <c r="F116" i="40"/>
  <c r="G116" i="40"/>
  <c r="H116" i="40"/>
  <c r="I116" i="40"/>
  <c r="J116" i="40"/>
  <c r="K116" i="40"/>
  <c r="L116" i="40"/>
  <c r="M116" i="40"/>
  <c r="N116" i="40"/>
  <c r="P116" i="40"/>
  <c r="A118" i="40"/>
  <c r="A119" i="40"/>
  <c r="D119" i="40"/>
  <c r="E119" i="40"/>
  <c r="F119" i="40"/>
  <c r="G119" i="40"/>
  <c r="H119" i="40"/>
  <c r="I119" i="40"/>
  <c r="J119" i="40"/>
  <c r="K119" i="40"/>
  <c r="L119" i="40"/>
  <c r="M119" i="40"/>
  <c r="N119" i="40"/>
  <c r="P119" i="40"/>
  <c r="A120" i="40"/>
  <c r="D120" i="40"/>
  <c r="E120" i="40"/>
  <c r="F120" i="40"/>
  <c r="G120" i="40"/>
  <c r="H120" i="40"/>
  <c r="I120" i="40"/>
  <c r="J120" i="40"/>
  <c r="K120" i="40"/>
  <c r="L120" i="40"/>
  <c r="M120" i="40"/>
  <c r="N120" i="40"/>
  <c r="P120" i="40"/>
  <c r="A121" i="40"/>
  <c r="D121" i="40"/>
  <c r="E121" i="40"/>
  <c r="F121" i="40"/>
  <c r="G121" i="40"/>
  <c r="H121" i="40"/>
  <c r="I121" i="40"/>
  <c r="J121" i="40"/>
  <c r="K121" i="40"/>
  <c r="L121" i="40"/>
  <c r="M121" i="40"/>
  <c r="N121" i="40"/>
  <c r="P121" i="40"/>
  <c r="A122" i="40"/>
  <c r="D122" i="40"/>
  <c r="E122" i="40"/>
  <c r="F122" i="40"/>
  <c r="G122" i="40"/>
  <c r="H122" i="40"/>
  <c r="I122" i="40"/>
  <c r="J122" i="40"/>
  <c r="K122" i="40"/>
  <c r="L122" i="40"/>
  <c r="M122" i="40"/>
  <c r="N122" i="40"/>
  <c r="P122" i="40"/>
  <c r="A123" i="40"/>
  <c r="D123" i="40"/>
  <c r="E123" i="40"/>
  <c r="F123" i="40"/>
  <c r="G123" i="40"/>
  <c r="H123" i="40"/>
  <c r="I123" i="40"/>
  <c r="J123" i="40"/>
  <c r="K123" i="40"/>
  <c r="L123" i="40"/>
  <c r="M123" i="40"/>
  <c r="N123" i="40"/>
  <c r="P123" i="40"/>
  <c r="A124" i="40"/>
  <c r="D124" i="40"/>
  <c r="E124" i="40"/>
  <c r="F124" i="40"/>
  <c r="G124" i="40"/>
  <c r="H124" i="40"/>
  <c r="I124" i="40"/>
  <c r="J124" i="40"/>
  <c r="K124" i="40"/>
  <c r="L124" i="40"/>
  <c r="M124" i="40"/>
  <c r="N124" i="40"/>
  <c r="P124" i="40"/>
  <c r="A125" i="40"/>
  <c r="D125" i="40"/>
  <c r="E125" i="40"/>
  <c r="F125" i="40"/>
  <c r="G125" i="40"/>
  <c r="H125" i="40"/>
  <c r="I125" i="40"/>
  <c r="J125" i="40"/>
  <c r="K125" i="40"/>
  <c r="L125" i="40"/>
  <c r="M125" i="40"/>
  <c r="N125" i="40"/>
  <c r="P125" i="40"/>
  <c r="A126" i="40"/>
  <c r="D126" i="40"/>
  <c r="E126" i="40"/>
  <c r="F126" i="40"/>
  <c r="G126" i="40"/>
  <c r="H126" i="40"/>
  <c r="I126" i="40"/>
  <c r="J126" i="40"/>
  <c r="K126" i="40"/>
  <c r="L126" i="40"/>
  <c r="M126" i="40"/>
  <c r="N126" i="40"/>
  <c r="P126" i="40"/>
  <c r="A127" i="40"/>
  <c r="D127" i="40"/>
  <c r="E127" i="40"/>
  <c r="F127" i="40"/>
  <c r="G127" i="40"/>
  <c r="H127" i="40"/>
  <c r="I127" i="40"/>
  <c r="J127" i="40"/>
  <c r="K127" i="40"/>
  <c r="L127" i="40"/>
  <c r="M127" i="40"/>
  <c r="N127" i="40"/>
  <c r="P127" i="40"/>
  <c r="A128" i="40"/>
  <c r="D128" i="40"/>
  <c r="E128" i="40"/>
  <c r="F128" i="40"/>
  <c r="G128" i="40"/>
  <c r="H128" i="40"/>
  <c r="I128" i="40"/>
  <c r="J128" i="40"/>
  <c r="K128" i="40"/>
  <c r="L128" i="40"/>
  <c r="M128" i="40"/>
  <c r="N128" i="40"/>
  <c r="P128" i="40"/>
  <c r="A129" i="40"/>
  <c r="D129" i="40"/>
  <c r="E129" i="40"/>
  <c r="F129" i="40"/>
  <c r="G129" i="40"/>
  <c r="H129" i="40"/>
  <c r="I129" i="40"/>
  <c r="J129" i="40"/>
  <c r="K129" i="40"/>
  <c r="L129" i="40"/>
  <c r="M129" i="40"/>
  <c r="N129" i="40"/>
  <c r="P129" i="40"/>
  <c r="A130" i="40"/>
  <c r="D130" i="40"/>
  <c r="E130" i="40"/>
  <c r="F130" i="40"/>
  <c r="G130" i="40"/>
  <c r="H130" i="40"/>
  <c r="I130" i="40"/>
  <c r="J130" i="40"/>
  <c r="K130" i="40"/>
  <c r="L130" i="40"/>
  <c r="M130" i="40"/>
  <c r="N130" i="40"/>
  <c r="P130" i="40"/>
  <c r="A132" i="40"/>
  <c r="D132" i="40"/>
  <c r="E132" i="40"/>
  <c r="F132" i="40"/>
  <c r="G132" i="40"/>
  <c r="H132" i="40"/>
  <c r="I132" i="40"/>
  <c r="J132" i="40"/>
  <c r="K132" i="40"/>
  <c r="L132" i="40"/>
  <c r="M132" i="40"/>
  <c r="N132" i="40"/>
  <c r="P132" i="40"/>
  <c r="A133" i="40"/>
  <c r="D133" i="40"/>
  <c r="E133" i="40"/>
  <c r="F133" i="40"/>
  <c r="G133" i="40"/>
  <c r="H133" i="40"/>
  <c r="I133" i="40"/>
  <c r="J133" i="40"/>
  <c r="K133" i="40"/>
  <c r="L133" i="40"/>
  <c r="M133" i="40"/>
  <c r="N133" i="40"/>
  <c r="P133" i="40"/>
  <c r="A134" i="40"/>
  <c r="D134" i="40"/>
  <c r="E134" i="40"/>
  <c r="F134" i="40"/>
  <c r="G134" i="40"/>
  <c r="H134" i="40"/>
  <c r="I134" i="40"/>
  <c r="J134" i="40"/>
  <c r="K134" i="40"/>
  <c r="L134" i="40"/>
  <c r="M134" i="40"/>
  <c r="N134" i="40"/>
  <c r="P134" i="40"/>
  <c r="A135" i="40"/>
  <c r="D135" i="40"/>
  <c r="E135" i="40"/>
  <c r="F135" i="40"/>
  <c r="G135" i="40"/>
  <c r="H135" i="40"/>
  <c r="I135" i="40"/>
  <c r="J135" i="40"/>
  <c r="K135" i="40"/>
  <c r="L135" i="40"/>
  <c r="M135" i="40"/>
  <c r="N135" i="40"/>
  <c r="P135" i="40"/>
  <c r="A136" i="40"/>
  <c r="D136" i="40"/>
  <c r="E136" i="40"/>
  <c r="F136" i="40"/>
  <c r="G136" i="40"/>
  <c r="H136" i="40"/>
  <c r="I136" i="40"/>
  <c r="J136" i="40"/>
  <c r="K136" i="40"/>
  <c r="L136" i="40"/>
  <c r="M136" i="40"/>
  <c r="N136" i="40"/>
  <c r="P136" i="40"/>
  <c r="A137" i="40"/>
  <c r="D137" i="40"/>
  <c r="E137" i="40"/>
  <c r="F137" i="40"/>
  <c r="G137" i="40"/>
  <c r="H137" i="40"/>
  <c r="I137" i="40"/>
  <c r="J137" i="40"/>
  <c r="K137" i="40"/>
  <c r="L137" i="40"/>
  <c r="M137" i="40"/>
  <c r="N137" i="40"/>
  <c r="P137" i="40"/>
  <c r="A138" i="40"/>
  <c r="D138" i="40"/>
  <c r="E138" i="40"/>
  <c r="F138" i="40"/>
  <c r="G138" i="40"/>
  <c r="H138" i="40"/>
  <c r="I138" i="40"/>
  <c r="J138" i="40"/>
  <c r="K138" i="40"/>
  <c r="L138" i="40"/>
  <c r="M138" i="40"/>
  <c r="N138" i="40"/>
  <c r="P138" i="40"/>
  <c r="A139" i="40"/>
  <c r="D139" i="40"/>
  <c r="E139" i="40"/>
  <c r="F139" i="40"/>
  <c r="G139" i="40"/>
  <c r="H139" i="40"/>
  <c r="I139" i="40"/>
  <c r="J139" i="40"/>
  <c r="K139" i="40"/>
  <c r="L139" i="40"/>
  <c r="M139" i="40"/>
  <c r="N139" i="40"/>
  <c r="P139" i="40"/>
  <c r="A140" i="40"/>
  <c r="D140" i="40"/>
  <c r="E140" i="40"/>
  <c r="F140" i="40"/>
  <c r="G140" i="40"/>
  <c r="H140" i="40"/>
  <c r="I140" i="40"/>
  <c r="J140" i="40"/>
  <c r="K140" i="40"/>
  <c r="L140" i="40"/>
  <c r="M140" i="40"/>
  <c r="N140" i="40"/>
  <c r="P140" i="40"/>
  <c r="A142" i="40"/>
  <c r="A143" i="40"/>
  <c r="D143" i="40"/>
  <c r="E143" i="40"/>
  <c r="F143" i="40"/>
  <c r="G143" i="40"/>
  <c r="H143" i="40"/>
  <c r="I143" i="40"/>
  <c r="J143" i="40"/>
  <c r="K143" i="40"/>
  <c r="L143" i="40"/>
  <c r="M143" i="40"/>
  <c r="N143" i="40"/>
  <c r="P143" i="40"/>
  <c r="A144" i="40"/>
  <c r="D144" i="40"/>
  <c r="E144" i="40"/>
  <c r="F144" i="40"/>
  <c r="G144" i="40"/>
  <c r="H144" i="40"/>
  <c r="I144" i="40"/>
  <c r="J144" i="40"/>
  <c r="K144" i="40"/>
  <c r="L144" i="40"/>
  <c r="M144" i="40"/>
  <c r="N144" i="40"/>
  <c r="P144" i="40"/>
  <c r="A145" i="40"/>
  <c r="D145" i="40"/>
  <c r="E145" i="40"/>
  <c r="F145" i="40"/>
  <c r="G145" i="40"/>
  <c r="H145" i="40"/>
  <c r="I145" i="40"/>
  <c r="J145" i="40"/>
  <c r="K145" i="40"/>
  <c r="L145" i="40"/>
  <c r="M145" i="40"/>
  <c r="N145" i="40"/>
  <c r="P145" i="40"/>
  <c r="A146" i="40"/>
  <c r="D146" i="40"/>
  <c r="E146" i="40"/>
  <c r="F146" i="40"/>
  <c r="G146" i="40"/>
  <c r="H146" i="40"/>
  <c r="I146" i="40"/>
  <c r="J146" i="40"/>
  <c r="K146" i="40"/>
  <c r="L146" i="40"/>
  <c r="M146" i="40"/>
  <c r="N146" i="40"/>
  <c r="P146" i="40"/>
  <c r="A147" i="40"/>
  <c r="D147" i="40"/>
  <c r="E147" i="40"/>
  <c r="F147" i="40"/>
  <c r="G147" i="40"/>
  <c r="H147" i="40"/>
  <c r="I147" i="40"/>
  <c r="J147" i="40"/>
  <c r="K147" i="40"/>
  <c r="L147" i="40"/>
  <c r="M147" i="40"/>
  <c r="N147" i="40"/>
  <c r="P147" i="40"/>
  <c r="A149" i="40"/>
  <c r="D149" i="40"/>
  <c r="E149" i="40"/>
  <c r="F149" i="40"/>
  <c r="G149" i="40"/>
  <c r="H149" i="40"/>
  <c r="I149" i="40"/>
  <c r="J149" i="40"/>
  <c r="K149" i="40"/>
  <c r="L149" i="40"/>
  <c r="M149" i="40"/>
  <c r="N149" i="40"/>
  <c r="P149" i="40"/>
  <c r="A150" i="40"/>
  <c r="D150" i="40"/>
  <c r="E150" i="40"/>
  <c r="F150" i="40"/>
  <c r="G150" i="40"/>
  <c r="H150" i="40"/>
  <c r="I150" i="40"/>
  <c r="J150" i="40"/>
  <c r="K150" i="40"/>
  <c r="L150" i="40"/>
  <c r="M150" i="40"/>
  <c r="N150" i="40"/>
  <c r="P150" i="40"/>
  <c r="A151" i="40"/>
  <c r="D151" i="40"/>
  <c r="E151" i="40"/>
  <c r="F151" i="40"/>
  <c r="G151" i="40"/>
  <c r="H151" i="40"/>
  <c r="I151" i="40"/>
  <c r="J151" i="40"/>
  <c r="K151" i="40"/>
  <c r="L151" i="40"/>
  <c r="M151" i="40"/>
  <c r="N151" i="40"/>
  <c r="P151" i="40"/>
  <c r="A152" i="40"/>
  <c r="D152" i="40"/>
  <c r="E152" i="40"/>
  <c r="F152" i="40"/>
  <c r="G152" i="40"/>
  <c r="H152" i="40"/>
  <c r="I152" i="40"/>
  <c r="J152" i="40"/>
  <c r="K152" i="40"/>
  <c r="L152" i="40"/>
  <c r="M152" i="40"/>
  <c r="N152" i="40"/>
  <c r="P152" i="40"/>
  <c r="A153" i="40"/>
  <c r="D153" i="40"/>
  <c r="E153" i="40"/>
  <c r="F153" i="40"/>
  <c r="G153" i="40"/>
  <c r="H153" i="40"/>
  <c r="I153" i="40"/>
  <c r="J153" i="40"/>
  <c r="K153" i="40"/>
  <c r="L153" i="40"/>
  <c r="M153" i="40"/>
  <c r="N153" i="40"/>
  <c r="P153" i="40"/>
  <c r="A154" i="40"/>
  <c r="D154" i="40"/>
  <c r="E154" i="40"/>
  <c r="F154" i="40"/>
  <c r="G154" i="40"/>
  <c r="H154" i="40"/>
  <c r="I154" i="40"/>
  <c r="J154" i="40"/>
  <c r="K154" i="40"/>
  <c r="L154" i="40"/>
  <c r="M154" i="40"/>
  <c r="N154" i="40"/>
  <c r="P154" i="40"/>
  <c r="A156" i="40"/>
  <c r="D156" i="40"/>
  <c r="E156" i="40"/>
  <c r="F156" i="40"/>
  <c r="G156" i="40"/>
  <c r="H156" i="40"/>
  <c r="I156" i="40"/>
  <c r="J156" i="40"/>
  <c r="K156" i="40"/>
  <c r="L156" i="40"/>
  <c r="M156" i="40"/>
  <c r="N156" i="40"/>
  <c r="P156" i="40"/>
  <c r="A157" i="40"/>
  <c r="D157" i="40"/>
  <c r="E157" i="40"/>
  <c r="F157" i="40"/>
  <c r="G157" i="40"/>
  <c r="H157" i="40"/>
  <c r="I157" i="40"/>
  <c r="J157" i="40"/>
  <c r="K157" i="40"/>
  <c r="L157" i="40"/>
  <c r="M157" i="40"/>
  <c r="N157" i="40"/>
  <c r="P157" i="40"/>
  <c r="A159" i="40"/>
  <c r="D159" i="40"/>
  <c r="E159" i="40"/>
  <c r="F159" i="40"/>
  <c r="G159" i="40"/>
  <c r="H159" i="40"/>
  <c r="I159" i="40"/>
  <c r="J159" i="40"/>
  <c r="K159" i="40"/>
  <c r="L159" i="40"/>
  <c r="M159" i="40"/>
  <c r="N159" i="40"/>
  <c r="P159" i="40"/>
  <c r="A161" i="40"/>
  <c r="A162" i="40"/>
  <c r="A2" i="37"/>
  <c r="E2" i="37"/>
  <c r="U2" i="37"/>
  <c r="V2" i="37"/>
  <c r="A3" i="37"/>
  <c r="E3" i="37"/>
  <c r="U3" i="37"/>
  <c r="V3" i="37"/>
  <c r="W3" i="37"/>
  <c r="X3" i="37"/>
  <c r="A4" i="37"/>
  <c r="E4" i="37"/>
  <c r="U4" i="37"/>
  <c r="U5" i="37"/>
  <c r="V5" i="37"/>
  <c r="U6" i="37"/>
  <c r="V6" i="37"/>
  <c r="U7" i="37"/>
  <c r="V7" i="37"/>
  <c r="U8" i="37"/>
  <c r="V8" i="37"/>
  <c r="A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A35" i="37"/>
  <c r="A36" i="37"/>
  <c r="A37" i="37"/>
  <c r="A38" i="37"/>
  <c r="A43" i="37"/>
  <c r="A44" i="37"/>
  <c r="A45" i="37"/>
  <c r="A46" i="37"/>
  <c r="A47" i="37"/>
  <c r="A48" i="37"/>
  <c r="A49" i="37"/>
  <c r="A50" i="37"/>
  <c r="A51" i="37"/>
  <c r="A52" i="37"/>
  <c r="A53" i="37"/>
  <c r="A54" i="37"/>
  <c r="A55" i="37"/>
  <c r="A56" i="37"/>
  <c r="A57" i="37"/>
  <c r="A58" i="37"/>
  <c r="A59" i="37"/>
  <c r="A60" i="37"/>
  <c r="A61" i="37"/>
  <c r="A62" i="37"/>
  <c r="A63" i="37"/>
  <c r="A64" i="37"/>
  <c r="A65" i="37"/>
  <c r="A66" i="37"/>
  <c r="A67" i="37"/>
  <c r="A68" i="37"/>
  <c r="A69" i="37"/>
  <c r="A70" i="37"/>
  <c r="A71" i="37"/>
  <c r="A72" i="37"/>
  <c r="A73" i="37"/>
  <c r="A74" i="37"/>
  <c r="A75" i="37"/>
  <c r="A76" i="37"/>
  <c r="A77" i="37"/>
  <c r="A78" i="37"/>
  <c r="A79" i="37"/>
  <c r="A80" i="37"/>
  <c r="A81" i="37"/>
  <c r="A82" i="37"/>
  <c r="A83" i="37"/>
  <c r="A84" i="37"/>
  <c r="A85" i="37"/>
  <c r="A86" i="37"/>
  <c r="A87" i="37"/>
  <c r="A88" i="37"/>
  <c r="A89" i="37"/>
  <c r="A90" i="37"/>
  <c r="A91" i="37"/>
  <c r="A92" i="37"/>
  <c r="A93" i="37"/>
  <c r="A94" i="37"/>
  <c r="A95" i="37"/>
  <c r="A96" i="37"/>
  <c r="A97" i="37"/>
  <c r="A98" i="37"/>
  <c r="A99" i="37"/>
  <c r="A100" i="37"/>
  <c r="A101" i="37"/>
  <c r="A102" i="37"/>
  <c r="A103" i="37"/>
  <c r="A104" i="37"/>
  <c r="A105" i="37"/>
  <c r="A106" i="37"/>
  <c r="A107" i="37"/>
  <c r="A108" i="37"/>
  <c r="A109" i="37"/>
  <c r="A110" i="37"/>
  <c r="A111" i="37"/>
  <c r="A112" i="37"/>
  <c r="A113" i="37"/>
  <c r="A114" i="37"/>
  <c r="A115" i="37"/>
  <c r="A116" i="37"/>
  <c r="A117" i="37"/>
  <c r="A118" i="37"/>
  <c r="A119" i="37"/>
  <c r="A120" i="37"/>
  <c r="A121" i="37"/>
  <c r="A122" i="37"/>
  <c r="A123" i="37"/>
  <c r="A124" i="37"/>
  <c r="A125" i="37"/>
  <c r="A126" i="37"/>
  <c r="A127" i="37"/>
  <c r="A128" i="37"/>
  <c r="A129" i="37"/>
  <c r="A130" i="37"/>
  <c r="A131" i="37"/>
  <c r="A132" i="37"/>
  <c r="A133" i="37"/>
  <c r="A134" i="37"/>
  <c r="A135" i="37"/>
  <c r="A136" i="37"/>
  <c r="A137" i="37"/>
  <c r="A138" i="37"/>
  <c r="A139" i="37"/>
  <c r="A140" i="37"/>
  <c r="A141" i="37"/>
  <c r="A142" i="37"/>
  <c r="A143" i="37"/>
  <c r="A144" i="37"/>
  <c r="A145" i="37"/>
  <c r="A146" i="37"/>
  <c r="A147" i="37"/>
  <c r="A148" i="37"/>
  <c r="A149" i="37"/>
  <c r="A150" i="37"/>
  <c r="A151" i="37"/>
  <c r="A152" i="37"/>
  <c r="A153" i="37"/>
  <c r="A154" i="37"/>
  <c r="A155" i="37"/>
  <c r="A156" i="37"/>
  <c r="A157" i="37"/>
  <c r="A158" i="37"/>
  <c r="A159" i="37"/>
  <c r="A160" i="37"/>
  <c r="A161" i="37"/>
  <c r="A162" i="37"/>
  <c r="A163" i="37"/>
  <c r="A164" i="37"/>
  <c r="A165" i="37"/>
  <c r="A166" i="37"/>
  <c r="A167" i="37"/>
  <c r="A168" i="37"/>
  <c r="A169" i="37"/>
  <c r="A170" i="37"/>
  <c r="A171" i="37"/>
  <c r="A172" i="37"/>
  <c r="A173" i="37"/>
  <c r="A174" i="37"/>
  <c r="A175" i="37"/>
  <c r="A176" i="37"/>
  <c r="A177" i="37"/>
  <c r="A178" i="37"/>
  <c r="A179" i="37"/>
  <c r="A180" i="37"/>
  <c r="A181" i="37"/>
  <c r="A182" i="37"/>
  <c r="A183" i="37"/>
  <c r="A184" i="37"/>
  <c r="A185" i="37"/>
  <c r="A186" i="37"/>
  <c r="A187" i="37"/>
  <c r="A188" i="37"/>
  <c r="A189" i="37"/>
  <c r="A190" i="37"/>
  <c r="A191" i="37"/>
  <c r="A192" i="37"/>
  <c r="A193" i="37"/>
  <c r="A194" i="37"/>
  <c r="A195" i="37"/>
  <c r="A196" i="37"/>
  <c r="A197" i="37"/>
  <c r="A198" i="37"/>
  <c r="A199" i="37"/>
  <c r="A200" i="37"/>
  <c r="A201" i="37"/>
  <c r="A202" i="37"/>
  <c r="A203" i="37"/>
  <c r="A204" i="37"/>
  <c r="A205" i="37"/>
  <c r="A206" i="37"/>
  <c r="A207" i="37"/>
  <c r="A208" i="37"/>
  <c r="A209" i="37"/>
  <c r="A210" i="37"/>
  <c r="A211" i="37"/>
  <c r="A212" i="37"/>
  <c r="A213" i="37"/>
  <c r="A214" i="37"/>
  <c r="A215" i="37"/>
  <c r="A216" i="37"/>
  <c r="A217" i="37"/>
  <c r="A218" i="37"/>
  <c r="A219" i="37"/>
  <c r="A220" i="37"/>
  <c r="A221" i="37"/>
  <c r="A222" i="37"/>
  <c r="A223" i="37"/>
  <c r="A224" i="37"/>
  <c r="A225" i="37"/>
  <c r="A226" i="37"/>
  <c r="A227" i="37"/>
  <c r="A228" i="37"/>
  <c r="A229" i="37"/>
  <c r="A230" i="37"/>
  <c r="A231" i="37"/>
  <c r="A232" i="37"/>
  <c r="A233" i="37"/>
  <c r="A234" i="37"/>
  <c r="A235" i="37"/>
  <c r="A236" i="37"/>
  <c r="A237" i="37"/>
  <c r="A238" i="37"/>
  <c r="A239" i="37"/>
  <c r="A240" i="37"/>
  <c r="A241" i="37"/>
  <c r="A242" i="37"/>
  <c r="A243" i="37"/>
  <c r="A244" i="37"/>
  <c r="A245" i="37"/>
  <c r="A246" i="37"/>
  <c r="A247" i="37"/>
  <c r="A248" i="37"/>
  <c r="A249" i="37"/>
  <c r="A250" i="37"/>
  <c r="A251" i="37"/>
  <c r="A252" i="37"/>
  <c r="A253" i="37"/>
  <c r="A254" i="37"/>
  <c r="A255" i="37"/>
  <c r="A256" i="37"/>
  <c r="A257" i="37"/>
  <c r="A258" i="37"/>
  <c r="A259" i="37"/>
  <c r="A260" i="37"/>
  <c r="A261" i="37"/>
  <c r="A262" i="37"/>
  <c r="A263" i="37"/>
  <c r="A264" i="37"/>
  <c r="A265" i="37"/>
  <c r="A266" i="37"/>
  <c r="A267" i="37"/>
  <c r="A268" i="37"/>
  <c r="A269" i="37"/>
  <c r="A270" i="37"/>
  <c r="A271" i="37"/>
  <c r="A272" i="37"/>
  <c r="A273" i="37"/>
  <c r="A274" i="37"/>
  <c r="A275" i="37"/>
  <c r="A276" i="37"/>
  <c r="A277" i="37"/>
  <c r="A278" i="37"/>
  <c r="A279" i="37"/>
  <c r="A280" i="37"/>
  <c r="A281" i="37"/>
  <c r="A282" i="37"/>
  <c r="A283" i="37"/>
  <c r="A284" i="37"/>
  <c r="A285" i="37"/>
  <c r="A286" i="37"/>
  <c r="A287" i="37"/>
  <c r="A288" i="37"/>
  <c r="A289" i="37"/>
  <c r="A290" i="37"/>
  <c r="A291" i="37"/>
  <c r="A292" i="37"/>
  <c r="A293" i="37"/>
  <c r="A294" i="37"/>
  <c r="A295" i="37"/>
  <c r="A296" i="37"/>
  <c r="A297" i="37"/>
  <c r="A298" i="37"/>
  <c r="A299" i="37"/>
  <c r="A300" i="37"/>
  <c r="A301" i="37"/>
  <c r="A302" i="37"/>
  <c r="A303" i="37"/>
  <c r="A304" i="37"/>
  <c r="A305" i="37"/>
  <c r="A306" i="37"/>
  <c r="A307" i="37"/>
  <c r="A308" i="37"/>
  <c r="A309" i="37"/>
  <c r="A310" i="37"/>
  <c r="A311" i="37"/>
  <c r="A312" i="37"/>
  <c r="A313" i="37"/>
  <c r="A314" i="37"/>
  <c r="A315" i="37"/>
  <c r="A316" i="37"/>
  <c r="A317" i="37"/>
  <c r="A318" i="37"/>
  <c r="A319" i="37"/>
  <c r="A320" i="37"/>
  <c r="A321" i="37"/>
  <c r="A322" i="37"/>
  <c r="A323" i="37"/>
  <c r="A324" i="37"/>
  <c r="A325" i="37"/>
  <c r="A326" i="37"/>
  <c r="A327" i="37"/>
  <c r="A328" i="37"/>
  <c r="A329" i="37"/>
  <c r="A330" i="37"/>
  <c r="A331" i="37"/>
  <c r="A332" i="37"/>
  <c r="A333" i="37"/>
  <c r="A334" i="37"/>
  <c r="A335" i="37"/>
  <c r="A336" i="37"/>
  <c r="A337" i="37"/>
  <c r="A338" i="37"/>
  <c r="A339" i="37"/>
  <c r="A340" i="37"/>
  <c r="A341" i="37"/>
  <c r="A342" i="37"/>
  <c r="A343" i="37"/>
  <c r="A344" i="37"/>
  <c r="A345" i="37"/>
</calcChain>
</file>

<file path=xl/sharedStrings.xml><?xml version="1.0" encoding="utf-8"?>
<sst xmlns="http://schemas.openxmlformats.org/spreadsheetml/2006/main" count="9774" uniqueCount="9406">
  <si>
    <t>Assets Under Management - Cash Flows &amp; Dividends</t>
  </si>
  <si>
    <t>Assets Under Management - Market Appreciation / (Depreciation)</t>
  </si>
  <si>
    <t>Def. Benefit Total Cost of Supple Plans</t>
  </si>
  <si>
    <t>Def. Benefit Total Cost Incl. Supple Plans</t>
  </si>
  <si>
    <t>Provision for Doubtful Accounts - Patient Service Revenue</t>
  </si>
  <si>
    <t>General Partner - Common Equity</t>
  </si>
  <si>
    <t>General Partner - Preferred Equity</t>
  </si>
  <si>
    <t>General Partner - Minority Interest</t>
  </si>
  <si>
    <t>General Partner Interest (Supple)</t>
  </si>
  <si>
    <t>Depreciation And Amortization Notes for Partial CF</t>
  </si>
  <si>
    <t>Amortization Of Goodwill Notes for Partial CF</t>
  </si>
  <si>
    <t>Assets Under Management - Acquisitions and Transfers</t>
  </si>
  <si>
    <t>Assets Under Management - Other Adjustments</t>
  </si>
  <si>
    <t>Assets Under Management - End of Period</t>
  </si>
  <si>
    <t>Assets Under Management - Average</t>
  </si>
  <si>
    <t>Assets Under Management - Net Change</t>
  </si>
  <si>
    <t>Contingent Rental Expense</t>
  </si>
  <si>
    <t>Short-Term Borrowing Derivatives</t>
  </si>
  <si>
    <t>Curr. Port. of LT Debt Derivatives</t>
  </si>
  <si>
    <t>Long-Term Debt Derivatives</t>
  </si>
  <si>
    <t>Current Derivative Assets</t>
  </si>
  <si>
    <t>Long-Term Derivative Assets</t>
  </si>
  <si>
    <t>Gross Intangible Assets</t>
  </si>
  <si>
    <t>Accumulated Amortization of Intangible Assets</t>
  </si>
  <si>
    <t>Gross Goodwill</t>
  </si>
  <si>
    <t>Accumulated Amortization of Goodwill</t>
  </si>
  <si>
    <t>Aircraft Rental Expense</t>
  </si>
  <si>
    <t>Current Derivative Liabilities</t>
  </si>
  <si>
    <t>Non-Current Derivative Liabilities</t>
  </si>
  <si>
    <t>Derivative Trading Asset Securities</t>
  </si>
  <si>
    <t>Total Assets Under Management</t>
  </si>
  <si>
    <t>Net Income to Company</t>
  </si>
  <si>
    <t>Net Income to Parent</t>
  </si>
  <si>
    <t>Earnings to Parent before Extraordinary Items</t>
  </si>
  <si>
    <t>Redeemable Minority Interest</t>
  </si>
  <si>
    <t>Finance Division Redeemable Minority Interest</t>
  </si>
  <si>
    <t>Total Redeemable Minority Interest</t>
  </si>
  <si>
    <t>Finance Division Minority Interest</t>
  </si>
  <si>
    <t>Capitalized/Purchased Software</t>
  </si>
  <si>
    <t>Minimum Rental Expense</t>
  </si>
  <si>
    <t>Other Rental Expense</t>
  </si>
  <si>
    <t>Depreciation of Rental Assets</t>
  </si>
  <si>
    <t>Sale Proceeds from Rental Assets</t>
  </si>
  <si>
    <t>Cash Flow per Share</t>
  </si>
  <si>
    <t>Net Cash from Discontinued Ops. - Investing</t>
  </si>
  <si>
    <t>Net Cash from Discontinued Ops. - Financing</t>
  </si>
  <si>
    <t>Net Rental Expense, Total</t>
  </si>
  <si>
    <t>NYSE:IBM</t>
  </si>
  <si>
    <t>Net Rental Expense</t>
  </si>
  <si>
    <t>Net Rental Expense (Supple)</t>
  </si>
  <si>
    <t>Fees and Other Income</t>
  </si>
  <si>
    <t>Source: S&amp;P Capital IQ</t>
  </si>
  <si>
    <t>Time Period</t>
  </si>
  <si>
    <t>EQUITY</t>
  </si>
  <si>
    <t>Conversion</t>
  </si>
  <si>
    <t>Currency</t>
  </si>
  <si>
    <t>Date</t>
  </si>
  <si>
    <t>(EBITDA-Capex)</t>
  </si>
  <si>
    <t>Amortization of Negative Goodwill</t>
  </si>
  <si>
    <t>Amortization of Negative Goodwill - After Tax</t>
  </si>
  <si>
    <t>Book Value/Share (Reported)</t>
  </si>
  <si>
    <t>Accounts Receivables - Unbilled</t>
  </si>
  <si>
    <t>Mutual Fund - Beginning of Period</t>
  </si>
  <si>
    <t>Mutual Fund - Sales</t>
  </si>
  <si>
    <t>Mutual Fund - Redemptions</t>
  </si>
  <si>
    <t>Mutual Fund - Net Sales</t>
  </si>
  <si>
    <t>Mutual Fund - Market Appreciation / (Depreciation)</t>
  </si>
  <si>
    <t>Mutual Fund - Acquisitions and Other</t>
  </si>
  <si>
    <t>Mutual Fund - End of Period</t>
  </si>
  <si>
    <t>Daily Average Revenue Trades</t>
  </si>
  <si>
    <t>Number of Trades Executed</t>
  </si>
  <si>
    <t>Organic Growth Rate</t>
  </si>
  <si>
    <t>Net New Client Assets</t>
  </si>
  <si>
    <t>Average Revenue Per Trade</t>
  </si>
  <si>
    <t>Assets Under Administration</t>
  </si>
  <si>
    <t>Value of Customer Assets</t>
  </si>
  <si>
    <t>Asset Managed Growth Rate</t>
  </si>
  <si>
    <t>Net Income</t>
  </si>
  <si>
    <t>ASSETS</t>
  </si>
  <si>
    <t>Total Current Assets</t>
  </si>
  <si>
    <t>LIABILITIES</t>
  </si>
  <si>
    <t>Total Equity</t>
  </si>
  <si>
    <t>Common Stock</t>
  </si>
  <si>
    <t>Cash Interest Paid</t>
  </si>
  <si>
    <t>Cash Taxes Paid</t>
  </si>
  <si>
    <t>Accounts Payable</t>
  </si>
  <si>
    <t>Total Debt</t>
  </si>
  <si>
    <t>Interest Expense</t>
  </si>
  <si>
    <t>Gross Profit</t>
  </si>
  <si>
    <t>Treasury Stock</t>
  </si>
  <si>
    <t>Accounts Receivable</t>
  </si>
  <si>
    <t>Goodwill</t>
  </si>
  <si>
    <t>Revenues</t>
  </si>
  <si>
    <t>Total Revenues</t>
  </si>
  <si>
    <t>R &amp; D Exp.</t>
  </si>
  <si>
    <t>Depreciation &amp; Amort., Total</t>
  </si>
  <si>
    <t>Other Operating Expense/(Income)</t>
  </si>
  <si>
    <t>Other Operating Exp., Total</t>
  </si>
  <si>
    <t>Operating Income</t>
  </si>
  <si>
    <t>Interest and Invest. Income</t>
  </si>
  <si>
    <t>Net Interest Exp.</t>
  </si>
  <si>
    <t>EBT Excl Unusual Items</t>
  </si>
  <si>
    <t>Impairment of Goodwill</t>
  </si>
  <si>
    <t>Gain (Loss) On Sale Of Invest.</t>
  </si>
  <si>
    <t>Gain (Loss) On Sale Of Assets</t>
  </si>
  <si>
    <t>EBT Incl Unusual Items</t>
  </si>
  <si>
    <t>Income Tax Expense</t>
  </si>
  <si>
    <t>Earnings from Cont. Ops.</t>
  </si>
  <si>
    <t>Earnings of Discontinued Ops.</t>
  </si>
  <si>
    <t>Extraord. Item &amp; Account. Change</t>
  </si>
  <si>
    <t>Pref. Dividends and Other Adj.</t>
  </si>
  <si>
    <t>NI to Common Incl Extra Items</t>
  </si>
  <si>
    <t>NI to Common Excl Extra Items</t>
  </si>
  <si>
    <t>Basic EPS</t>
  </si>
  <si>
    <t>Basic EPS Excl. Extra Items</t>
  </si>
  <si>
    <t>Weighted Avg. Basic Shares Out.</t>
  </si>
  <si>
    <t>Diluted EPS</t>
  </si>
  <si>
    <t>Diluted EPS Excl Extra Items</t>
  </si>
  <si>
    <t>Weighted Avg. Diluted Shares Out.</t>
  </si>
  <si>
    <t>Supplemental Items</t>
  </si>
  <si>
    <t>EBITDA</t>
  </si>
  <si>
    <t>Cash And Equivalents</t>
  </si>
  <si>
    <t>Short Term Investments</t>
  </si>
  <si>
    <t>Total Cash &amp; ST Investments</t>
  </si>
  <si>
    <t>Notes Receivable</t>
  </si>
  <si>
    <t>Total Receivables</t>
  </si>
  <si>
    <t>Inventory</t>
  </si>
  <si>
    <t>Prepaid Exp.</t>
  </si>
  <si>
    <t>Gross Property, Plant &amp; Equipment</t>
  </si>
  <si>
    <t>Accumulated Depreciation</t>
  </si>
  <si>
    <t>Net Property, Plant &amp; Equipment</t>
  </si>
  <si>
    <t>Other Intangibles</t>
  </si>
  <si>
    <t>Accrued Exp.</t>
  </si>
  <si>
    <t>Total Current Liabilities</t>
  </si>
  <si>
    <t>Retained Earnings</t>
  </si>
  <si>
    <t>Total Common Equity</t>
  </si>
  <si>
    <t>Total Liabilities And Equity</t>
  </si>
  <si>
    <t>Book Value/Share</t>
  </si>
  <si>
    <t>Net Debt</t>
  </si>
  <si>
    <t>Cash from Ops.</t>
  </si>
  <si>
    <t>Capital Expenditure</t>
  </si>
  <si>
    <t>Sale of Property, Plant, and Equipment</t>
  </si>
  <si>
    <t>Cash Acquisitions</t>
  </si>
  <si>
    <t>Divestitures</t>
  </si>
  <si>
    <t>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</si>
  <si>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</si>
  <si>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</si>
  <si>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</si>
  <si>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</si>
  <si>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</si>
  <si>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</si>
  <si>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</si>
  <si>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Repurchase of Common</t>
  </si>
  <si>
    <t>Issuance of Pref. Stock</t>
  </si>
  <si>
    <t>Repurchase of Preferred</t>
  </si>
  <si>
    <t>Total Dividends Paid</t>
  </si>
  <si>
    <t>Cash from Financing</t>
  </si>
  <si>
    <t>Net Change in Cash</t>
  </si>
  <si>
    <t>Net Debt Issued</t>
  </si>
  <si>
    <t>Other Revenues</t>
  </si>
  <si>
    <t>Cost Of Goods Sold</t>
  </si>
  <si>
    <t>Selling General &amp; Admin Exp.</t>
  </si>
  <si>
    <t>Depreciation &amp; Amort.</t>
  </si>
  <si>
    <t>Other Non-Operating Inc. (Exp.)</t>
  </si>
  <si>
    <t>Merger &amp; Related Restruct. Charges</t>
  </si>
  <si>
    <t>Other Unusual Items</t>
  </si>
  <si>
    <t>Deferred Tax Assets, Curr.</t>
  </si>
  <si>
    <t>Other Current Assets</t>
  </si>
  <si>
    <t>Loans Receivable Long-Term</t>
  </si>
  <si>
    <t>Deferred Tax Assets, LT</t>
  </si>
  <si>
    <t>Other Long-Term Assets</t>
  </si>
  <si>
    <t>Unearned Revenue, Current</t>
  </si>
  <si>
    <t>Other Current Liabilities</t>
  </si>
  <si>
    <t>Def. Tax Liability, Non-Curr.</t>
  </si>
  <si>
    <t>Other Non-Current Liabilities</t>
  </si>
  <si>
    <t>Additional Paid In Capital</t>
  </si>
  <si>
    <t>Comprehensive Inc. and Other</t>
  </si>
  <si>
    <t>Amort. of Goodwill and Intangibles</t>
  </si>
  <si>
    <t>(Gain) Loss On Sale Of Invest.</t>
  </si>
  <si>
    <t>Tax Benefit from Stock Options</t>
  </si>
  <si>
    <t>Change in Acc. Receivable</t>
  </si>
  <si>
    <t>Change In Inventories</t>
  </si>
  <si>
    <t>Change in Acc. Payable</t>
  </si>
  <si>
    <t>Change in Unearned Rev.</t>
  </si>
  <si>
    <t>Change in Def. Taxes</t>
  </si>
  <si>
    <t>Net (Inc.) Dec. in Loans Originated/Sold</t>
  </si>
  <si>
    <t>Other Investing Activities</t>
  </si>
  <si>
    <t>Common Dividends Paid</t>
  </si>
  <si>
    <t>Pref. Dividends Paid</t>
  </si>
  <si>
    <t>Common and/or Pref. Dividends Paid</t>
  </si>
  <si>
    <t>Special Dividend Paid</t>
  </si>
  <si>
    <t>Other Financing Activities</t>
  </si>
  <si>
    <t>Foreign Exchange Rate Adj.</t>
  </si>
  <si>
    <t>Finance Div. Revenues</t>
  </si>
  <si>
    <t>Insurance Div. Revenues</t>
  </si>
  <si>
    <t>Interest And Invest. Income (Rev)</t>
  </si>
  <si>
    <t>Finance Div. Operating Exp.</t>
  </si>
  <si>
    <t>Insurance Div. Operating Exp.</t>
  </si>
  <si>
    <t>Interest Expense - Finance Division</t>
  </si>
  <si>
    <t>Income / (Loss) from Affiliates</t>
  </si>
  <si>
    <t>Currency Exchange Gains (Loss)</t>
  </si>
  <si>
    <t>Restructuring Charges</t>
  </si>
  <si>
    <t>Asset Writedown</t>
  </si>
  <si>
    <t>Insurance Settlements</t>
  </si>
  <si>
    <t>Legal Settlements</t>
  </si>
  <si>
    <t>Minority Int. in Earnings</t>
  </si>
  <si>
    <t>Trading Asset Securities</t>
  </si>
  <si>
    <t>Other Receivables</t>
  </si>
  <si>
    <t>Finance Div. Loans and Leases, ST</t>
  </si>
  <si>
    <t>Finance Div. Other Curr. Assets</t>
  </si>
  <si>
    <t>Loans Held For Sale</t>
  </si>
  <si>
    <t>Restricted Cash</t>
  </si>
  <si>
    <t>Long-term Investments</t>
  </si>
  <si>
    <t>Finance Div. Loans and Leases, LT</t>
  </si>
  <si>
    <t>Finance Div. Other LT Assets</t>
  </si>
  <si>
    <t>Accounts Receivable Long-Term</t>
  </si>
  <si>
    <t>Deferred Charges, LT</t>
  </si>
  <si>
    <t>Short-term Borrowings</t>
  </si>
  <si>
    <t>Current Portion of Long Term Debt</t>
  </si>
  <si>
    <t>Finance Div. Debt Current</t>
  </si>
  <si>
    <t>Finance Div. Other Curr. Liab.</t>
  </si>
  <si>
    <t>Curr. Income Taxes Payable</t>
  </si>
  <si>
    <t>Def. Tax Liability, Curr.</t>
  </si>
  <si>
    <t>Long-Term Debt</t>
  </si>
  <si>
    <t>Minority Interest</t>
  </si>
  <si>
    <t>Finance Div. Debt Non-Curr.</t>
  </si>
  <si>
    <t>Finance Div. Other Non-Curr. Liab.</t>
  </si>
  <si>
    <t>Unearned Revenue, Non-Current</t>
  </si>
  <si>
    <t>Pension &amp; Other Post-Retire. Benefits</t>
  </si>
  <si>
    <t>Pref. Stock, Redeemable</t>
  </si>
  <si>
    <t>Pref. Stock, Non-Redeem.</t>
  </si>
  <si>
    <t>Pref. Stock, Convertible</t>
  </si>
  <si>
    <t>Pref. Stock, Other</t>
  </si>
  <si>
    <t>Impair. of Oil, Gas &amp; Mineral Prop.</t>
  </si>
  <si>
    <t>(Gain) Loss From Sale Of Asset</t>
  </si>
  <si>
    <t>Asset Writedown &amp; Restructuring Costs</t>
  </si>
  <si>
    <t>Net (Increase) Decrease in Loans Orig./Sold</t>
  </si>
  <si>
    <t>Provision for Credit Losses</t>
  </si>
  <si>
    <t>(Income) Loss on Equity Invest.</t>
  </si>
  <si>
    <t>Stock-Based Compensation</t>
  </si>
  <si>
    <t>Provision &amp; Write-off of Bad debts</t>
  </si>
  <si>
    <t>Net Cash From Discontinued Ops.</t>
  </si>
  <si>
    <t>Other Operating Activities</t>
  </si>
  <si>
    <t>Change in Trad. Asset Securities</t>
  </si>
  <si>
    <t>Change in Inc. Taxes</t>
  </si>
  <si>
    <t>Exploration/Drilling Costs</t>
  </si>
  <si>
    <t>Provision for Bad Debts</t>
  </si>
  <si>
    <t>Pre-Opening Costs</t>
  </si>
  <si>
    <t>Misc. Cash Flow Adj.</t>
  </si>
  <si>
    <t>Net Income per SFAS 123 (after Options)</t>
  </si>
  <si>
    <t>Ticker</t>
  </si>
  <si>
    <t>As-Reported Total Revenue</t>
  </si>
  <si>
    <t>Filing Date</t>
  </si>
  <si>
    <t>Tangible Book Value/Share</t>
  </si>
  <si>
    <t>Total Capitalization</t>
  </si>
  <si>
    <t>LIFO Reserve</t>
  </si>
  <si>
    <t>Raw Materials Inventory</t>
  </si>
  <si>
    <t>Work in Progress Inventory</t>
  </si>
  <si>
    <t>Finished Goods Inventory</t>
  </si>
  <si>
    <t>Other Inventory Accounts</t>
  </si>
  <si>
    <t>Land</t>
  </si>
  <si>
    <t>Buildings</t>
  </si>
  <si>
    <t>Machinery</t>
  </si>
  <si>
    <t>RATIOS</t>
  </si>
  <si>
    <t>PROFITABILITY</t>
  </si>
  <si>
    <t>Return on Assets (%)</t>
  </si>
  <si>
    <t>Return on Capital (%)</t>
  </si>
  <si>
    <t>Return on Equity (%)</t>
  </si>
  <si>
    <t>MARGIN ANALYSIS</t>
  </si>
  <si>
    <t>Gross Margin (%)</t>
  </si>
  <si>
    <t>EBITDA Margin (%)</t>
  </si>
  <si>
    <t>EBIT Margin (%)</t>
  </si>
  <si>
    <t>Net Income Margin (%)</t>
  </si>
  <si>
    <t>Total Asset Turnover</t>
  </si>
  <si>
    <t>Fixed Asset Turnover</t>
  </si>
  <si>
    <t>Accounts Receivable Turnover</t>
  </si>
  <si>
    <t>Inventory Turnover</t>
  </si>
  <si>
    <t>ASSET TURNOVER</t>
  </si>
  <si>
    <t>SHORT-TERM LIQUIDITY</t>
  </si>
  <si>
    <t>Current Ratio</t>
  </si>
  <si>
    <t>Quick Ratio</t>
  </si>
  <si>
    <t>Avg. Cash Conversion Cycle</t>
  </si>
  <si>
    <t>LONG-TERM SOLVENCY</t>
  </si>
  <si>
    <t>EBIT / Interest Expense</t>
  </si>
  <si>
    <t>Total Debt / EBITDA</t>
  </si>
  <si>
    <t>Net Debt / EBITDA</t>
  </si>
  <si>
    <t>Altman Z Score</t>
  </si>
  <si>
    <t>GROWTH OVER PRIOR YEAR</t>
  </si>
  <si>
    <t>Total Revenue (%)</t>
  </si>
  <si>
    <t>Gross Profit (%)</t>
  </si>
  <si>
    <t>EBITDA (%)</t>
  </si>
  <si>
    <t>EBIT (%)</t>
  </si>
  <si>
    <t>Net Income (%)</t>
  </si>
  <si>
    <t>Diluted EPS before Extra (%)</t>
  </si>
  <si>
    <t>CAGR (3 YEAR)</t>
  </si>
  <si>
    <t>CAGR (5 YEAR)</t>
  </si>
  <si>
    <t>EBITDA / Interest Expense</t>
  </si>
  <si>
    <t>(EBITDA-CAPEX) / Interest Expense</t>
  </si>
  <si>
    <t>Avg. Days Sales Outstanding</t>
  </si>
  <si>
    <t>Avg. Days Inventory Outstanding</t>
  </si>
  <si>
    <t>Avg. Days Payable Outstanding</t>
  </si>
  <si>
    <t>Cash from Operations to Currrent Liabilities</t>
  </si>
  <si>
    <t>Total Debt / Equity (%)</t>
  </si>
  <si>
    <t>Total Debt / Capital (%)</t>
  </si>
  <si>
    <t>LT Debt / Equity (%)</t>
  </si>
  <si>
    <t>LT Debt / Capital (%)</t>
  </si>
  <si>
    <t>Total Liabilities / Total Assets (%)</t>
  </si>
  <si>
    <t>Dates</t>
  </si>
  <si>
    <t>Trading Data</t>
  </si>
  <si>
    <t>EV Calculation</t>
  </si>
  <si>
    <t>Financial Data</t>
  </si>
  <si>
    <t>Trading Multiples</t>
  </si>
  <si>
    <t>Margin Analysis (%)</t>
  </si>
  <si>
    <t>LTM Growth Rates (%)</t>
  </si>
  <si>
    <t>Leverage and Coverage</t>
  </si>
  <si>
    <t>LTM Profitability (%)</t>
  </si>
  <si>
    <t>Stock Price</t>
  </si>
  <si>
    <t>% of</t>
  </si>
  <si>
    <t>Total Revenue</t>
  </si>
  <si>
    <t>PE</t>
  </si>
  <si>
    <t>Price /</t>
  </si>
  <si>
    <t>Gross Margin</t>
  </si>
  <si>
    <t>EBITDA Margin</t>
  </si>
  <si>
    <t>Net Income Margin</t>
  </si>
  <si>
    <t>EPS</t>
  </si>
  <si>
    <t>Total Debt/</t>
  </si>
  <si>
    <t>Net Debt/</t>
  </si>
  <si>
    <t>(Debt+Pref)/</t>
  </si>
  <si>
    <t>EBITDA/</t>
  </si>
  <si>
    <t>(EBITDA-Capex)/</t>
  </si>
  <si>
    <t>Current</t>
  </si>
  <si>
    <t>Quick</t>
  </si>
  <si>
    <t>Avg.</t>
  </si>
  <si>
    <t>Name</t>
  </si>
  <si>
    <t>FYE</t>
  </si>
  <si>
    <t>Low</t>
  </si>
  <si>
    <t>52W High</t>
  </si>
  <si>
    <t>52W Low</t>
  </si>
  <si>
    <t>Shares Out</t>
  </si>
  <si>
    <t>Market Cap</t>
  </si>
  <si>
    <t>Cash</t>
  </si>
  <si>
    <t>Pref. Stock</t>
  </si>
  <si>
    <t>Minority Int.</t>
  </si>
  <si>
    <t>FY</t>
  </si>
  <si>
    <t>LTM</t>
  </si>
  <si>
    <t>CY+1</t>
  </si>
  <si>
    <t>CY+2</t>
  </si>
  <si>
    <t>BV</t>
  </si>
  <si>
    <t>Tangible BV</t>
  </si>
  <si>
    <t>FY-2</t>
  </si>
  <si>
    <t>FY-1</t>
  </si>
  <si>
    <t>5-Yr CAGR</t>
  </si>
  <si>
    <t>3-Yr CAGR</t>
  </si>
  <si>
    <t>LTM EBITDA</t>
  </si>
  <si>
    <t>Interest</t>
  </si>
  <si>
    <t>Total Equity (%)</t>
  </si>
  <si>
    <t>Total Cap. (%)</t>
  </si>
  <si>
    <t>ROE</t>
  </si>
  <si>
    <t>ROA</t>
  </si>
  <si>
    <t>ROIC</t>
  </si>
  <si>
    <t>Ratio</t>
  </si>
  <si>
    <t>Days Sales Out.</t>
  </si>
  <si>
    <t>Days Inv. Out.</t>
  </si>
  <si>
    <t>Days Payable Out.</t>
  </si>
  <si>
    <t>Cash Conv. Cycle</t>
  </si>
  <si>
    <t>Total Assets</t>
  </si>
  <si>
    <t>Fixed Assets</t>
  </si>
  <si>
    <t>A/R</t>
  </si>
  <si>
    <t>Max</t>
  </si>
  <si>
    <t>Min</t>
  </si>
  <si>
    <t>Mean</t>
  </si>
  <si>
    <t>Target Company</t>
  </si>
  <si>
    <t>VALUATION</t>
  </si>
  <si>
    <t>TEV / Total Revenue</t>
  </si>
  <si>
    <t>TEV / EBITDA</t>
  </si>
  <si>
    <t>TEV / EBIT</t>
  </si>
  <si>
    <t>P/E</t>
  </si>
  <si>
    <t>P/BV</t>
  </si>
  <si>
    <t>P/Tangible BV</t>
  </si>
  <si>
    <t>Shares</t>
  </si>
  <si>
    <t>Market</t>
  </si>
  <si>
    <t>Enterprise</t>
  </si>
  <si>
    <t>Revenue</t>
  </si>
  <si>
    <t>Trading Data and Size</t>
  </si>
  <si>
    <t>Out.</t>
  </si>
  <si>
    <t>Cap</t>
  </si>
  <si>
    <t>Value</t>
  </si>
  <si>
    <t>Leverage and Trading Multiples</t>
  </si>
  <si>
    <t>/Interest</t>
  </si>
  <si>
    <t>Total Cap (%)</t>
  </si>
  <si>
    <t>3-Year Historical CAGR (%)</t>
  </si>
  <si>
    <t>LTM Margins (%)</t>
  </si>
  <si>
    <t>Liquidity Ratios</t>
  </si>
  <si>
    <t>LTM Activity</t>
  </si>
  <si>
    <t>Operating Statistics</t>
  </si>
  <si>
    <t>DSO</t>
  </si>
  <si>
    <t>DPO</t>
  </si>
  <si>
    <t>DIO</t>
  </si>
  <si>
    <t>Current as % of 52-Week (%)</t>
  </si>
  <si>
    <t>TEV/Revenue</t>
  </si>
  <si>
    <t>TEV/EBITDA</t>
  </si>
  <si>
    <t>TEV</t>
  </si>
  <si>
    <t>TEV/Total Revenue</t>
  </si>
  <si>
    <t>Median</t>
  </si>
  <si>
    <t>Tot. Equity (%)</t>
  </si>
  <si>
    <t>Gain/(Loss) on Sale Of Assets (Rev)</t>
  </si>
  <si>
    <t>Gain/(Loss) on Sale Of Invest.(Rev)</t>
  </si>
  <si>
    <t>In Process R &amp; D Exp.</t>
  </si>
  <si>
    <t>Sale/(Purchase) of Real Estate Properties</t>
  </si>
  <si>
    <t>Sale/(Purchase) of Intangible Assets</t>
  </si>
  <si>
    <t>Invest. in Marketable &amp; Equity Sec.</t>
  </si>
  <si>
    <t>Effective Tax Rate (%)</t>
  </si>
  <si>
    <t>Payout Ratio (%)</t>
  </si>
  <si>
    <t>Tangible Book Value</t>
  </si>
  <si>
    <t>Total Shares Out. on Balance Sheet Date</t>
  </si>
  <si>
    <t>Right</t>
  </si>
  <si>
    <t>Left</t>
  </si>
  <si>
    <t>Most Recent on the:</t>
  </si>
  <si>
    <t>Fiscal Year</t>
  </si>
  <si>
    <t>Fiscal Quarter</t>
  </si>
  <si>
    <t>Year to Date</t>
  </si>
  <si>
    <t>Last Twelve Months</t>
  </si>
  <si>
    <t>Calendar Year</t>
  </si>
  <si>
    <t>Calendar Quarter</t>
  </si>
  <si>
    <t>COMPARABLE COMPANY ANALYSIS</t>
  </si>
  <si>
    <t>EBITDA (Incl. Equity Inc. from Affiliates)</t>
  </si>
  <si>
    <t>EBITDA (Excl. SBC and Incl. Equity Inc. from Affiliates)</t>
  </si>
  <si>
    <t>EBITDA (Excl. SBC)</t>
  </si>
  <si>
    <t>EBIT (Incl. Equity Inc. from Affiliates)</t>
  </si>
  <si>
    <t>EBIT (Excl. SBC and Incl. Equity Inc. from Affiliates)</t>
  </si>
  <si>
    <t>EBIT (Excl. SBC)</t>
  </si>
  <si>
    <t>EBITA (Incl. Equity Inc. from Affiliates)</t>
  </si>
  <si>
    <t>EBITA (Excl. SBC and Incl. Equity Inc. from Affiliates)</t>
  </si>
  <si>
    <t>EBITA (Excl. SBC)</t>
  </si>
  <si>
    <t>EBITDAR (Incl. Equity Inc. from Affiliates)</t>
  </si>
  <si>
    <t>EBITDAR (Excl. SBC and Incl. Equity Inc. from Affiliates)</t>
  </si>
  <si>
    <t>EBITDAR (Excl. SBC)</t>
  </si>
  <si>
    <t>Restr. Stock Comp. Exp., Before Tax</t>
  </si>
  <si>
    <t>Restr. Stock Comp. Exp. Tax Effect</t>
  </si>
  <si>
    <t>Restr. Stock Comp. Exp., After Tax</t>
  </si>
  <si>
    <t>Stock Options Comp. Exp., Before Tax</t>
  </si>
  <si>
    <t>Stock Options Comp. Exp. Tax Effect</t>
  </si>
  <si>
    <t>Stock Options Comp. Exp., After Tax</t>
  </si>
  <si>
    <t>Stock Based Comp. Exp., Before Tax</t>
  </si>
  <si>
    <t>Stock Based Comp. Exp. Tax Effect</t>
  </si>
  <si>
    <t>Stock Based Comp. Exp., After Tax</t>
  </si>
  <si>
    <t>EBIT</t>
  </si>
  <si>
    <t>EBITA</t>
  </si>
  <si>
    <t>EBITDAR</t>
  </si>
  <si>
    <t>Def. Benefit Service Cost</t>
  </si>
  <si>
    <t>Def. Benefit Interest Cost</t>
  </si>
  <si>
    <t>Def. Benefit Return on Assets</t>
  </si>
  <si>
    <t>Def. Benefit Other Cost</t>
  </si>
  <si>
    <t>Def. Benefit Total Cost</t>
  </si>
  <si>
    <t>Def. Contribution Cost</t>
  </si>
  <si>
    <t>Total Pension Expense</t>
  </si>
  <si>
    <t>Defined Benefit Net Periodic Cost</t>
  </si>
  <si>
    <t>Defined Benefit Obligation</t>
  </si>
  <si>
    <t>Beg. Def. Benefit Obligation</t>
  </si>
  <si>
    <t>Def. Benefit Employee Contributions</t>
  </si>
  <si>
    <t>Def. Benefit Actuarial Gain/Losses</t>
  </si>
  <si>
    <t>Foreign Exchange Adj.</t>
  </si>
  <si>
    <t>Acq. Benefit Obligation</t>
  </si>
  <si>
    <t>Def. Benefit Settlement/Curtailment</t>
  </si>
  <si>
    <t>Other Adj. To Def. Benefit Obligation</t>
  </si>
  <si>
    <t>Proj. Benefit Obligation</t>
  </si>
  <si>
    <t>Accum. Benefit Obligation (Pension)</t>
  </si>
  <si>
    <t>Plan Assets</t>
  </si>
  <si>
    <t>Beg. Plan Assets</t>
  </si>
  <si>
    <t>Actual Return on Plan Assets</t>
  </si>
  <si>
    <t>Employer Contributions</t>
  </si>
  <si>
    <t>Participant Contributions</t>
  </si>
  <si>
    <t>Benefits Paid</t>
  </si>
  <si>
    <t>Foreign Exchange Adjustments</t>
  </si>
  <si>
    <t>Acquired Plan Assets</t>
  </si>
  <si>
    <t>Plan Settlement/Curtailment</t>
  </si>
  <si>
    <t>Other Plan Adjustments</t>
  </si>
  <si>
    <t>Total Plan Assets</t>
  </si>
  <si>
    <t>Weighted Avg. Assumptions on Net Periodic Cost</t>
  </si>
  <si>
    <t>Net Periodic Cost Disc. Rate - Min</t>
  </si>
  <si>
    <t>Net Periodic Cost Disc. Rate - Max</t>
  </si>
  <si>
    <t>Rate of Comp. Increase - Min</t>
  </si>
  <si>
    <t>Exp. Long-Term Rate of Return on Assets - Min</t>
  </si>
  <si>
    <t>Exp. Long-Term Rate of Return on Assets - Max</t>
  </si>
  <si>
    <t>Breakdown of Plan Assets</t>
  </si>
  <si>
    <t>Plan Assets - Equities (%)</t>
  </si>
  <si>
    <t>Plan Assets - Fixed Income (%)</t>
  </si>
  <si>
    <t>Plan Assets- Real Estate (%)</t>
  </si>
  <si>
    <t>Other Plan Assets (%)</t>
  </si>
  <si>
    <t>Plan Assets - Equities</t>
  </si>
  <si>
    <t>Plan Assets - Fixed Income</t>
  </si>
  <si>
    <t>Plan Assets- Real Estate</t>
  </si>
  <si>
    <t>Other Plan Assets</t>
  </si>
  <si>
    <t>Weighted Avg. Assumptions on Def. Benefit Obligation</t>
  </si>
  <si>
    <t>PBO Assumed Rate of Return - Min</t>
  </si>
  <si>
    <t>PBO Assumed Rate of Return - Max</t>
  </si>
  <si>
    <t>Rate of PBO Compensation Increase - Min</t>
  </si>
  <si>
    <t>Rate of PBO Compensation Increase - Max</t>
  </si>
  <si>
    <t>Estimated Future Benefits Paid</t>
  </si>
  <si>
    <t>Est. Future Benefits Paid - 1st Yr</t>
  </si>
  <si>
    <t>Est. Future Benefits Paid - 2nd Yr</t>
  </si>
  <si>
    <t>Est. Future Benefits Paid - 3rd Yr</t>
  </si>
  <si>
    <t>Est. Future Benefits Paid - 4th Yr</t>
  </si>
  <si>
    <t>Est. Future Benefits Paid - 5th Yr</t>
  </si>
  <si>
    <t>Est. Future Benefits Paid - Thereafter</t>
  </si>
  <si>
    <t>Balance Sheet Reconciliation Items</t>
  </si>
  <si>
    <t>Prepaid Benefit Cost</t>
  </si>
  <si>
    <t>Accrued Benefit Liability</t>
  </si>
  <si>
    <t>Intangible Assets</t>
  </si>
  <si>
    <t>Accum. Other Comp. Income</t>
  </si>
  <si>
    <t>Other Assets/Liabilities</t>
  </si>
  <si>
    <t>Adj. for Liability Recognized on Balance Sheet</t>
  </si>
  <si>
    <t>Unrecog. Prior Plan Service Cost</t>
  </si>
  <si>
    <t>Other Adj. (Net Benefit Asset/Liab.)</t>
  </si>
  <si>
    <t>Net Asset/Liability Recognized on Balance Sheet</t>
  </si>
  <si>
    <t>Other Pension Related Items</t>
  </si>
  <si>
    <t>Unfunded &amp; Vested Pension Liab.</t>
  </si>
  <si>
    <t>Est. Contributions - Next Year</t>
  </si>
  <si>
    <t>Quarterly Employer Contribution</t>
  </si>
  <si>
    <t>Quarterly Additional Contributions Expected</t>
  </si>
  <si>
    <t>Unfunded Additional Minimum Liab.</t>
  </si>
  <si>
    <t>Benefit Info Date</t>
  </si>
  <si>
    <t>Def. Benefit Expected Return on Assets</t>
  </si>
  <si>
    <t>Def. Benefit Benefit Total Cost</t>
  </si>
  <si>
    <t>Total OPEB Expense</t>
  </si>
  <si>
    <t>Projected Benefit Obligation</t>
  </si>
  <si>
    <t>Accumulated Benefit Obligation</t>
  </si>
  <si>
    <t>Benefits Sensitivity Analysis</t>
  </si>
  <si>
    <t>1% Increase - Effect on Service and Interest Cost</t>
  </si>
  <si>
    <t>1% Increase - Effect on PBO</t>
  </si>
  <si>
    <t>1% Decrease - Effect on Service and Interest Cost</t>
  </si>
  <si>
    <t>1% Decrease - Effect on PBO</t>
  </si>
  <si>
    <t>Other Post-Retirement Benefit Related Items</t>
  </si>
  <si>
    <t>Health Care Cost Trend Rate, Initial</t>
  </si>
  <si>
    <t>Health Care Cost Trend Rate, Ultimate</t>
  </si>
  <si>
    <t>Capitalized Interest Data</t>
  </si>
  <si>
    <t>Interest Capitalized, Beg. Of Period</t>
  </si>
  <si>
    <t>Interest Capitalized</t>
  </si>
  <si>
    <t>Interest Capitalized, Expensed</t>
  </si>
  <si>
    <t>Interest Capitalized, Written-off</t>
  </si>
  <si>
    <t>Interest Capitalized, Other Adj.</t>
  </si>
  <si>
    <t>Interest Capitalized, End Of Period</t>
  </si>
  <si>
    <t>Loss Carry Forward Related Items</t>
  </si>
  <si>
    <t>NOL C/F, Current Year</t>
  </si>
  <si>
    <t>NOL C/F, Current Year + 1</t>
  </si>
  <si>
    <t>NOL C/F, Current Year + 2</t>
  </si>
  <si>
    <t>NOL C/F, Current Year + 3</t>
  </si>
  <si>
    <t>NOL C/F, Current Year + 4</t>
  </si>
  <si>
    <t>NOL C/F, After Five Years</t>
  </si>
  <si>
    <t>NOL C/F, No Expiration</t>
  </si>
  <si>
    <t>Total NOL C/F</t>
  </si>
  <si>
    <t>Max. Year for NOL C/F</t>
  </si>
  <si>
    <t>Capital Loss C/F, Current Year</t>
  </si>
  <si>
    <t>Capital Loss C/F, Current Year + 1</t>
  </si>
  <si>
    <t>Capital Loss C/F, Current Year + 2</t>
  </si>
  <si>
    <t>Capital Loss C/F, Current Year + 3</t>
  </si>
  <si>
    <t>Capital Loss C/F, Current Year + 4</t>
  </si>
  <si>
    <t>Capital Loss C/F, After Five Years</t>
  </si>
  <si>
    <t>Capital Loss C/F, No Expiration</t>
  </si>
  <si>
    <t>Total Capital Loss C/F</t>
  </si>
  <si>
    <t>Max. Year for Capital Loss C/F</t>
  </si>
  <si>
    <t>Tax Benefit C/F, Current Year</t>
  </si>
  <si>
    <t>Tax Benefit C/F, Current Year + 1</t>
  </si>
  <si>
    <t>Tax Benefit C/F, Current Year + 2</t>
  </si>
  <si>
    <t>Tax Benefit C/F, Current Year + 3</t>
  </si>
  <si>
    <t>Tax Benefit C/F, Current Year + 4</t>
  </si>
  <si>
    <t>Tax Benefit C/F, After Five Years</t>
  </si>
  <si>
    <t>Tax Benefit C/F, No Expiration</t>
  </si>
  <si>
    <t>Total Tax Benefit C/F</t>
  </si>
  <si>
    <t>Max. Year for Tax Benefit C/F</t>
  </si>
  <si>
    <t>Assumed Comp. Growth Rate</t>
  </si>
  <si>
    <t>Exp.Ret. On Pension Assets</t>
  </si>
  <si>
    <t>Normalized Basic EPS</t>
  </si>
  <si>
    <t>Normalized Diluted EPS</t>
  </si>
  <si>
    <t>Distributable Cash per Share</t>
  </si>
  <si>
    <t>Revenues per Share</t>
  </si>
  <si>
    <t>Special Dividend per Share</t>
  </si>
  <si>
    <t>Dividends per Share</t>
  </si>
  <si>
    <t>Period Length in Months</t>
  </si>
  <si>
    <t>Same Store Sales Growth</t>
  </si>
  <si>
    <t>Current Domestic Taxes</t>
  </si>
  <si>
    <t>Current Foreign Taxes</t>
  </si>
  <si>
    <t>Deferred Domestic Taxes</t>
  </si>
  <si>
    <t>Deferred Foreign Taxes</t>
  </si>
  <si>
    <t>Normalized Net Income</t>
  </si>
  <si>
    <t>Interest On Long Term Debt</t>
  </si>
  <si>
    <t>Non-Cash Pension Expense</t>
  </si>
  <si>
    <t>D&amp;A For EBITDA</t>
  </si>
  <si>
    <t>Distributable Cash</t>
  </si>
  <si>
    <t>Interest Expense (Incl. Cap. Interest)</t>
  </si>
  <si>
    <t>Common Stock Dividend Declared</t>
  </si>
  <si>
    <t>Marketing Expense</t>
  </si>
  <si>
    <t>Selling And Marketing Expense</t>
  </si>
  <si>
    <t>General and Administrative Expense</t>
  </si>
  <si>
    <t>Maintenance &amp; Repair Expenses</t>
  </si>
  <si>
    <t>Imputed Oper. Lease Interest Exp</t>
  </si>
  <si>
    <t>Imputed Oper. Lease Depreciation</t>
  </si>
  <si>
    <t>Stock-Based Comp., COGS</t>
  </si>
  <si>
    <t>Stock-Based Comp., R&amp;D Exp</t>
  </si>
  <si>
    <t>Stock-Based Comp., S&amp;M Exp</t>
  </si>
  <si>
    <t>Stock-Based Comp., G&amp;A Exp</t>
  </si>
  <si>
    <t>Stock-Based Comp., SG&amp;A Exp</t>
  </si>
  <si>
    <t>Stock-Based Comp., Unallocated</t>
  </si>
  <si>
    <t>Stock-Based Comp., After-Tax</t>
  </si>
  <si>
    <t>Stock-Based Comp., Total</t>
  </si>
  <si>
    <t>Annualized Distributions per Unit</t>
  </si>
  <si>
    <t>Restatement Type</t>
  </si>
  <si>
    <t>Calculation Type</t>
  </si>
  <si>
    <t>Filing Currency</t>
  </si>
  <si>
    <t>Diluted Net Income</t>
  </si>
  <si>
    <t>Depreciation (From Notes)</t>
  </si>
  <si>
    <t>Change in Net Working Capital</t>
  </si>
  <si>
    <t>Maintenance CAPEX</t>
  </si>
  <si>
    <t>Cash per Share</t>
  </si>
  <si>
    <t>Working Capital</t>
  </si>
  <si>
    <t>Net Working Capital</t>
  </si>
  <si>
    <t>Equity Method Investments</t>
  </si>
  <si>
    <t>Inventory Method</t>
  </si>
  <si>
    <t>Full Time Employees</t>
  </si>
  <si>
    <t>Part Time Employees</t>
  </si>
  <si>
    <t>Total Employees</t>
  </si>
  <si>
    <t>Finance Division Long-term Debt, Total</t>
  </si>
  <si>
    <t>Finance Division Short-term Debt, Total</t>
  </si>
  <si>
    <t>Cost of Borrowing</t>
  </si>
  <si>
    <t>Total Debt (Excl.Fin.Div.Debt)</t>
  </si>
  <si>
    <t>Order Backlog</t>
  </si>
  <si>
    <t>Distributable Cash Payout Ratio (Income Trusts)</t>
  </si>
  <si>
    <t>Advertising Expense</t>
  </si>
  <si>
    <t>Accumulated Allowance for Doubtful Accounts</t>
  </si>
  <si>
    <t>Minority Interest, Total</t>
  </si>
  <si>
    <t>R&amp;D Expense (Foot Note)</t>
  </si>
  <si>
    <t>INCOME STATEMENT (Contd.)</t>
  </si>
  <si>
    <t>Pension</t>
  </si>
  <si>
    <t>OPEB</t>
  </si>
  <si>
    <t>Pension - Domestic</t>
  </si>
  <si>
    <t>OPEB - Domestic</t>
  </si>
  <si>
    <t>Pension - Foreign</t>
  </si>
  <si>
    <t>OPEB - Foreign</t>
  </si>
  <si>
    <t>Change In Other Net Operating Assets</t>
  </si>
  <si>
    <t>Net Actuarial Loss/Gain – Compr. Inc.</t>
  </si>
  <si>
    <t>Prior Service Cost/Benefit – Compr. Inc.</t>
  </si>
  <si>
    <t>Transition Asset/Obligation – Compr. Inc.</t>
  </si>
  <si>
    <t>Other Misc. Adj. – Compr. Inc.</t>
  </si>
  <si>
    <t>Net Actuarial Loss/Gain Recog. Next Period</t>
  </si>
  <si>
    <t>Prior Service Cost/Benefit Recog. Next Period</t>
  </si>
  <si>
    <t>Transition Asset/Obligation Recog. Next Period</t>
  </si>
  <si>
    <t>Total Amount to be Recognized Next Period</t>
  </si>
  <si>
    <t>Long Term Assets</t>
  </si>
  <si>
    <t>Current Liabilities</t>
  </si>
  <si>
    <t>Long Term Liabilities</t>
  </si>
  <si>
    <t>Avg Employees</t>
  </si>
  <si>
    <t>Temporary/Seasonal Employees</t>
  </si>
  <si>
    <t>Breakdown of Amounts recognized in Other Comprehensive Income in BS</t>
  </si>
  <si>
    <t>Net Amount Recognized – Compr. Inc.</t>
  </si>
  <si>
    <t>Expected to be recognized as components of net periodic benefit cost in the next year</t>
  </si>
  <si>
    <t>Excise Taxes Excluded from Sales</t>
  </si>
  <si>
    <t>Excise Taxes Included in Sales</t>
  </si>
  <si>
    <t>Finance Division Debt, Total</t>
  </si>
  <si>
    <t>Financial Accounting Standard</t>
  </si>
  <si>
    <t>Total Debt Current</t>
  </si>
  <si>
    <t>Auditor Name</t>
  </si>
  <si>
    <t>Auditor Opinion</t>
  </si>
  <si>
    <t>Restricted Cash (Non-Current)</t>
  </si>
  <si>
    <t>Finance Division Cash and Equivalents</t>
  </si>
  <si>
    <t>Finance Division Short-Term Investments</t>
  </si>
  <si>
    <t>Cash Interest Paid - Operating Activities</t>
  </si>
  <si>
    <t>Cash Interest Paid - Investing Activities</t>
  </si>
  <si>
    <t>Cash Interest Paid - Financing Activities</t>
  </si>
  <si>
    <t>Cash Taxes Paid - Operating Activities</t>
  </si>
  <si>
    <t>Cash Taxes Paid - Investing Activities</t>
  </si>
  <si>
    <t>Cash Taxes Paid - Financing Activities</t>
  </si>
  <si>
    <t>Fiscal Half</t>
  </si>
  <si>
    <t>Calendar Half</t>
  </si>
  <si>
    <t>Historical</t>
  </si>
  <si>
    <t>USD</t>
  </si>
  <si>
    <t>Deferred Income Taxes, Total</t>
  </si>
  <si>
    <t>Per Share Items</t>
  </si>
  <si>
    <t>Supplemental Operating Expense Items</t>
  </si>
  <si>
    <t>Distributable Cash Shares (Basic)</t>
  </si>
  <si>
    <t>Distributable Cash Shares (Diluted)</t>
  </si>
  <si>
    <t>Distributable Cash per Share (Diluted)</t>
  </si>
  <si>
    <t>Salaries and Other Employee Benefits</t>
  </si>
  <si>
    <t>Stock-Based Comp., Exploration/Drilling Exp.</t>
  </si>
  <si>
    <t>Employees Under Union Contracts</t>
  </si>
  <si>
    <t>Contingent Liabilities</t>
  </si>
  <si>
    <t>Unrecog. Tax Benefits, Beginning of the Period</t>
  </si>
  <si>
    <t>Additions Based on Tax Positions - Current Yr.</t>
  </si>
  <si>
    <t>Reductions Based on Tax Positions - Current Yr.</t>
  </si>
  <si>
    <t>Additions for Tax Positions - Prior Yrs</t>
  </si>
  <si>
    <t>Reductions for Tax Positions - Prior Yrs</t>
  </si>
  <si>
    <t>Settlements with Tax Authorities</t>
  </si>
  <si>
    <t>Lapse of Statute of Limitations</t>
  </si>
  <si>
    <t>Unrecog. Tax Benefits - Other Adj.</t>
  </si>
  <si>
    <t>Unrecog. Tax Benefits, End of the Period</t>
  </si>
  <si>
    <t>Account Code - Interest and Penalties</t>
  </si>
  <si>
    <t>Interest and Penalties Recog. on IS - Before Tax</t>
  </si>
  <si>
    <t>Interest and Penalties Recog. on IS - After Tax</t>
  </si>
  <si>
    <t>Interest and Penalties Recog. on BS - Before Tax</t>
  </si>
  <si>
    <t>Interest and Penalties Recog. on BS - After Tax</t>
  </si>
  <si>
    <t>Changes in Unrecog. Tax Benefit within a Year of the Rep. Date - Min</t>
  </si>
  <si>
    <t>Changes in Unrecog. Tax Benefit within a Year of the Rep. Date - Max</t>
  </si>
  <si>
    <t>Impact of Unrecog. Tax Benefit on the Effective Tax Rate</t>
  </si>
  <si>
    <t>Adoption of FIN 48 Related Items</t>
  </si>
  <si>
    <t>Liquidation Value of Preferred Stock - Convertible</t>
  </si>
  <si>
    <t>Liquidation Value of Preferred Stock - Non-Redeemable</t>
  </si>
  <si>
    <t>Liquidation Value of Preferred Stock - Redeemable</t>
  </si>
  <si>
    <t>Level 1 Assets - Quoted Prices</t>
  </si>
  <si>
    <t>Netting and Other Adj. to Assets</t>
  </si>
  <si>
    <t>Fair Value of Assets</t>
  </si>
  <si>
    <t>Level 1 Liabilities - Quoted Prices</t>
  </si>
  <si>
    <t>Netting and Other Adj. to Liabilities</t>
  </si>
  <si>
    <t>Fair Value of Liabilities</t>
  </si>
  <si>
    <t>Fair Value Change Included in Earnings</t>
  </si>
  <si>
    <t>Exploration/Drilling Exp.</t>
  </si>
  <si>
    <t>Debt Issuance Costs</t>
  </si>
  <si>
    <t>Period Date</t>
  </si>
  <si>
    <t>Cash Interest Paid Net of Interest Received</t>
  </si>
  <si>
    <t>Unusual Items, Total (Supple)</t>
  </si>
  <si>
    <t>Restructuring Charges (Supple)</t>
  </si>
  <si>
    <t>Merger &amp; Related Restruct. Charges (Supple)</t>
  </si>
  <si>
    <t>Impairment of Goodwill (Supple)</t>
  </si>
  <si>
    <t>Asset Writedown, Total (Supple)</t>
  </si>
  <si>
    <t>In Process R &amp; D Exp. (Supple)</t>
  </si>
  <si>
    <t>Insurance Settlements (Supple)</t>
  </si>
  <si>
    <t>Legal Settlements (Supple)</t>
  </si>
  <si>
    <t>Other Unusual Items (Supple)</t>
  </si>
  <si>
    <t>Total Shares Out. on Filing Date</t>
  </si>
  <si>
    <t>Level 2 Assets - Observable Prices</t>
  </si>
  <si>
    <t>Level 3 Assets - Unobservable Prices</t>
  </si>
  <si>
    <t>Level 2 Liabilities - Observable Prices</t>
  </si>
  <si>
    <t>Level 3 Liabilities - Unobservable Prices</t>
  </si>
  <si>
    <t>Other Amortization</t>
  </si>
  <si>
    <t>Assets Under Capital Lease - Accumulated Dep.</t>
  </si>
  <si>
    <t>Assets Under Capital Lease - Gross</t>
  </si>
  <si>
    <t>Assets on Operating Lease - Accumulated Dep.</t>
  </si>
  <si>
    <t>Assets on Operating Lease - Gross</t>
  </si>
  <si>
    <t>Return on Common Equity (%)</t>
  </si>
  <si>
    <t>Total Debt / (EBITDA-CAPEX)</t>
  </si>
  <si>
    <t>Net Debt / (EBITDA-CAPEX)</t>
  </si>
  <si>
    <t>Total Revenues/ Employee</t>
  </si>
  <si>
    <t>Shares per Depository Receipt</t>
  </si>
  <si>
    <t>Assets Under Management</t>
  </si>
  <si>
    <t>EBITDA - CAPEX</t>
  </si>
  <si>
    <t>Tangible Book Value Per Share (Reported)</t>
  </si>
  <si>
    <t>Total Current Taxes</t>
  </si>
  <si>
    <t>Total Deferred Taxes</t>
  </si>
  <si>
    <t>Capex as % of Revenues</t>
  </si>
  <si>
    <t>Total Intangibles</t>
  </si>
  <si>
    <t>Standardized Distributable Cash</t>
  </si>
  <si>
    <t>Construction in Progress</t>
  </si>
  <si>
    <t>Leasehold Improvements</t>
  </si>
  <si>
    <t>Assets Under Management - Private Equity</t>
  </si>
  <si>
    <t>Assets Under Management - Real Estate</t>
  </si>
  <si>
    <t>Assets Under Management - Institutional</t>
  </si>
  <si>
    <t>Assets Under Management - Retail</t>
  </si>
  <si>
    <t>Assets Under Management - High Net Worth</t>
  </si>
  <si>
    <t>Assets Under Management - Other Clients</t>
  </si>
  <si>
    <t>Assets Under Management - Domestic</t>
  </si>
  <si>
    <t>Assets Under Management - Foreign</t>
  </si>
  <si>
    <t>Assets Under Management - Fee Earning</t>
  </si>
  <si>
    <t>Assets Under Management - Non Fee Earning</t>
  </si>
  <si>
    <t>Assets Under Management - Retail Customers</t>
  </si>
  <si>
    <t>Assets Under Management - Institutional Customers</t>
  </si>
  <si>
    <t>Assets Under Management - Small, Medium Enterprise Customers</t>
  </si>
  <si>
    <t>Assets Under Management - Other Customers</t>
  </si>
  <si>
    <t>Assets Under Management - Total Customers</t>
  </si>
  <si>
    <t>Assets Under Management - Beginning of Period</t>
  </si>
  <si>
    <t>Assets Under Management - Inflows</t>
  </si>
  <si>
    <t>Assets Under Management - Outflows</t>
  </si>
  <si>
    <t>Assets Under Management - Net Inflows / (Outflows)</t>
  </si>
  <si>
    <t>Amortization of Debt Issuance Costs</t>
  </si>
  <si>
    <t>Amortization of Software Assets</t>
  </si>
  <si>
    <t>Deferred Tax Valuation Allowance</t>
  </si>
  <si>
    <t>Interest Income</t>
  </si>
  <si>
    <t>Warranty Liabilities</t>
  </si>
  <si>
    <t>Investment Income</t>
  </si>
  <si>
    <t>Depreciation on Right of Use Assets</t>
  </si>
  <si>
    <t>Operating Lease Payments</t>
  </si>
  <si>
    <t>Change in Operating Lease Liabilities</t>
  </si>
  <si>
    <t>Change in Operating Lease Liabilities Non-Cash</t>
  </si>
  <si>
    <t>Right-of-Use Asset-Gross</t>
  </si>
  <si>
    <t>Right-of-Use Asset-Accumulated Depreciation</t>
  </si>
  <si>
    <t>Right-of-Use Asset-Net</t>
  </si>
  <si>
    <t>Right-of-Use Asset-Capital Lease-Gross</t>
  </si>
  <si>
    <t>Right-of-Use Asset-Capital Lease-Accumulated Depreciation</t>
  </si>
  <si>
    <t>Right-of-Use Asset-Capital Lease-Net</t>
  </si>
  <si>
    <t>Right-of-Use Asset-Operating Lease-Gross</t>
  </si>
  <si>
    <t>Right-of-Use Asset-Operating Lease-Accumulated Depreciation</t>
  </si>
  <si>
    <t>Right-of-Use Asset-Operating Lease-Net</t>
  </si>
  <si>
    <t>Non-Recurring Income Taxes</t>
  </si>
  <si>
    <t>Interest Expenses On Lease Liability/Debt</t>
  </si>
  <si>
    <t>EBITDA, Lease Adjusted</t>
  </si>
  <si>
    <t>Lease Adjustment for EBITDA</t>
  </si>
  <si>
    <t>EBITDA (Incl. Equity Inc. from Affiliates, Excl. Op. Lease Adj.)</t>
  </si>
  <si>
    <t>As Reported EBITDA</t>
  </si>
  <si>
    <t>Gain on Bargain Acquisition</t>
  </si>
  <si>
    <t>Gain on Bargain Acquisition  - Supple</t>
  </si>
  <si>
    <t>Depreciation &amp; Amortization - CF, Excl. Operating Leases</t>
  </si>
  <si>
    <t>Depreciation &amp; Amort., Total, Excl. Operating Leases</t>
  </si>
  <si>
    <t>Long-Term Debt Repaid, Excl. Leases</t>
  </si>
  <si>
    <t>Total Debt Repaid, Excl. Leases</t>
  </si>
  <si>
    <t>Gain on Bargain Acquisition - (CF)</t>
  </si>
  <si>
    <t>Current Portion of Leases</t>
  </si>
  <si>
    <t>Long-Term Leases</t>
  </si>
  <si>
    <t>Gross PP&amp;E, Excl. Operating Leases</t>
  </si>
  <si>
    <t>Accumulated Depreciation, Excl. Operating Leases</t>
  </si>
  <si>
    <t>Net PP&amp;E, Excl. Operating Leases</t>
  </si>
  <si>
    <t>Finance Leases, Current</t>
  </si>
  <si>
    <t>Finance Leases, Long Term</t>
  </si>
  <si>
    <t>Total Finance Leases</t>
  </si>
  <si>
    <t>Current Portion of Operating Lease Liabilities</t>
  </si>
  <si>
    <t>Long-Term Portion of Operating Lease Liabilities</t>
  </si>
  <si>
    <t>Total Operating Leases</t>
  </si>
  <si>
    <t>Total Leases</t>
  </si>
  <si>
    <t>Current Financing Obligations, Excl. Operating Leases</t>
  </si>
  <si>
    <t>Non-Current Financing Obligations Excl. Operating Leases</t>
  </si>
  <si>
    <t>Total Debt, Excl. Operating Leases</t>
  </si>
  <si>
    <t>Total Debt, Excl. Leases</t>
  </si>
  <si>
    <t>IFRS 16 / ASC 842 Items</t>
  </si>
  <si>
    <t>Long Term Marketable Securities</t>
  </si>
  <si>
    <t>Advances for Supplies</t>
  </si>
  <si>
    <t>Goodwill and Intangibles (Net)</t>
  </si>
  <si>
    <t>Goodwill (Net)</t>
  </si>
  <si>
    <t>Intangibles (Net)</t>
  </si>
  <si>
    <t>Intercompany Non-Current Assets</t>
  </si>
  <si>
    <t>Intercompany Current Liabilities</t>
  </si>
  <si>
    <t>Intercompany Non-Current Liabilities</t>
  </si>
  <si>
    <t>English</t>
  </si>
  <si>
    <t>Chinese Simplified</t>
  </si>
  <si>
    <t>Chinese Traditional</t>
  </si>
  <si>
    <t>French</t>
  </si>
  <si>
    <t>German</t>
  </si>
  <si>
    <t>Italian</t>
  </si>
  <si>
    <t>Japanese</t>
  </si>
  <si>
    <t>Russian</t>
  </si>
  <si>
    <t>Spanish</t>
  </si>
  <si>
    <t>Korean</t>
  </si>
  <si>
    <t>Income Statement</t>
  </si>
  <si>
    <t>Cash Flow Statement</t>
  </si>
  <si>
    <t>Balance Sheet</t>
  </si>
  <si>
    <t>In Millions</t>
  </si>
  <si>
    <t>Ended</t>
  </si>
  <si>
    <t>millions, except per share data</t>
  </si>
  <si>
    <t>Select Language</t>
  </si>
  <si>
    <t>Trading Currency</t>
  </si>
  <si>
    <t>时期</t>
  </si>
  <si>
    <t>時期</t>
  </si>
  <si>
    <t>Période de temps</t>
  </si>
  <si>
    <t>表示頻度</t>
  </si>
  <si>
    <t>Период времени</t>
  </si>
  <si>
    <t>Periodo de tiempo</t>
  </si>
  <si>
    <t>Zeitraum</t>
  </si>
  <si>
    <t>Periodo di tempo</t>
  </si>
  <si>
    <t>기간</t>
  </si>
  <si>
    <t>会计季度</t>
  </si>
  <si>
    <t>會計季度</t>
  </si>
  <si>
    <t>Trimestre fiscal</t>
  </si>
  <si>
    <t>会計四半期</t>
  </si>
  <si>
    <t>финансовый квартал</t>
  </si>
  <si>
    <t>Steuerquartal</t>
  </si>
  <si>
    <t>Trimestre fiscale</t>
  </si>
  <si>
    <t>회계 분기</t>
  </si>
  <si>
    <t>过去十二个月</t>
  </si>
  <si>
    <t>過去十二個月</t>
  </si>
  <si>
    <t>12 derniers mois</t>
  </si>
  <si>
    <t>直近12ヵ月</t>
  </si>
  <si>
    <t>За последние двенадцать месяцев</t>
  </si>
  <si>
    <t>Los últimos doce meses</t>
  </si>
  <si>
    <t>Letzte zwölf Monate</t>
  </si>
  <si>
    <t>Ultimi dodici mesi</t>
  </si>
  <si>
    <t>최근 12개월</t>
  </si>
  <si>
    <t>日历季度</t>
  </si>
  <si>
    <t>日曆季度</t>
  </si>
  <si>
    <t>Trimestre calendaire</t>
  </si>
  <si>
    <t>会计半年度</t>
  </si>
  <si>
    <t>會計半年度</t>
  </si>
  <si>
    <t>La moitié fiscale</t>
  </si>
  <si>
    <t>日历半年度</t>
  </si>
  <si>
    <t>日曆半年度</t>
  </si>
  <si>
    <t>La moitié calendrier</t>
  </si>
  <si>
    <t>暦四半期</t>
  </si>
  <si>
    <t>Календарный квартал</t>
  </si>
  <si>
    <t>Trimestre de calendario</t>
  </si>
  <si>
    <t>半期</t>
  </si>
  <si>
    <t>Финансовый семестр</t>
  </si>
  <si>
    <t>La mitad fiscal</t>
  </si>
  <si>
    <t>暦半期</t>
  </si>
  <si>
    <t>Календарный семестр</t>
  </si>
  <si>
    <t>La mitad del calendario</t>
  </si>
  <si>
    <t>Kalenderquartal</t>
  </si>
  <si>
    <t>Trimestre di calendario</t>
  </si>
  <si>
    <t>Steuerliches Halbjahr</t>
  </si>
  <si>
    <t>Semestre fiscale</t>
  </si>
  <si>
    <t>Kalender-Halbjahr</t>
  </si>
  <si>
    <t>Semestre di calendario</t>
  </si>
  <si>
    <t>달력 분기</t>
  </si>
  <si>
    <t>회계 1/2년</t>
  </si>
  <si>
    <t>달력 1/2년</t>
  </si>
  <si>
    <t>截至</t>
  </si>
  <si>
    <t>Terminé</t>
  </si>
  <si>
    <t>終了</t>
  </si>
  <si>
    <t xml:space="preserve">Закончен </t>
  </si>
  <si>
    <t>Terminado</t>
  </si>
  <si>
    <t>Beendet</t>
  </si>
  <si>
    <t>Terminato</t>
  </si>
  <si>
    <t>종료일</t>
  </si>
  <si>
    <t>出售资产损益（收入）</t>
  </si>
  <si>
    <t>出售資產損益（收入）</t>
  </si>
  <si>
    <t>Gain/(perte) sur la vente d'actifs (Rev)</t>
  </si>
  <si>
    <t>处分投资损益（收入）</t>
  </si>
  <si>
    <t>處分投資損益（收入）</t>
  </si>
  <si>
    <t>Gain/(Perte) sur la vente de l'investissement (Rev)</t>
  </si>
  <si>
    <t>資産売却損益 (収益)</t>
  </si>
  <si>
    <t>Прибыль/(Убыток) от продажи активов (Прибыль)</t>
  </si>
  <si>
    <t>Ganancia/(Pérdida) en la venta de activos (Ganancias)</t>
  </si>
  <si>
    <t>投資売却損益 (収益)</t>
  </si>
  <si>
    <t>Прибыль/(убыток) от продажи инвестиций (Прибыль)</t>
  </si>
  <si>
    <t>Ganancia/(Pérdida) en la venta de la inversión (Ganancia)</t>
  </si>
  <si>
    <t>Gewinn(Verlust) aus dem Verkauf von Vermögenswerten (Erlös)</t>
  </si>
  <si>
    <t>Utile/(perdita) su vendita di attività (riv.)</t>
  </si>
  <si>
    <t>Gewinn(Verlust) aus dem Verkauf von Investments (Erlös)</t>
  </si>
  <si>
    <t>Utile/(perdita) su vendita di invest. (riv.)</t>
  </si>
  <si>
    <t>자산 매각의 이익(손실) (수입)</t>
  </si>
  <si>
    <t>투자 매각의 이익/(손실) (수입)</t>
  </si>
  <si>
    <t>资产减值</t>
  </si>
  <si>
    <t>資產減值</t>
  </si>
  <si>
    <t>Dépréciation d'actifs</t>
  </si>
  <si>
    <t>資産評価損</t>
  </si>
  <si>
    <t>Списание активов</t>
  </si>
  <si>
    <t>Reducción de activos</t>
  </si>
  <si>
    <t>Abschreibungen auf Vermögensgegenstände</t>
  </si>
  <si>
    <t>Svalutazione delle immobilizzazioni</t>
  </si>
  <si>
    <t>자산 상계액</t>
  </si>
  <si>
    <t>母公司净收入</t>
  </si>
  <si>
    <t>母公司淨收入</t>
  </si>
  <si>
    <t>Bénéfice net aux parents</t>
  </si>
  <si>
    <t>当期純利益</t>
  </si>
  <si>
    <t>Чистый доход для материнской компании</t>
  </si>
  <si>
    <t>Ingresos netos para empresa matriz</t>
  </si>
  <si>
    <t>Der Muttergesellschaft zuzurechnendes Nettoergebnis</t>
  </si>
  <si>
    <t>Risultato netto alla Capogruppo</t>
  </si>
  <si>
    <t>모회사 순 이익</t>
  </si>
  <si>
    <t>加权平均基本流通股数</t>
  </si>
  <si>
    <t>加權平均基本流通股數</t>
  </si>
  <si>
    <t>Nombre moyen pondéré d'actions de base en circulation</t>
  </si>
  <si>
    <t>加重平均発行済み株式</t>
  </si>
  <si>
    <t xml:space="preserve">Средневзвешенные основные акции </t>
  </si>
  <si>
    <t>Promedio ponderado de acciones basicas en circulación</t>
  </si>
  <si>
    <t>Gewichteter Durchschnitt umlaufender Basisaktien</t>
  </si>
  <si>
    <t>Media ponderata azioni di base in circolaz.</t>
  </si>
  <si>
    <t>가중평균 기본유통주식</t>
  </si>
  <si>
    <t>加权平均稀释流通股数</t>
  </si>
  <si>
    <t>加權平均稀釋流通股數</t>
  </si>
  <si>
    <t>Nombre moyen pondéré d'actions diluées en circulation</t>
  </si>
  <si>
    <t>加重平均潜在発行済み株式</t>
  </si>
  <si>
    <t xml:space="preserve">Средневзвешенные разводненные акции </t>
  </si>
  <si>
    <t>Promedio ponderado de acciones diluidas en circulación</t>
  </si>
  <si>
    <t>Gewichteter Durchschnitt verwässerter umlaufender Basisaktien</t>
  </si>
  <si>
    <t>Media ponderata azioni diluite in circolaz.</t>
  </si>
  <si>
    <t>가중평균 희석유통주식</t>
  </si>
  <si>
    <t>正常化基本每股盈利</t>
  </si>
  <si>
    <t>BPA de base normalisé</t>
  </si>
  <si>
    <t>正常化摊薄每股盈利</t>
  </si>
  <si>
    <t>正常化攤薄每股盈利</t>
  </si>
  <si>
    <t>BPA dilué normalisé</t>
  </si>
  <si>
    <t>每股可分配现金（稀释）</t>
  </si>
  <si>
    <t>每股可分配現金（稀釋）</t>
  </si>
  <si>
    <t>Espèces distribuables par action (diluées)</t>
  </si>
  <si>
    <t>可分配现金股数（基本）</t>
  </si>
  <si>
    <t>可分配現金股數（基本）</t>
  </si>
  <si>
    <t>Actions en espèces distribuables (de base)</t>
  </si>
  <si>
    <t>可分配现金股（稀释）</t>
  </si>
  <si>
    <t>可分配現金股（稀釋）</t>
  </si>
  <si>
    <t>Actions en espèces distribuables (diluées)</t>
  </si>
  <si>
    <t>每股股息</t>
  </si>
  <si>
    <t>Dividendes par action</t>
  </si>
  <si>
    <t>每个存托凭证的股份</t>
  </si>
  <si>
    <t>每個存託憑證的股份</t>
  </si>
  <si>
    <t>Actions par certificat de dépôt</t>
  </si>
  <si>
    <t>每股收益</t>
  </si>
  <si>
    <t>Revenus par action</t>
  </si>
  <si>
    <t>每股可分配现金</t>
  </si>
  <si>
    <t>每股可分配現金</t>
  </si>
  <si>
    <t>Espèces distribuables par action</t>
  </si>
  <si>
    <t>每股特别股息</t>
  </si>
  <si>
    <t>每股特別股息</t>
  </si>
  <si>
    <t>Dividende spécial par action</t>
  </si>
  <si>
    <t>（標準化後）
一株当たり当期純利益</t>
  </si>
  <si>
    <t>Базовая стандартизированная прибыль на акцию</t>
  </si>
  <si>
    <t>Ganancia por Acción básico normalizado</t>
  </si>
  <si>
    <t>（標準化後）潜在株式調整後一株当たり当期純利益</t>
  </si>
  <si>
    <t>Разводненная стандартизированная прибыль на акцию</t>
  </si>
  <si>
    <t>Ganancia por Acción diluido normalizado</t>
  </si>
  <si>
    <t>一株当たり分配可能額(潜在株式調整後)</t>
  </si>
  <si>
    <t>Распределяемые денежные средства на акцию (разводненные)</t>
  </si>
  <si>
    <t>Efectivo distribuible por acción (diluidas)</t>
  </si>
  <si>
    <t>分配可能な発行済み現金株</t>
  </si>
  <si>
    <t>Акции, подлежащие распределению в денежной форме (базовые)</t>
  </si>
  <si>
    <t>Acciones distribuibles en efectivo (Básicas)</t>
  </si>
  <si>
    <t>分配可能な潜在株式調整後現金株</t>
  </si>
  <si>
    <t>Акции, подлежащие распределению в денежной форме (разводненные)</t>
  </si>
  <si>
    <t>Acciones distribuibles en efectivo (diluidas)</t>
  </si>
  <si>
    <t>一株当たり配当金</t>
  </si>
  <si>
    <t>Дивиденды на акцию</t>
  </si>
  <si>
    <t>Dividendos por acción</t>
  </si>
  <si>
    <t>預託証券あたり株式数</t>
  </si>
  <si>
    <t>Акции посредством депозитной расписки</t>
  </si>
  <si>
    <t>Acciones por recibo de depósito</t>
  </si>
  <si>
    <t>一株当たり売上高</t>
  </si>
  <si>
    <t>Доход на акцию</t>
  </si>
  <si>
    <t>Ingresos por acción</t>
  </si>
  <si>
    <t>一株当たり分配可能額</t>
  </si>
  <si>
    <t>Распределяемые денежные средства на акцию</t>
  </si>
  <si>
    <t>Efectivo distribuible por acción</t>
  </si>
  <si>
    <t>一株当たり特別配当金(分配金)</t>
  </si>
  <si>
    <t>Специальный дивиденд на акцию</t>
  </si>
  <si>
    <t>Dividendo especial por acción</t>
  </si>
  <si>
    <t>Normalisierter einfacher Gewinn pro Aktie</t>
  </si>
  <si>
    <t>EPS di base normalizzato</t>
  </si>
  <si>
    <t>Normalisierter verwässerter Gewinn pro Aktie</t>
  </si>
  <si>
    <t>EPS diluito normalizzato</t>
  </si>
  <si>
    <t>Ausschüttungsfähige Barmittel pro Aktie (verwässert)</t>
  </si>
  <si>
    <t>Contanti per azione distribuibili (diluito)</t>
  </si>
  <si>
    <t>Ausschüttungsfähige Barmittel aus Aktien (Basis)</t>
  </si>
  <si>
    <t>Azioni in contanti distribuibili (base)</t>
  </si>
  <si>
    <t>Ausschüttungsfähige Barmittel aus Aktien (verwässert)</t>
  </si>
  <si>
    <t>Azioni in contanti distribuibili (diluito)</t>
  </si>
  <si>
    <t>Dividende pro Aktie</t>
  </si>
  <si>
    <t>Dividendi per Azione</t>
  </si>
  <si>
    <t>Aktien pro Hinterlegungsschein</t>
  </si>
  <si>
    <t>Azioni in base a ricevuta di deposito</t>
  </si>
  <si>
    <t>Erlöse pro Aktie</t>
  </si>
  <si>
    <t>Ricavi per azione</t>
  </si>
  <si>
    <t>Ausschüttungsfähige Barmittel pro Aktie</t>
  </si>
  <si>
    <t>Contanti per azione distribuibili</t>
  </si>
  <si>
    <t>Sonderdividende pro Aktie</t>
  </si>
  <si>
    <t>Dividendi straordinari per azione</t>
  </si>
  <si>
    <t>정상화된 기본 EPS</t>
  </si>
  <si>
    <t>정상화된 희석 EPS</t>
  </si>
  <si>
    <t>주당 배당가능 현금(희석)</t>
  </si>
  <si>
    <t>주당 배당가능 현금(기본)</t>
  </si>
  <si>
    <t>배당가능 현금(희석)</t>
  </si>
  <si>
    <t>주당 배당금</t>
  </si>
  <si>
    <t>주식 예탁 증권 당 주식</t>
  </si>
  <si>
    <t>주당 수익</t>
  </si>
  <si>
    <t>주당 배당가능 현금</t>
  </si>
  <si>
    <t>주당 특별 배당금</t>
  </si>
  <si>
    <t>报告日期</t>
  </si>
  <si>
    <t>報告日期</t>
  </si>
  <si>
    <t>Date de dépôt</t>
  </si>
  <si>
    <t>周期长度（月）</t>
  </si>
  <si>
    <t>週期長度（月）</t>
  </si>
  <si>
    <t>Durée de la période en mois</t>
  </si>
  <si>
    <t>決算開示日</t>
  </si>
  <si>
    <t>Дата презентации</t>
  </si>
  <si>
    <t>Fecha de presentación</t>
  </si>
  <si>
    <t>会計期間（月数）</t>
  </si>
  <si>
    <t>Продолжительность периода в месяцах</t>
  </si>
  <si>
    <t>Duración del período en meses</t>
  </si>
  <si>
    <t>Einreichungsdatum</t>
  </si>
  <si>
    <t>Data di presentazione</t>
  </si>
  <si>
    <t>Periodenlänge in Monaten</t>
  </si>
  <si>
    <t>Durata del periodo in mesi</t>
  </si>
  <si>
    <t>제출 날짜</t>
  </si>
  <si>
    <t>기간(개월)</t>
  </si>
  <si>
    <t>息税折旧摊销前利润 (包括附属企业股权收益)</t>
  </si>
  <si>
    <t>息稅折舊攤銷前利潤  (包括附屬企業股權收益)</t>
  </si>
  <si>
    <t>EBITDA (y compris la quote-part des affiliés)</t>
  </si>
  <si>
    <t>息税折旧摊销前利润 (除股票补偿,包括附属企业股权收益)</t>
  </si>
  <si>
    <t>息稅折舊攤銷前利潤  (除股票補償,包括附屬企業股權收益)</t>
  </si>
  <si>
    <t>EBITDA (à l'exclusion de la rémunération à base d'actions et y compris la quote-part des affiliés)</t>
  </si>
  <si>
    <t>息税折旧摊销前利润 (除股票补偿)</t>
  </si>
  <si>
    <t>息稅折舊攤銷前利潤  (除股票補償)</t>
  </si>
  <si>
    <t>EBITDA (à l'exclusion de la rémunération à base d'actions)</t>
  </si>
  <si>
    <t>息税折旧摊销前利润,已调整租赁</t>
  </si>
  <si>
    <t>息稅折舊攤銷前利潤 ,已調整租賃</t>
  </si>
  <si>
    <t>EBITDA, ajusté au bail</t>
  </si>
  <si>
    <t>息税折旧摊销前利润的租赁调整</t>
  </si>
  <si>
    <t>息稅折舊攤銷前利潤 的租賃調整</t>
  </si>
  <si>
    <t>Ajustement du bail pour l'EBITDA</t>
  </si>
  <si>
    <t>息税折旧摊销前利润(包括附属企业股权收益,不包括经调整的经营租赁)</t>
  </si>
  <si>
    <t>息稅折舊攤銷前利潤 (包括附屬企業股權收益,不包括經調整的經營租賃)</t>
  </si>
  <si>
    <t>EBITDA (y compris les revenus des participations des filiales, à l'exclusion de l'ajustement des contrats de location-exploitation)</t>
  </si>
  <si>
    <t>EBITDA(持分法投資損益を含む)</t>
  </si>
  <si>
    <t>EBITDA (включая доход от долевого участия аффилированных лиц)</t>
  </si>
  <si>
    <t>EBITDA (Incluyendo Ingresos de capital de las filiales)</t>
  </si>
  <si>
    <t>EBITDA(持分法投資損益を含み、株式報酬費用除く)</t>
  </si>
  <si>
    <t>EBITDA (без учета компенсаций на основе акций и доходов от долевого участия от аффилированных компаний)</t>
  </si>
  <si>
    <t>EBITDA (Excluyendo compensación basada en acciones e incluyendo Ingresos de Capital de las filiales)</t>
  </si>
  <si>
    <t>EBITDA(株式報酬費用除く)</t>
  </si>
  <si>
    <t>EBITDA (без учета компенсаций на основе акций)</t>
  </si>
  <si>
    <t>EBITDA (Excluyendo compensación basada en acciones)</t>
  </si>
  <si>
    <t>EBITDA(リース調整後)</t>
  </si>
  <si>
    <t>EBITDA, Скорректированная на лизинг</t>
  </si>
  <si>
    <t>EBITDA, Ajustado por el arrendamiento</t>
  </si>
  <si>
    <t>EBITDAのリース調整額</t>
  </si>
  <si>
    <t>Корректировка на лизинг для EBITDA</t>
  </si>
  <si>
    <t>Ajuste del arrendamiento para el EBITDA</t>
  </si>
  <si>
    <t>EBITDA(持分法投資損益を含み、オペレーティング・リース除く)</t>
  </si>
  <si>
    <t>EBITDA (включая прибыль от долевого участия аффилированных компаний, без учета корректировки по операционной аренде)</t>
  </si>
  <si>
    <t>EBITDA (Incluyendo Ingresos de Capital de las filiales, excluido el ajuste del arrendamiento operativo)</t>
  </si>
  <si>
    <t>EBITDA (inkl. Beteiligungserträge aus verbundenen Unternehmen)</t>
  </si>
  <si>
    <t>EBITDA (incl. equity inc. da consociate)</t>
  </si>
  <si>
    <t>EBITDA (ohne SBC und inkl. Beteiligungserträge aus verbundenen Unternehmen)</t>
  </si>
  <si>
    <t>EBITDA (escl. SBC e incl. equity inc. da consociate)</t>
  </si>
  <si>
    <t>EBITDA (ohne SBC)</t>
  </si>
  <si>
    <t>EBITDA (escl. SBC)</t>
  </si>
  <si>
    <t>EBITDA, mietbereinigt</t>
  </si>
  <si>
    <t>EBITDA, rettificato per locazioni</t>
  </si>
  <si>
    <t>Mietanpassung für EBITDA</t>
  </si>
  <si>
    <t>Rettifica locazioni per EBITDA</t>
  </si>
  <si>
    <t>EBITDA (inkl. Beteiligungserträge aus verbundenen Unternehmen, ohne Anpassungen für Operating Leasing)</t>
  </si>
  <si>
    <t>EBITDA (incl. equity inc. da consociate, escl. rettifica per locazioni op.)</t>
  </si>
  <si>
    <t>EBITDA(계열사의 투자수익 포함)</t>
  </si>
  <si>
    <t>EBITDA(SBC 제외, 계열사의 투자수익 포함)</t>
  </si>
  <si>
    <t>EBITDA(SBC 제외)</t>
  </si>
  <si>
    <t>EBITDA, 리스 조정</t>
  </si>
  <si>
    <t>EBITDA를 위한 리스 조정</t>
  </si>
  <si>
    <t>EBITDA(계열사의 투자수익 포함, 운용리스 조정 제외)</t>
  </si>
  <si>
    <t>息税前利润 (包括附属企业股权收益)</t>
  </si>
  <si>
    <t>息稅前利潤 (包括附屬企業股權收益)</t>
  </si>
  <si>
    <t>EBIT (y compris les revenus des sociétés affiliées)</t>
  </si>
  <si>
    <t>息税前利润 (不包括股票补偿和包括附属企业股权收益)</t>
  </si>
  <si>
    <t>息稅前利潤 (不包括股票補償和包括附屬企業股權收益)</t>
  </si>
  <si>
    <t>EBIT (à l'exclusion de la rémunération à base d'actions et y compris les revenus en actions des sociétés affiliées)</t>
  </si>
  <si>
    <t>息税前利润 (不包括股票补偿)</t>
  </si>
  <si>
    <t>息稅前利潤 (不包括股票補償)</t>
  </si>
  <si>
    <t>EBIT (à l'exclusion de la rémunération à base d'actions)</t>
  </si>
  <si>
    <t>EBIT(持分法投資損益を含む)</t>
  </si>
  <si>
    <t>EBIT (в том числе доход от долевого участия аффилированных лиц)</t>
  </si>
  <si>
    <t>EBIT (Incluyendo Ingresos de Capital de las filiales)</t>
  </si>
  <si>
    <t>EBIT(持分法投資損益を含み、株式報酬費用除く)</t>
  </si>
  <si>
    <t>EBIT (без учета компенсаций на основе акций и доходов от долевого участия от аффилированных компаний)</t>
  </si>
  <si>
    <t>EBIT (Excluyendo compensación basada en acciones e incluyendo Ingresos de Capital de las filiales)</t>
  </si>
  <si>
    <t>EBIT(株式報酬費用除く)</t>
  </si>
  <si>
    <t>EBIT (без учета компенсаций на основе акций)</t>
  </si>
  <si>
    <t>EBIT (Excluyendo compensación basada en acciones)</t>
  </si>
  <si>
    <t>EBIT (inkl. Beteiligungserträge aus verbundenen Unternehmen)</t>
  </si>
  <si>
    <t>EBIT (incl. equity inc. da consociate)</t>
  </si>
  <si>
    <t>EBIT (ohne SBC und inkl. Beteiligungserträge aus verbundenen Unternehmen)</t>
  </si>
  <si>
    <t>EBIT (escl. SBC e incl. equity inc. da consociate)</t>
  </si>
  <si>
    <t>EBIT (ohne SBC)</t>
  </si>
  <si>
    <t>EBIT (escl. SBC)</t>
  </si>
  <si>
    <t>EBIT(계열사의 투자수익 포함)</t>
  </si>
  <si>
    <t>EBIT(SBC 제외, 계열사의 투자수익 포함)</t>
  </si>
  <si>
    <t>EBIT(SBC 제외)</t>
  </si>
  <si>
    <t>税息及摊销前利润</t>
  </si>
  <si>
    <t xml:space="preserve">稅息及攤銷前利潤 </t>
  </si>
  <si>
    <t>税息及摊销前利润 (包括附属企业股权收益)</t>
  </si>
  <si>
    <t>稅息及攤銷前利潤 (包括附屬企業股權收益)</t>
  </si>
  <si>
    <t>EBITA (y compris les revenus des sociétés affiliées)</t>
  </si>
  <si>
    <t>税息及摊销前利润 (不包括股票补偿和包括附属企业股权收益)</t>
  </si>
  <si>
    <t>稅息及攤銷前利潤 (不包括股票補償和包括附屬企業股權收益)</t>
  </si>
  <si>
    <t>EBITA (à l'exclusion des rémunérations à base d'actions et y compris les revenus en actions des sociétés affiliées)</t>
  </si>
  <si>
    <t>税息及摊销前利润 (不包括股票补偿)</t>
  </si>
  <si>
    <t>稅息及攤銷前利潤 (不包括股票補償)</t>
  </si>
  <si>
    <t>EBITA (à l'exclusion de la rémunération à base d'actions)</t>
  </si>
  <si>
    <t>EBITA(持分法投資損益を含む)</t>
  </si>
  <si>
    <t>EBITA (в том числе доходы от долевого участия в аффилированных компаниях)</t>
  </si>
  <si>
    <t>EBITA (Incluyendo Ingresos de Capital de las filiales)</t>
  </si>
  <si>
    <t>EBITA(持分法投資損益を含み、株式報酬費用除く)</t>
  </si>
  <si>
    <t>EBITA (без учета компенсаций на основе акций и доходов от долевого участия в аффилированных компаниях)</t>
  </si>
  <si>
    <t>EBITA (Excluyendo compensación basada en acciones e incluyendo Ingresos de Capital de las filiales)</t>
  </si>
  <si>
    <t>EBITA(株式報酬費用除く)</t>
  </si>
  <si>
    <t>EBITA (без учета компенсаций на основе акций)</t>
  </si>
  <si>
    <t>EBITA (Excluyendo compensación basada en acciones)</t>
  </si>
  <si>
    <t>EBITA (inkl. Beteiligungserträge aus verbundenen Unternehmen)</t>
  </si>
  <si>
    <t>EBITA (incl. equity inc. da consociate)</t>
  </si>
  <si>
    <t>EBITA (ohne SBC und inkl. Beteiligungserträge aus verbundenen Unternehmen)</t>
  </si>
  <si>
    <t>EBITA (escl. SBC e incl. equity inc. da consociate)</t>
  </si>
  <si>
    <t>EBITA (ohne SBC)</t>
  </si>
  <si>
    <t>EBITA (escl. SBC)</t>
  </si>
  <si>
    <t>EBITA(계열사의 투자수익 포함)</t>
  </si>
  <si>
    <t>EBITA(SBC 제외, 계열사의 투자수익 포함)</t>
  </si>
  <si>
    <t>EBITA(SBC 제외)</t>
  </si>
  <si>
    <t>息税折旧摊销重组费用前利润 (包括附属企业股权收益)</t>
  </si>
  <si>
    <t>息稅折舊攤銷重組費用前利潤 (包括附屬企業股權收益)</t>
  </si>
  <si>
    <t>EBITDAR (y compris les revenus des sociétés affiliées)</t>
  </si>
  <si>
    <t>息税折旧摊销重组费用前利润 (不包括股票补偿和包括附属企业股权收益)</t>
  </si>
  <si>
    <t>息稅折舊攤銷重組費用前利潤 (不包括股票補償和包括附屬企業股權收益)</t>
  </si>
  <si>
    <t>EBITDAR (à l'exclusion des rémunérations à base d'actions et y compris les revenus en actions des sociétés affiliées)</t>
  </si>
  <si>
    <t>息税折旧摊销重组费用前利润 (不包括股票补偿)</t>
  </si>
  <si>
    <t>息稅折舊攤銷重組費用前利潤 (不包括股票補償)</t>
  </si>
  <si>
    <t>EBITDAR (hors rémunération à base d'actions)</t>
  </si>
  <si>
    <t>息税折旧摊销前利润 - 资本支出</t>
  </si>
  <si>
    <t>息稅折舊攤銷前利潤  - 資本支出</t>
  </si>
  <si>
    <t>费用及其他收入</t>
  </si>
  <si>
    <t>費用及其他收入</t>
  </si>
  <si>
    <t>Honoraires et autres revenus</t>
  </si>
  <si>
    <t>同店销售增长</t>
  </si>
  <si>
    <t>同店銷售增長</t>
  </si>
  <si>
    <t>Croissance des ventes dans les mêmes magasins</t>
  </si>
  <si>
    <t>据公司呈报的总收入</t>
  </si>
  <si>
    <t>據公司呈報的總收入</t>
  </si>
  <si>
    <t>Revenus totaux tels que déclarés</t>
  </si>
  <si>
    <t>据公司呈报的息税折旧摊销前利润</t>
  </si>
  <si>
    <t xml:space="preserve">據公司呈報的息稅折舊攤銷前利潤 </t>
  </si>
  <si>
    <t>Tel que rapporté EBITDA</t>
  </si>
  <si>
    <t>备抵坏账-患者服务收入</t>
  </si>
  <si>
    <t>備抵壞賬-患者服務收入</t>
  </si>
  <si>
    <t>Provision pour créances douteuses - Revenus des services aux patients</t>
  </si>
  <si>
    <t>母公司盈利(不包括非经常性项目)</t>
  </si>
  <si>
    <t>母公司盈利(不包括非經常性項目)</t>
  </si>
  <si>
    <t>Bénéfices aux parents avant éléments extraordinaires</t>
  </si>
  <si>
    <t>每个SFAS 123的净收入（期权后）</t>
  </si>
  <si>
    <t>每個SFAS 123的淨收入（期權後）</t>
  </si>
  <si>
    <t>Bénéfice net selon la norme SFAS 123 (après options)</t>
  </si>
  <si>
    <t>EBITDAR(持分法投資損益を含む)</t>
  </si>
  <si>
    <t>EBITDAR (включая доход от долевого участия в аффилированных компаниях)</t>
  </si>
  <si>
    <t>EBITDAR (Incluyendo Ingresos de Capital de las filiales)</t>
  </si>
  <si>
    <t>EBITDAR(持分法投資損益を含み、株式報酬費用除く)</t>
  </si>
  <si>
    <t>EBITDAR (без учета компенсаций на основе акций и доходов от долевого участия в аффилированных компаниях)</t>
  </si>
  <si>
    <t>EBITDAR (Excluyendo compensación basada en acciones e incluyendo Ingresos de Capital de las filiales)</t>
  </si>
  <si>
    <t>EBITDAR(株式報酬費用除く)</t>
  </si>
  <si>
    <t>EBITDAR (без учета компенсаций по акциям)</t>
  </si>
  <si>
    <t>EBITDAR (Excluyendo compensación basada en acciones)</t>
  </si>
  <si>
    <t>EBITDA - 設備投資</t>
  </si>
  <si>
    <t>手数料・その他の利益</t>
  </si>
  <si>
    <t>Комиссионные и другие доходы</t>
  </si>
  <si>
    <t>Honorarios y otros ingresos</t>
  </si>
  <si>
    <t>小売既存店売上成長率</t>
  </si>
  <si>
    <t>Рост продаж одних и тех же магазинов</t>
  </si>
  <si>
    <t>Crecimiento de las ventas en la misma tienda</t>
  </si>
  <si>
    <t>総売上高(開示ベース)</t>
  </si>
  <si>
    <t>Итоговая выручка согласно отчёту</t>
  </si>
  <si>
    <t xml:space="preserve">Ingresos totales Reportados </t>
  </si>
  <si>
    <t>EBITDA (開示ベース)</t>
  </si>
  <si>
    <t>EBITDA согласно отчёту</t>
  </si>
  <si>
    <t>EBITDA reportado</t>
  </si>
  <si>
    <t>貸倒引当金繰入額(医療機関の患者に対する金額)</t>
  </si>
  <si>
    <t>Резерв по сомнительным счетам - Доходы от обслуживания пациентов</t>
  </si>
  <si>
    <t>Provisión para cuentas dudosas - Ingresos del servicio al paciente</t>
  </si>
  <si>
    <t>当期純利益
(非継続事業からの損益等の異常項目を除く)</t>
  </si>
  <si>
    <t>Заработок родительской компании до вычета чрезвычайных статей</t>
  </si>
  <si>
    <t>Ganancias para la casa matriz antes de los artículos extraordinarios</t>
  </si>
  <si>
    <t>SFASに基づく当期純利益(オプション除き)</t>
  </si>
  <si>
    <t>Чистая прибыль на SFAS 123 (после опционов)</t>
  </si>
  <si>
    <t>Ingreso neto por SFAS 123 (después de las opciones)</t>
  </si>
  <si>
    <t>EBITDAR (inkl. Beteiligungserträge aus verbundenen Unternehmen)</t>
  </si>
  <si>
    <t>EBITDAR (incl. equity inc. da consociate)</t>
  </si>
  <si>
    <t>EBITDAR (ohne SBC und inkl. Beteiligungserträge aus verbundenen Unternehmen)</t>
  </si>
  <si>
    <t>EBITDAR (escl. SBC e incl. equity inc. da consociate)</t>
  </si>
  <si>
    <t>EBITDAR (ohne SBC)</t>
  </si>
  <si>
    <t>EBITDAR (escl. SBC)</t>
  </si>
  <si>
    <t>EBITDA – ANLAGEINVESTITIONEN</t>
  </si>
  <si>
    <t>Gebühren und sonstige Erträge</t>
  </si>
  <si>
    <t>Tariffe e altre entrate</t>
  </si>
  <si>
    <t>Wachstum des flächenbereinigten Umsatzes</t>
  </si>
  <si>
    <t>Same Store Sales Growth (crescita vendite al dettaglio in periodi di tempo paragonabili)</t>
  </si>
  <si>
    <t>Gemeldete Gesamterlöse</t>
  </si>
  <si>
    <t>Totale ricavi come riportato</t>
  </si>
  <si>
    <t>Gemeldete EBITDA</t>
  </si>
  <si>
    <t>EBITDA come riportato</t>
  </si>
  <si>
    <t>Rückstellungen für zweifelhafte Forderungen – Erlöse aus Patientenversorgung</t>
  </si>
  <si>
    <t>Fondo accumulato per svalutazione crediti - Patient Service Revenue (ricavi assistenza pazienti meno crediti inesigibili)</t>
  </si>
  <si>
    <t>Gewinnausschüttung an Muttergesellschaft vor außerordentlichen Posten</t>
  </si>
  <si>
    <t>Utili per la controllante prima delle componenti straordinarie</t>
  </si>
  <si>
    <t>Reingewinn nach SFAS 123 (nach Optionen)</t>
  </si>
  <si>
    <t>Risultato netto in base a SFAS 123 (dopo le Opzioni)</t>
  </si>
  <si>
    <t>EBITDAR(계열사의 투자수익 포함)</t>
  </si>
  <si>
    <t>EBITDAR(SBC 제외, 계열사의 투자수익 포함)</t>
  </si>
  <si>
    <t>EBITDAR(SBC 제외)</t>
  </si>
  <si>
    <t>수수료 및 기타 수익</t>
  </si>
  <si>
    <t>동일 매장 매출 성장</t>
  </si>
  <si>
    <t>보고된 총수입</t>
  </si>
  <si>
    <t>보고된 EBITDA</t>
  </si>
  <si>
    <t>대손충당금 - 환자 서비스 수익</t>
  </si>
  <si>
    <t>특별 손익 항목 전 모회사 수익</t>
  </si>
  <si>
    <t>SFAS 123 당 순이익(옵션 후)</t>
  </si>
  <si>
    <t>投资收益</t>
  </si>
  <si>
    <t>投資收益</t>
  </si>
  <si>
    <t>Revenus des investissements</t>
  </si>
  <si>
    <t>销售中不包括消费税</t>
  </si>
  <si>
    <t>銷售中不包括消費稅</t>
  </si>
  <si>
    <t>Taxes d'accises exclues des ventes</t>
  </si>
  <si>
    <t>销售中包含消费税</t>
  </si>
  <si>
    <t>銷售中包含消費稅</t>
  </si>
  <si>
    <t>Taxes d'accises incluses dans les ventes</t>
  </si>
  <si>
    <t>当期国内税</t>
  </si>
  <si>
    <t>當期國內稅</t>
  </si>
  <si>
    <t>Impôts intérieurs actuels</t>
  </si>
  <si>
    <t>当期外国税</t>
  </si>
  <si>
    <t>當期外國稅</t>
  </si>
  <si>
    <t>Impôts étrangers actuels</t>
  </si>
  <si>
    <t>当期税款总额</t>
  </si>
  <si>
    <t>當期稅款總額</t>
  </si>
  <si>
    <t>Total des impôts courants</t>
  </si>
  <si>
    <t>递延国内税</t>
  </si>
  <si>
    <t>遞延國內稅</t>
  </si>
  <si>
    <t>Impôts intérieurs différés</t>
  </si>
  <si>
    <t>递延外国税</t>
  </si>
  <si>
    <t>遞延外國稅</t>
  </si>
  <si>
    <t>Impôts étrangers différés</t>
  </si>
  <si>
    <t>递延税款总额</t>
  </si>
  <si>
    <t>遞延稅款總額</t>
  </si>
  <si>
    <t>Total des impôts différés</t>
  </si>
  <si>
    <t>非经常性所得税</t>
  </si>
  <si>
    <t>非經常性所得稅</t>
  </si>
  <si>
    <t>Impôts sur les revenus non récurrents</t>
  </si>
  <si>
    <t>正常化净收入</t>
  </si>
  <si>
    <t>正常化淨收入</t>
  </si>
  <si>
    <t>Revenu net normalisé</t>
  </si>
  <si>
    <t xml:space="preserve">稀释净收入 </t>
  </si>
  <si>
    <t>稀釋淨收入</t>
  </si>
  <si>
    <t>Revenu net dilué</t>
  </si>
  <si>
    <t>投資収益</t>
  </si>
  <si>
    <t>Доход от инвестиций</t>
  </si>
  <si>
    <t>Ingresos por inversiones</t>
  </si>
  <si>
    <t>消費税額(税抜処理された金額)</t>
  </si>
  <si>
    <t>Акцизные налоги, исключенные из выручки от продажи</t>
  </si>
  <si>
    <t>Impuestos especiales excluidos de las ventas</t>
  </si>
  <si>
    <t>消費税額(税込処理により売上に含まれる金額)</t>
  </si>
  <si>
    <t>Акцизные налоги, включенные в выручку от продажи</t>
  </si>
  <si>
    <t>Los impuestos especiales incluidos en las ventas</t>
  </si>
  <si>
    <t>法人税等(当年度分/国内)</t>
  </si>
  <si>
    <t>Текущие национальные налоги</t>
  </si>
  <si>
    <t>Impuestos internos corrientes</t>
  </si>
  <si>
    <t>法人税等(当年度分/海外)</t>
  </si>
  <si>
    <t>Текущие иностранные налоги</t>
  </si>
  <si>
    <t>Impuestos extranjeros corrientes</t>
  </si>
  <si>
    <t>法人税等(当年度分合計)</t>
  </si>
  <si>
    <t>Итого текущие налоги</t>
  </si>
  <si>
    <t>Total de impuestos corrientes</t>
  </si>
  <si>
    <t>法人税等(繰延税額分/国内)</t>
  </si>
  <si>
    <t>Отложенные национальные налоги</t>
  </si>
  <si>
    <t>Impuestos internos diferidos</t>
  </si>
  <si>
    <t>法人税等(繰延税額分/海外)</t>
  </si>
  <si>
    <t>Отложенные иностранные налоги</t>
  </si>
  <si>
    <t>Impuestos extranjeros diferidos</t>
  </si>
  <si>
    <t>法人税等(繰延税額分合計)</t>
  </si>
  <si>
    <t>Итого Отложенные налоги</t>
  </si>
  <si>
    <t>Total de impuestos diferidos</t>
  </si>
  <si>
    <t>非経常的法人税</t>
  </si>
  <si>
    <t>Вторичные подоходные налоги</t>
  </si>
  <si>
    <t>Impuestos sobre la renta no recurrentes</t>
  </si>
  <si>
    <t>標準化後当期純利益</t>
  </si>
  <si>
    <t>Нормализованная чистая прибыль</t>
  </si>
  <si>
    <t>Ingresos netos normalizados</t>
  </si>
  <si>
    <t>希薄化考慮後当期純利益</t>
  </si>
  <si>
    <t>Разводненная чистая прибыль</t>
  </si>
  <si>
    <t>Ingresos netos diluidos</t>
  </si>
  <si>
    <t>Investmenterträge</t>
  </si>
  <si>
    <t>Reddito da investimenti</t>
  </si>
  <si>
    <t>Umsatz ohne Verbrauchssteuern</t>
  </si>
  <si>
    <t>Accise escluse dalle vendite</t>
  </si>
  <si>
    <t>Umsatz inklusive Verbrauchssteuern</t>
  </si>
  <si>
    <t>Accise incluse nelle vendite</t>
  </si>
  <si>
    <t>Kurzfristige inländische Steuern</t>
  </si>
  <si>
    <t>Imposte nazionali correnti</t>
  </si>
  <si>
    <t>Kurzfristige ausländische Steuern</t>
  </si>
  <si>
    <t>Imposte estere correnti</t>
  </si>
  <si>
    <t>Summe der kurzfristigen Steuern</t>
  </si>
  <si>
    <t>Totale imposte correnti</t>
  </si>
  <si>
    <t>Latente inländische Steuern</t>
  </si>
  <si>
    <t>Imposte nazionali differite</t>
  </si>
  <si>
    <t>Latente ausländische Steuern</t>
  </si>
  <si>
    <t>Imposte estere differite</t>
  </si>
  <si>
    <t>Summe der latenten Steuern</t>
  </si>
  <si>
    <t>Totale imposte differite</t>
  </si>
  <si>
    <t>Einmalige Einkommenssteuern</t>
  </si>
  <si>
    <t>Imposte sul reddito non ricorrenti</t>
  </si>
  <si>
    <t>Normalisierter Reingewinn</t>
  </si>
  <si>
    <t>Risultato netto normalizzato</t>
  </si>
  <si>
    <t>Verwässerter Reingewinn</t>
  </si>
  <si>
    <t>Risultato netto diluito</t>
  </si>
  <si>
    <t>투자 수익</t>
  </si>
  <si>
    <t>매출에서 제외된 특별소비세</t>
  </si>
  <si>
    <t>매출에 포함된 특별소비세</t>
  </si>
  <si>
    <t>당기 내국세</t>
  </si>
  <si>
    <t>당기 외국세</t>
  </si>
  <si>
    <t>총 당기 세금</t>
  </si>
  <si>
    <t>이연내국세</t>
  </si>
  <si>
    <t>이연외국세</t>
  </si>
  <si>
    <t>총 이연법인세</t>
  </si>
  <si>
    <t>비경상 소득세</t>
  </si>
  <si>
    <t>정규화된 순이익</t>
  </si>
  <si>
    <t>희석 순이익</t>
  </si>
  <si>
    <t>利息资本化</t>
  </si>
  <si>
    <t>利息資本化</t>
  </si>
  <si>
    <t>Intérêts capitalisés</t>
  </si>
  <si>
    <t>长期债务利息</t>
  </si>
  <si>
    <t>長期債務利息</t>
  </si>
  <si>
    <t>Intérêts sur la dette à long terme</t>
  </si>
  <si>
    <t>租赁负债/债务利 息支出</t>
  </si>
  <si>
    <t>租賃負債/債務 利息支出</t>
  </si>
  <si>
    <t>Frais d'intérêt sur les dettes de location</t>
  </si>
  <si>
    <t>利息费用（包括资本利息）</t>
  </si>
  <si>
    <t>利息費用（包括資本利息）</t>
  </si>
  <si>
    <t>Frais d'intérêt (y compris les intérêts sur le capital)</t>
  </si>
  <si>
    <t>非现金养老金费用</t>
  </si>
  <si>
    <t>非現金養老金費用</t>
  </si>
  <si>
    <t>Frais de pension non monétaires</t>
  </si>
  <si>
    <t>息税折旧摊销前利润的折旧和摊销</t>
  </si>
  <si>
    <t>息稅折舊攤銷前利潤 的折舊和攤銷</t>
  </si>
  <si>
    <t>Amortissement et dépréciation pour l'EBITDA</t>
  </si>
  <si>
    <t>可分配现金</t>
  </si>
  <si>
    <t>可分配現金</t>
  </si>
  <si>
    <t>Liquidités distribuables</t>
  </si>
  <si>
    <t>正常化可分配现金</t>
  </si>
  <si>
    <t>正常化可分配現金</t>
  </si>
  <si>
    <t>Liquidités distribuables normalisées</t>
  </si>
  <si>
    <t>每单位年度化分派</t>
  </si>
  <si>
    <t>每單位年度化分派</t>
  </si>
  <si>
    <t>Distributions annualisées par unité</t>
  </si>
  <si>
    <t>原価算入分の借入資本利子</t>
  </si>
  <si>
    <t>Капитализированные проценты</t>
  </si>
  <si>
    <t>Interés capitalizado</t>
  </si>
  <si>
    <t>支払利息(長期有利子負債に対応分)</t>
  </si>
  <si>
    <t>Проценты по долгосрочному долгу</t>
  </si>
  <si>
    <t>Intereses de la deuda a largo plazo</t>
  </si>
  <si>
    <t>リース負債/負債に対する利息費用</t>
  </si>
  <si>
    <t>Процентные расходы по лизинговым обязательствам/долг</t>
  </si>
  <si>
    <t>Gastos de intereses en la responsabilidad de arrendamiento/deuda</t>
  </si>
  <si>
    <t>支払利息(キャピタル・リース取引から発生した分を含む)</t>
  </si>
  <si>
    <t>Процентные расходы (вкл. "Процентные расходы")</t>
  </si>
  <si>
    <t>Gastos de intereses (incluido el interés de capital)</t>
  </si>
  <si>
    <t>退職給付費用(現金非支出額)</t>
  </si>
  <si>
    <t>Расходы по безналичному пенсионному обеспечению</t>
  </si>
  <si>
    <t>Gastos de pensión en No-efectivo</t>
  </si>
  <si>
    <t>EBITDA計算過程に使用する減価償却費</t>
  </si>
  <si>
    <t>Износ и амортизация для EBITDA</t>
  </si>
  <si>
    <t>Depreciación y amortización para EBITDA</t>
  </si>
  <si>
    <t>分配可能現金額</t>
  </si>
  <si>
    <t>Распределяемые денежные средства</t>
  </si>
  <si>
    <t>Caja distribuible</t>
  </si>
  <si>
    <t>標準化後分配可能現金額</t>
  </si>
  <si>
    <t>Стандартизированные распределяемые денежные средства</t>
  </si>
  <si>
    <t>Caja distribuible estandarizado</t>
  </si>
  <si>
    <t>一株当たり配当金(年換算後)</t>
  </si>
  <si>
    <t>Годовые распределения на единицу</t>
  </si>
  <si>
    <t>Distribuciones anualizadas por unidad</t>
  </si>
  <si>
    <t>Kapitalisierte Zinsen</t>
  </si>
  <si>
    <t>Interesse capitalizzato</t>
  </si>
  <si>
    <t>Zinsen auf langfristige Anleihen</t>
  </si>
  <si>
    <t>Interessi sul debito a lungo termine</t>
  </si>
  <si>
    <t>Zinsaufwendungen für Leasingverbindlichkeiten/-schulden</t>
  </si>
  <si>
    <t>Interessi passivi su passività da locazioni/debito</t>
  </si>
  <si>
    <t>Zinsaufwendungen (inkl. Kap.-Zinsen)</t>
  </si>
  <si>
    <t>Interessi passivi (incl. interesse cap.)</t>
  </si>
  <si>
    <t>Unbarer Pensionsaufwand</t>
  </si>
  <si>
    <t>Spesa pensioni non in contanti</t>
  </si>
  <si>
    <t>Abschreibungen für EBITDA</t>
  </si>
  <si>
    <t>D&amp;A per EBITDA</t>
  </si>
  <si>
    <t>Ausschüttungsfähige Barmittel</t>
  </si>
  <si>
    <t>Contanti distribuibili</t>
  </si>
  <si>
    <t>Standardisiertes ausschüttungsfähige Barmittel</t>
  </si>
  <si>
    <t>Contanti distribuibili standardizzati</t>
  </si>
  <si>
    <t>Annualisierte Ausschüttungen pro Stück</t>
  </si>
  <si>
    <t>Distribuzioni annuali per unità</t>
  </si>
  <si>
    <t>원금 가산 이자</t>
  </si>
  <si>
    <t>장기부채 이자</t>
  </si>
  <si>
    <t>리스 부채 이자비용</t>
  </si>
  <si>
    <t>이자비용(원금 가산 이자 포함)</t>
  </si>
  <si>
    <t>비현금 연금 비용</t>
  </si>
  <si>
    <t>EBITDA의 D&amp;A</t>
  </si>
  <si>
    <t>배당가능 현금</t>
  </si>
  <si>
    <t>표준화된 배당가능 현금</t>
  </si>
  <si>
    <t>단위 당 연간 계산된 배당금</t>
  </si>
  <si>
    <t>可分配现金股息支付比率（收入信托）</t>
  </si>
  <si>
    <t>可分配現金股息支付比率（收入信託）</t>
  </si>
  <si>
    <t>Ratio de distribution des liquidités distribuables (fiducies de revenu)</t>
  </si>
  <si>
    <t>宣布的普通股股利</t>
  </si>
  <si>
    <t>Déclaration de dividende sur les actions ordinaires</t>
  </si>
  <si>
    <t>分配可能額に対する配当金支払額の割合</t>
  </si>
  <si>
    <t>Коэффициент распределения денежных выплат (трасты по доходам)</t>
  </si>
  <si>
    <t>Ratio de pago de caja distribuible (fideicomisos de ingresos)</t>
  </si>
  <si>
    <t>公表された配当金支払額</t>
  </si>
  <si>
    <t>Объявленные дивиденды по обыкновенным акциям</t>
  </si>
  <si>
    <t>Dividendos de las acciones comunes declaradas</t>
  </si>
  <si>
    <t>Auszahlungsquote für ausschüttungsfähige Barmittel (Income Trusts)</t>
  </si>
  <si>
    <t>Rapporto di pagamento contanti distribuibili (income trust)</t>
  </si>
  <si>
    <t>Angekündigte Dividende auf Stammaktien</t>
  </si>
  <si>
    <t>Dividendi ordinari dichiarati</t>
  </si>
  <si>
    <t>배당가능 현금 배당성향(수익신탁)</t>
  </si>
  <si>
    <t>보통주 배당 고시</t>
  </si>
  <si>
    <t>派息率（％）</t>
  </si>
  <si>
    <t>Ratio de distribution (%)</t>
  </si>
  <si>
    <t>债务发行成本</t>
  </si>
  <si>
    <t>債務發行成本</t>
  </si>
  <si>
    <t>Frais d'émission de la dette</t>
  </si>
  <si>
    <t>据呈报的货币</t>
  </si>
  <si>
    <t>據呈報的貨幣</t>
  </si>
  <si>
    <t>Monnaie de dépôt</t>
  </si>
  <si>
    <t>重述类型</t>
  </si>
  <si>
    <t>重述類型</t>
  </si>
  <si>
    <t>Type de retraitement</t>
  </si>
  <si>
    <t>计算类型</t>
  </si>
  <si>
    <t>計算類型</t>
  </si>
  <si>
    <t>Type de calcul</t>
  </si>
  <si>
    <t>财务会计准则</t>
  </si>
  <si>
    <t>財務會計準則</t>
  </si>
  <si>
    <t>Norme de comptabilité financière</t>
  </si>
  <si>
    <t>补充营业费用项目</t>
  </si>
  <si>
    <t>補充營業費用項目</t>
  </si>
  <si>
    <t>Postes supplémentaires de dépenses de fonctionnement</t>
  </si>
  <si>
    <t>配当性向</t>
  </si>
  <si>
    <t>Коэффициент покрытия (%)</t>
  </si>
  <si>
    <t>Ratio de pago de dividendos (%)</t>
  </si>
  <si>
    <t>債券発行費用</t>
  </si>
  <si>
    <t>Затраты на выпуск долговых обязательств</t>
  </si>
  <si>
    <t>Costos de emisión de deuda</t>
  </si>
  <si>
    <t>開示通貨</t>
  </si>
  <si>
    <t>Валюта отчетности</t>
  </si>
  <si>
    <t>Presentación de la moneda</t>
  </si>
  <si>
    <t>リステートメント・タイプ</t>
  </si>
  <si>
    <t>Тип отчетности</t>
  </si>
  <si>
    <t>Tipo de restauración</t>
  </si>
  <si>
    <t>計算・タイプ</t>
  </si>
  <si>
    <t>Вычислительный метод</t>
  </si>
  <si>
    <t>Tipo de cálculo</t>
  </si>
  <si>
    <t>開示会計基準</t>
  </si>
  <si>
    <t>Стандарт финансовой отчетности</t>
  </si>
  <si>
    <t>Estándar de contabilidad financiera</t>
  </si>
  <si>
    <t>補足営業費用項目</t>
  </si>
  <si>
    <t>Дополнительные эксплуатационные расходы</t>
  </si>
  <si>
    <t>Artículos de gastos de operación suplementarios</t>
  </si>
  <si>
    <t>Ausschüttungsquote (%)</t>
  </si>
  <si>
    <t>Rapporto di pagamento (%)</t>
  </si>
  <si>
    <t>Kosten für die Ausgabe von Anleihen</t>
  </si>
  <si>
    <t>Costi emissione debito</t>
  </si>
  <si>
    <t>Währung der Erklärung</t>
  </si>
  <si>
    <t>Valuta di inserimento</t>
  </si>
  <si>
    <t>Art der Neuformulierung</t>
  </si>
  <si>
    <t>Tipo di rideterminazione</t>
  </si>
  <si>
    <t>Berechnungstyp</t>
  </si>
  <si>
    <t>Tipo di calcolo</t>
  </si>
  <si>
    <t>Finanzbuchhaltungstandard</t>
  </si>
  <si>
    <t>Standard di contabilità finanziaria</t>
  </si>
  <si>
    <t>Posten für zusätzliche Betriebsaufwendungen</t>
  </si>
  <si>
    <t>Elementi di spesa operativa supplementari</t>
  </si>
  <si>
    <t>배당성향(%)</t>
  </si>
  <si>
    <t>부채 발행 비용</t>
  </si>
  <si>
    <t>고시 통화</t>
  </si>
  <si>
    <t>수정 재무제표 유형</t>
  </si>
  <si>
    <t>계산 유형</t>
  </si>
  <si>
    <t>재무회계 표준</t>
  </si>
  <si>
    <t>부가 운영비 항목</t>
  </si>
  <si>
    <t>营销费用</t>
  </si>
  <si>
    <t>營銷費用</t>
  </si>
  <si>
    <t>Frais de marketing</t>
  </si>
  <si>
    <t>销售与营销费用</t>
  </si>
  <si>
    <t>銷售與營銷費用</t>
  </si>
  <si>
    <t>Frais de vente et de marketing</t>
  </si>
  <si>
    <t>マーケティング費用</t>
  </si>
  <si>
    <t>Маркетинговые расходы</t>
  </si>
  <si>
    <t>Gastos de marketing</t>
  </si>
  <si>
    <t>販売・マーケティング費用</t>
  </si>
  <si>
    <t>Расходы на продажу и маркетинг</t>
  </si>
  <si>
    <t>Gastos de venta y marketing</t>
  </si>
  <si>
    <t>Marketingaufwendungen</t>
  </si>
  <si>
    <t>Spese di marketing</t>
  </si>
  <si>
    <t>Verkaufs- und Marketingaufwendungen</t>
  </si>
  <si>
    <t>Spese di vendita e marketing</t>
  </si>
  <si>
    <t>마케팅 비용</t>
  </si>
  <si>
    <t>판매 및 마케팅 비용</t>
  </si>
  <si>
    <t>研发费用(注脚)</t>
  </si>
  <si>
    <t>研發費用(註腳)</t>
  </si>
  <si>
    <t>Dépenses de R&amp;D (Note de bas de page)</t>
  </si>
  <si>
    <t>净租金支出，总计</t>
  </si>
  <si>
    <t>淨租金支出，總計</t>
  </si>
  <si>
    <t>Frais de location nets, total</t>
  </si>
  <si>
    <t>净租金支出</t>
  </si>
  <si>
    <t>淨租金支出</t>
  </si>
  <si>
    <t>Frais de location nets</t>
  </si>
  <si>
    <t>净租金支出(补充)</t>
  </si>
  <si>
    <t>淨租金支出(補充)</t>
  </si>
  <si>
    <t>Frais de location nets (Supplément)</t>
  </si>
  <si>
    <t>或有租金费用</t>
  </si>
  <si>
    <t>或有租金費用</t>
  </si>
  <si>
    <t>Frais de location éventuels</t>
  </si>
  <si>
    <t>最低租金费用</t>
  </si>
  <si>
    <t>最低租金費用</t>
  </si>
  <si>
    <t>Frais de location minimum</t>
  </si>
  <si>
    <t>其他租金费用</t>
  </si>
  <si>
    <t>其他租金費用</t>
  </si>
  <si>
    <t>Autres frais de location</t>
  </si>
  <si>
    <t>飞机租赁费用</t>
  </si>
  <si>
    <t>飛機租賃費用</t>
  </si>
  <si>
    <t>Frais de location des aéronefs</t>
  </si>
  <si>
    <t>租赁资产折旧</t>
  </si>
  <si>
    <t>租賃資產折舊</t>
  </si>
  <si>
    <t>Amortissement des biens locatifs</t>
  </si>
  <si>
    <t>勘探/钻探费用</t>
  </si>
  <si>
    <t>勘探/鑽探費用</t>
  </si>
  <si>
    <t>Frais d'exploration/forage</t>
  </si>
  <si>
    <t>保养和维修费用</t>
  </si>
  <si>
    <t>保養和維修費用</t>
  </si>
  <si>
    <t>Frais de maintenance et de réparation</t>
  </si>
  <si>
    <t>估算的经营租赁利息费用</t>
  </si>
  <si>
    <t>估算的經營租賃利息費用</t>
  </si>
  <si>
    <t>Frais d'intérêt sur les contrats de leasing opérationnel imputés</t>
  </si>
  <si>
    <t>估算的经营租赁折旧</t>
  </si>
  <si>
    <t>估算的經營租賃折舊</t>
  </si>
  <si>
    <t>Amortissement des contrats de leasing opérationnel imputé</t>
  </si>
  <si>
    <t>薪金及其他员工福利</t>
  </si>
  <si>
    <t>薪金及其他員工福利</t>
  </si>
  <si>
    <t>Salaires et autres avantages sociaux</t>
  </si>
  <si>
    <t>研究開発費(注記)</t>
  </si>
  <si>
    <t>Расходы на НИОКР (Примечание)</t>
  </si>
  <si>
    <t>Gastos de I+D (Nota al pie)</t>
  </si>
  <si>
    <t>リース料(合計)</t>
  </si>
  <si>
    <t>Чистые расходы на аренду, всего</t>
  </si>
  <si>
    <t>Gastos netos de alquiler, total</t>
  </si>
  <si>
    <t>リース料</t>
  </si>
  <si>
    <t>Чистые расходы на аренду</t>
  </si>
  <si>
    <t>Gastos netos de alquiler</t>
  </si>
  <si>
    <t>リース料(注記)</t>
  </si>
  <si>
    <t>Чистые расходы на аренду (Дополнительно)</t>
  </si>
  <si>
    <t>Gasto neto de alquiler (Suplemento)</t>
  </si>
  <si>
    <t>変動リース料</t>
  </si>
  <si>
    <t>Условные расходы на аренду</t>
  </si>
  <si>
    <t>Gastos de alquiler contingentes</t>
  </si>
  <si>
    <t>最低リース料</t>
  </si>
  <si>
    <t>Минимальные расходы на аренду</t>
  </si>
  <si>
    <t>Gastos mínimos de alquiler</t>
  </si>
  <si>
    <t>その他リース料</t>
  </si>
  <si>
    <t>Другие расходы на аренду</t>
  </si>
  <si>
    <t>Otros gastos de alquiler</t>
  </si>
  <si>
    <t>航空機のリース料</t>
  </si>
  <si>
    <t>Расходы на аренду воздушного судна</t>
  </si>
  <si>
    <t>Gastos de alquiler de aviones</t>
  </si>
  <si>
    <t>リース資産にかかる減価償却費</t>
  </si>
  <si>
    <t>Амортизация арендных активов</t>
  </si>
  <si>
    <t>Depreciación de los activos de alquiler</t>
  </si>
  <si>
    <t>踏査/掘削費</t>
  </si>
  <si>
    <t>Расходы на разведку/бурение</t>
  </si>
  <si>
    <t>Gastos de exploración y perforación</t>
  </si>
  <si>
    <t>修繕費</t>
  </si>
  <si>
    <t>Расходы на техническое обслуживание и ремонт</t>
  </si>
  <si>
    <t>Gastos de mantenimiento y reparación</t>
  </si>
  <si>
    <t>賃貸借リース取引にかかる支払利息</t>
  </si>
  <si>
    <t>Вмененные процентные расходы по операционной аренде</t>
  </si>
  <si>
    <t xml:space="preserve">Operaciones imputadas. Gastos de Interés de arrendamiento </t>
  </si>
  <si>
    <t>賃貸借リース取引にかかる減価償却費</t>
  </si>
  <si>
    <t>Амортизация по операционной аренде</t>
  </si>
  <si>
    <t>Operaciones imputadas. Depreciación de Arrendamiento</t>
  </si>
  <si>
    <t>従業員に対する給与・福利厚生費用</t>
  </si>
  <si>
    <t>Зарплаты и другие льготы</t>
  </si>
  <si>
    <t>Sueldos y otras prestaciones para los empleados</t>
  </si>
  <si>
    <t>F&amp;E-Aufwendungen (Fußnote)</t>
  </si>
  <si>
    <t>Spese ricerca e sviluppo (Nota di bilancio)</t>
  </si>
  <si>
    <t>Nettomietaufwendungen, Summe</t>
  </si>
  <si>
    <t>Spese noleggio nette, totale</t>
  </si>
  <si>
    <t>Nettomietaufwendungen</t>
  </si>
  <si>
    <t>Spese noleggio nette</t>
  </si>
  <si>
    <t>Nettomietaufwendungen (Zus.)</t>
  </si>
  <si>
    <t>Spese noleggio nette (flessibile)</t>
  </si>
  <si>
    <t>Bedingte Mietaufwendungen</t>
  </si>
  <si>
    <t>Spese noleggio potenziali</t>
  </si>
  <si>
    <t>Mindestmietaufwendungen</t>
  </si>
  <si>
    <t>Spese noleggio minime</t>
  </si>
  <si>
    <t>Andere Mietaufwendungen</t>
  </si>
  <si>
    <t>Altre spese noleggio</t>
  </si>
  <si>
    <t>Mietaufwendungen für Flugzeuge</t>
  </si>
  <si>
    <t>Spese noleggio velivoli</t>
  </si>
  <si>
    <t>Abschreibung von Mietvermögen</t>
  </si>
  <si>
    <t>Ammortamento attività di noleggio</t>
  </si>
  <si>
    <t>Explorations-/Bohraufwand</t>
  </si>
  <si>
    <t>Spese di esplorazione/trivellazione</t>
  </si>
  <si>
    <t>Kosten für Wartung und Reparatur</t>
  </si>
  <si>
    <t>Spese di riparazione e manutenzione</t>
  </si>
  <si>
    <t>Annahmen zum betrieblichen Mietaufwand</t>
  </si>
  <si>
    <t>Interesse passivo locazioni oper. contabile</t>
  </si>
  <si>
    <t>Annahmen zu betrieblichen Mietabschreibungen</t>
  </si>
  <si>
    <t>Ammortamento locazioni oper. contabile</t>
  </si>
  <si>
    <t>Gehälter und andere Leistungen für Mitarbeiter</t>
  </si>
  <si>
    <t>Stipendi e altri benefici dei dipendenti</t>
  </si>
  <si>
    <t>R&amp;D 비용(주석)</t>
  </si>
  <si>
    <t>순 임대 비용, 총계</t>
  </si>
  <si>
    <t>순 임대 비용</t>
  </si>
  <si>
    <t>순 임대 비용(부가)</t>
  </si>
  <si>
    <t>조건부 임대 비용</t>
  </si>
  <si>
    <t>최소 임대 비용</t>
  </si>
  <si>
    <t>기타 임대 비용</t>
  </si>
  <si>
    <t>항공기 임대 비용</t>
  </si>
  <si>
    <t>임대 자산 감가상각</t>
  </si>
  <si>
    <t>탐사/시추 비용</t>
  </si>
  <si>
    <t>유지보수 및 수리 비용</t>
  </si>
  <si>
    <t>귀속 운영 리스 이자 비용</t>
  </si>
  <si>
    <t>귀속 운영 리스 감가상각</t>
  </si>
  <si>
    <t>급여 및 기타 직원 수당</t>
  </si>
  <si>
    <t>重组费用（补充）</t>
  </si>
  <si>
    <t>重組費用（補充）</t>
  </si>
  <si>
    <t>Frais de restructuration (Supplément)</t>
  </si>
  <si>
    <t>合并及相关重组费用（补充）</t>
  </si>
  <si>
    <t>合併及相關重組費用（補充）</t>
  </si>
  <si>
    <t>Frais de fusion et de restructuration (Supplément)</t>
  </si>
  <si>
    <t>商誉减值（补充）</t>
  </si>
  <si>
    <t>商譽減值（補充）</t>
  </si>
  <si>
    <t>Dépréciation de la survaleur ( Supplément)</t>
  </si>
  <si>
    <t>资产减值, 总计（补充）</t>
  </si>
  <si>
    <t>資產減值, 總計（補充）</t>
  </si>
  <si>
    <t>Dépréciation d'actifs, total ( Supplément)</t>
  </si>
  <si>
    <t>进行中的研发费用（补充）</t>
  </si>
  <si>
    <t>進行中的研發費用（補充）</t>
  </si>
  <si>
    <t>Dépenses de R &amp; D en cours (Supplément)</t>
  </si>
  <si>
    <t>廉价购买利益</t>
  </si>
  <si>
    <t>廉價購買利益</t>
  </si>
  <si>
    <t>Gain sur l'Acquisition de bonnes affaires</t>
  </si>
  <si>
    <t>廉价购买利益-补充</t>
  </si>
  <si>
    <t>廉價購買利益-補充</t>
  </si>
  <si>
    <t>Gain sur l'Acquisition de bonnes affaires - Supplément</t>
  </si>
  <si>
    <t>保险结算（补充）</t>
  </si>
  <si>
    <t>保險結算（補充）</t>
  </si>
  <si>
    <t>Règlements d'assurance (Supplément)</t>
  </si>
  <si>
    <t>法律和解（补充）</t>
  </si>
  <si>
    <t>法律和解（補充）</t>
  </si>
  <si>
    <t>Règlements juridiques (Supplément)</t>
  </si>
  <si>
    <t>其他异常项目（补充）</t>
  </si>
  <si>
    <t>其他異常項目（補充）</t>
  </si>
  <si>
    <t>Autres éléments inhabituels (Supplément)</t>
  </si>
  <si>
    <t>异常项目，总计（补充）</t>
  </si>
  <si>
    <t>異常項目，總計（補充）</t>
  </si>
  <si>
    <t>Éléments inhabituels, total (Supplément)</t>
  </si>
  <si>
    <t>负商誉摊销</t>
  </si>
  <si>
    <t>負商譽攤銷</t>
  </si>
  <si>
    <t>Amortissement du fonds de commerce négatif</t>
  </si>
  <si>
    <t>负商誉的摊销-税后</t>
  </si>
  <si>
    <t>負商譽的攤銷-稅後</t>
  </si>
  <si>
    <t>Amortissement du fonds de commerce négatif - après impôt</t>
  </si>
  <si>
    <t>股票补偿, 销货成本</t>
  </si>
  <si>
    <t>股票補償, 銷貨成本</t>
  </si>
  <si>
    <t>Rémunération à base d'actions, coûts de production (COGS)</t>
  </si>
  <si>
    <t>股票补偿, 研发费用</t>
  </si>
  <si>
    <t>股票補償, 研發費用</t>
  </si>
  <si>
    <t>Rémunération à base d'actions, dépenses de R&amp;D</t>
  </si>
  <si>
    <t>股票补偿, 销售与营销费用</t>
  </si>
  <si>
    <t>股票補償, 銷售與營銷費用</t>
  </si>
  <si>
    <t>Rémunération à base d'actions, frais de vente et de marketing</t>
  </si>
  <si>
    <t>股票补偿, 一般行政费用</t>
  </si>
  <si>
    <t>股票補償, 一般行政費用</t>
  </si>
  <si>
    <t>Rémunération à base d'actions, frais généraux et administratifs</t>
  </si>
  <si>
    <t>股票补偿, 销售及一般行政费用</t>
  </si>
  <si>
    <t>股票補償, 銷售及一般行政費用</t>
  </si>
  <si>
    <t>Rémunération à base d'actions, frais de vente, frais généraux et administratifs</t>
  </si>
  <si>
    <t>股票补偿, 勘探/钻探费用</t>
  </si>
  <si>
    <t>股票補償, 勘探/鑽探費用</t>
  </si>
  <si>
    <t>Rémunération à base d'actions, frais d'exploration/forage</t>
  </si>
  <si>
    <t>股票补偿，未分配</t>
  </si>
  <si>
    <t>股票補償，未分配</t>
  </si>
  <si>
    <t>Rémunération à base d'actions, non allouée</t>
  </si>
  <si>
    <t>股票补偿，税后</t>
  </si>
  <si>
    <t>股票補償，稅後</t>
  </si>
  <si>
    <t>Rémunération à base d'actions, après impôt</t>
  </si>
  <si>
    <t>股票补偿，总计</t>
  </si>
  <si>
    <t>股票補償，總計</t>
  </si>
  <si>
    <t>Rémunération à base d'actions, Total</t>
  </si>
  <si>
    <t>限制性股票补偿费用，税前</t>
  </si>
  <si>
    <t>限制性股票補償費用，稅前</t>
  </si>
  <si>
    <t>Restructuration Frais de rémunération en actions, avant impôt</t>
  </si>
  <si>
    <t>限制性股票补偿费用有效税收</t>
  </si>
  <si>
    <t>限制性股票補償費用有效稅收</t>
  </si>
  <si>
    <t>Restructuration Rémunération en actions Effet fiscal</t>
  </si>
  <si>
    <t>限制性股票补偿费用，税后</t>
  </si>
  <si>
    <t>限制性股票補償費用，稅後</t>
  </si>
  <si>
    <t>Restructuration Frais de rémunération en actions, après impôts</t>
  </si>
  <si>
    <t>税前股票期权补偿费用</t>
  </si>
  <si>
    <t>稅前股票期權補償費用</t>
  </si>
  <si>
    <t>Frais de rémunération des options d'achat d'actions, avant impôt</t>
  </si>
  <si>
    <t>股票期权补偿费用有效税收</t>
  </si>
  <si>
    <t>股票期權補償費用有效稅收</t>
  </si>
  <si>
    <t>Effet fiscal des frais de rémunération en options d'achat d'actions</t>
  </si>
  <si>
    <t>税后股票期权补偿费用</t>
  </si>
  <si>
    <t>稅後股票期權補償費用</t>
  </si>
  <si>
    <t>Frais de rémunération des options d'achat d'actions, après impôts</t>
  </si>
  <si>
    <t>税前基于股票的补偿费用</t>
  </si>
  <si>
    <t>稅前基於股票的補償費用</t>
  </si>
  <si>
    <t>Frais de rémunération à base d'actions, avant impôt</t>
  </si>
  <si>
    <t>基于股票的补偿费用有效税收</t>
  </si>
  <si>
    <t>基於股票的補償費用有效稅收</t>
  </si>
  <si>
    <t>Rémunération à base d'actions - Effet fiscal</t>
  </si>
  <si>
    <t>税后基于股票的补偿费用</t>
  </si>
  <si>
    <t>稅後基於股票的補償費用</t>
  </si>
  <si>
    <t>Frais de rémunération à base d'actions, après impôts</t>
  </si>
  <si>
    <t>構造改革費用(注記)</t>
  </si>
  <si>
    <t>Реструктуризация расходов (Дополнение)</t>
  </si>
  <si>
    <t>Cargos por reestructuración (Suplemento)</t>
  </si>
  <si>
    <t>M&amp;A関連費用(注記)</t>
  </si>
  <si>
    <t>Расходы на слияние и реструктуризацию (Дополнение)</t>
  </si>
  <si>
    <t>Fusión y reestructuración relacionada. Cargos (Suplemento)</t>
  </si>
  <si>
    <t>のれんの減損損失(注記)</t>
  </si>
  <si>
    <t>Обесценение гудвила (Дополнение)</t>
  </si>
  <si>
    <t>Deterioro de Bienes de Uso (Suplemento)</t>
  </si>
  <si>
    <t>固定資産の減損損失(注記)</t>
  </si>
  <si>
    <t>Обесценение активов, всего (Дополнение)</t>
  </si>
  <si>
    <t>Reducción de activos, total (Suplemento)</t>
  </si>
  <si>
    <t>仕掛研究開発費(注記)</t>
  </si>
  <si>
    <t>Текущие расходы на НИОКР (Дополнение)</t>
  </si>
  <si>
    <t>Gastos de I+D en proceso (Suplemento)</t>
  </si>
  <si>
    <t>廉価買収益</t>
  </si>
  <si>
    <t>Прибыль от приобретения</t>
  </si>
  <si>
    <t>Ganancia en la adquisición de la negociación</t>
  </si>
  <si>
    <t>廉価買収益(注記)</t>
  </si>
  <si>
    <t>Прибыль от приобретения - Дополнение</t>
  </si>
  <si>
    <t>Ganar en la adquisición de negociación - Suplemento</t>
  </si>
  <si>
    <t>保険差損益(注記)</t>
  </si>
  <si>
    <t>Страховые расчеты (дополнение)</t>
  </si>
  <si>
    <t>Acuerdos de seguros (Suplemento)</t>
  </si>
  <si>
    <t>法務費用(注記)</t>
  </si>
  <si>
    <t>Правовые расчеты (Дополнение)</t>
  </si>
  <si>
    <t>Acuerdos legales (Suplemento)</t>
  </si>
  <si>
    <t>その他特別損益項目合計(注記)</t>
  </si>
  <si>
    <t>Прочие необычные предметы (Дополнение)</t>
  </si>
  <si>
    <t>Otros artículos inusuales (Suplemento)</t>
  </si>
  <si>
    <t>特別損益項目合計(注記)</t>
  </si>
  <si>
    <t>Необычные статьи, Всего (Дополнение)</t>
  </si>
  <si>
    <t>Artículos inusuales, Total (Suplemento)</t>
  </si>
  <si>
    <t>負ののれんの償却額</t>
  </si>
  <si>
    <t>Амортизация отрицательного гудвила</t>
  </si>
  <si>
    <t>Amortización de bienes de uso negativo</t>
  </si>
  <si>
    <t>負ののれんの償却額(税引後)</t>
  </si>
  <si>
    <t>Амортизация отрицательного гудвила - после налогообложения</t>
  </si>
  <si>
    <t>Amortización de bienes de uso negativo - Después de impuestos</t>
  </si>
  <si>
    <t>株式報酬費用(売上原価に帰属)</t>
  </si>
  <si>
    <t>Компенсация на основе акций, COGS</t>
  </si>
  <si>
    <t>Compensación basada en acciones, Costo de Mercadería Vendida</t>
  </si>
  <si>
    <t>株式報酬費用(研究開発費に帰属)</t>
  </si>
  <si>
    <t>Компенсация на основе акций, расходы на НИОКР</t>
  </si>
  <si>
    <t>Compensación basada en acciones, Gastos de I+D</t>
  </si>
  <si>
    <t>株式報酬費用(販売費及びマーケティング費用に帰属)</t>
  </si>
  <si>
    <t>Компенсации на основе акций, расходы на продажи и маркетинг</t>
  </si>
  <si>
    <t xml:space="preserve">Compensación basada en acciones, Gastos de Ventas y Marketing </t>
  </si>
  <si>
    <t>株式報酬費用(一般管理費に帰属)</t>
  </si>
  <si>
    <t>Компенсация на основе акций, общие и административные расходы</t>
  </si>
  <si>
    <t xml:space="preserve">Compensación basada en acciones, Gastos Generales y Administrativos </t>
  </si>
  <si>
    <t>株式報酬費用(販売費及び一般管理費に帰属)</t>
  </si>
  <si>
    <t>Компенсация на основе акций, Продажа, Общие и административные расходы</t>
  </si>
  <si>
    <t xml:space="preserve">Compensación basada en acciones, Gastos de Ventas, generales y adminsitrativos </t>
  </si>
  <si>
    <t>株式報酬費用(踏査/掘削費)</t>
  </si>
  <si>
    <t>Компенсация на основе акций, расходы на геологоразведку/бурение</t>
  </si>
  <si>
    <t>Compensación basada en acciones, Gastos de Exploración y Perforación</t>
  </si>
  <si>
    <t>株式報酬費用(その他)</t>
  </si>
  <si>
    <t>Компенсация на основе акций, нераспределенная</t>
  </si>
  <si>
    <t>Compensación basada en stock, no asignada</t>
  </si>
  <si>
    <t>株式報酬費用(税引後)</t>
  </si>
  <si>
    <t>Компенсация на основе акций, после уплаты налогов</t>
  </si>
  <si>
    <t>Compensación basada en acciones después de impuestos</t>
  </si>
  <si>
    <t>株式報酬費用(総額)</t>
  </si>
  <si>
    <t>Компенсация на основе акций, Всего</t>
  </si>
  <si>
    <t>Compensación basada en acciones Total</t>
  </si>
  <si>
    <t>譲渡制限付株式報酬費用(税引前)</t>
  </si>
  <si>
    <t>Реструктуризация компенсаций по акциям Расходы до налогообложения</t>
  </si>
  <si>
    <t>Gastos de compensación de acciones restringidos, antes de impuestos</t>
  </si>
  <si>
    <t>譲渡制限付株式報酬費用(税金相当分)</t>
  </si>
  <si>
    <t xml:space="preserve">Реструктуризация компенсаций по акциям Налоговый эффект </t>
  </si>
  <si>
    <t>Gastos de compensación de acciones restringidos, Efecto del impuesto sobre la renta</t>
  </si>
  <si>
    <t>譲渡制限付株式報酬費用(税引後)</t>
  </si>
  <si>
    <t>Реструктуризация компенсаций по акциям Расходы после налогообложения</t>
  </si>
  <si>
    <t>Gastos de compensación de acciones restringidos, después de impuestos</t>
  </si>
  <si>
    <t>ストック・オプション付与による賞与支払(税引前)</t>
  </si>
  <si>
    <t>Компенсация опционов на акции Расходы до налогообложения</t>
  </si>
  <si>
    <t>Gastos de compensación de opciones sobre acciones, antes de impuestos</t>
  </si>
  <si>
    <t>ストック・オプション付与による賞与支払(税金相当分)</t>
  </si>
  <si>
    <t>Компенсация опционов на акции Налоговый эффект</t>
  </si>
  <si>
    <t xml:space="preserve">Gastos de compensación de opciones sobre acciones, Efecto Impositivo </t>
  </si>
  <si>
    <t>ストック・オプション付与による賞与支払(税引後)</t>
  </si>
  <si>
    <t>Компенсация опционов на акции Расходы, после уплаты налога</t>
  </si>
  <si>
    <t>Gastos de compensación de opciones sobre acciones, Después de impuestos</t>
  </si>
  <si>
    <t>株式報酬費用合計(税引前)</t>
  </si>
  <si>
    <t>Компенсация на основе акций Расходы до налогообложения</t>
  </si>
  <si>
    <t>Gastos de compensación basados ​​en acciones, antes de impuestos</t>
  </si>
  <si>
    <t>株式報酬費用合計(税金相当分)</t>
  </si>
  <si>
    <t>Компенсация на основе акций Налоговый эффект</t>
  </si>
  <si>
    <t xml:space="preserve">Gastos de compensación basados ​​en acciones, Efecto de los impuestos </t>
  </si>
  <si>
    <t>株式報酬費用合計(税引後)</t>
  </si>
  <si>
    <t>Компенсация на основе акций Расходы после уплаты налогов</t>
  </si>
  <si>
    <t>Gastos de compensación basados ​​en acciones, Después de impuestos</t>
  </si>
  <si>
    <t>Umstrukturierungskosten (Zus.)</t>
  </si>
  <si>
    <t>Costi di ristrutturazione (flessibili)</t>
  </si>
  <si>
    <t>Fusions- und damit verbundene Sanierungskosten (Zus.)</t>
  </si>
  <si>
    <t>Costi di fusione e relative ristrutturazioni (flessibili)</t>
  </si>
  <si>
    <t>Minderung des ideellen Unternehmenswerts(Zus.)</t>
  </si>
  <si>
    <t>Rettif. di valore dell'avviamento (flessibile)</t>
  </si>
  <si>
    <t>Vermögensabschreibung, Summe (Zus.)</t>
  </si>
  <si>
    <t>Svalutazione delle immobilizzazioni, totale (flessibile)</t>
  </si>
  <si>
    <t>Laufender F&amp;E-Aufwand (Zus.)</t>
  </si>
  <si>
    <t>Spese per ricerca e sviluppo in corso (flessibile)</t>
  </si>
  <si>
    <t>Gewinn aus dem Erwerb von Schnäppchen</t>
  </si>
  <si>
    <t>Utile per acquisto a prezzi favorevoli</t>
  </si>
  <si>
    <t>Gewinn beim Erwerb von Schnäppchen (Zus.)</t>
  </si>
  <si>
    <t>Utile per acquisto a prezzi favorevoli - Flessibile</t>
  </si>
  <si>
    <t>Versicherungsabrechnungen (Zus.)</t>
  </si>
  <si>
    <t>Indennizzi assicurativi (flessibile)</t>
  </si>
  <si>
    <t>Verfahrensvergleiche (Zus.)</t>
  </si>
  <si>
    <t>Indennizzi legali (flessibile)</t>
  </si>
  <si>
    <t>Sonstige außerordentliche Positionen (Zus.)</t>
  </si>
  <si>
    <t>Altre componenti non usuali (flessibile)</t>
  </si>
  <si>
    <t>Außerordentliche Positionen, Summe (Zus.)</t>
  </si>
  <si>
    <t>Componenti non usuali, totale (flessibile)</t>
  </si>
  <si>
    <t>Abschreibung von negativem ideellen Unternehmenswert</t>
  </si>
  <si>
    <t>Ammortamento avviamento negativo</t>
  </si>
  <si>
    <t>Abschreibung von negativem ideellen Unternehmenswert – nach Steuern</t>
  </si>
  <si>
    <t>Ammortamento avviamento negativo - Al netto delle imposte</t>
  </si>
  <si>
    <t>Aktienvergütungen, Gestehungskosten</t>
  </si>
  <si>
    <t>Comp. basata su azioni, COGS (costo del venduto)</t>
  </si>
  <si>
    <t>Aktienvergütungen, F&amp;E-Aufwendungen</t>
  </si>
  <si>
    <t>Comp. basata su azioni, spese ricerca e sviluppo</t>
  </si>
  <si>
    <t>Aktienvergütungen, S&amp;M-Aufwendungen</t>
  </si>
  <si>
    <t>Comp. basata su azioni, spese vendite e marketing</t>
  </si>
  <si>
    <t>Aktienvergütungen, G&amp;A-Aufwendungen</t>
  </si>
  <si>
    <t>Comp. basata su azioni, spese generali e amministrative</t>
  </si>
  <si>
    <t>Aktienvergütungen, SG&amp;A-Aufwendungen</t>
  </si>
  <si>
    <t>Comp. basata su azioni, spese generali, vendite e marketing</t>
  </si>
  <si>
    <t>Aktienvergütungen, Explorations-/Bohrungensaufwendungen</t>
  </si>
  <si>
    <t>Comp. basata su azioni, spese di esplorazione/trivellazione</t>
  </si>
  <si>
    <t>Aktienvergütungen, nicht zugeordnet</t>
  </si>
  <si>
    <t>Comp. basata su azioni, non allocato</t>
  </si>
  <si>
    <t>Aktienvergütungen, nach Steuern</t>
  </si>
  <si>
    <t>Comp. basata su azioni, al netto delle imposte</t>
  </si>
  <si>
    <t>Aktienvergütungen, Summe</t>
  </si>
  <si>
    <t>Comp. basata su azioni, totale</t>
  </si>
  <si>
    <t>Aufwand für Aktienvergütungen mit Sperrfrist, vor Steuern</t>
  </si>
  <si>
    <t>Spese comp. azioni vincolate, al lordo delle imposte</t>
  </si>
  <si>
    <t>Aufwand für Aktienvergütungen mit Sperrfrist, Steuereffekt</t>
  </si>
  <si>
    <t>Effetto fiscale spese comp. azioni vincolate</t>
  </si>
  <si>
    <t>Aufwand für Aktienvergütungen mit Sperrfrist, nach Steuern</t>
  </si>
  <si>
    <t>Spese comp. azioni vincolate, al netto delle imposte</t>
  </si>
  <si>
    <t>Aufwand für Vergütung mit Aktienoptionen, vor Steuern</t>
  </si>
  <si>
    <t>Spese comp. opzioni su azioni, al lordo delle imposte</t>
  </si>
  <si>
    <t>Aufwand für Vergütung mit Aktienoptionen, Steuereffekt</t>
  </si>
  <si>
    <t>Effetto fiscale spese comp. opzioni su azioni</t>
  </si>
  <si>
    <t>Aufwand für Vergütung mit Aktienoptionen, nach Steuern</t>
  </si>
  <si>
    <t>Spese comp. opzioni su azioni, al netto delle imposte</t>
  </si>
  <si>
    <t>Aufwand für Aktienvergütungen, vor Steuern</t>
  </si>
  <si>
    <t>Spese comp. basata su azioni, al lordo delle imposte</t>
  </si>
  <si>
    <t>Aufwand für Aktienvergütungen, Steuereffekt</t>
  </si>
  <si>
    <t>Effetto fiscale spese comp. basata su azioni</t>
  </si>
  <si>
    <t>Aufwand für Aktienvergütungen, nach Steuern</t>
  </si>
  <si>
    <t>Spese comp. basata su azioni, al netto delle imposte</t>
  </si>
  <si>
    <t>구조조정 비용(부가)</t>
  </si>
  <si>
    <t>합병 및 관련 구조조정 비용(부가)</t>
  </si>
  <si>
    <t>영업권 손실(부가)</t>
  </si>
  <si>
    <t>자산 상계액, 총계(부가)</t>
  </si>
  <si>
    <t>진행 중인 연구개발비(부가)</t>
  </si>
  <si>
    <t>계약 인수 이익</t>
  </si>
  <si>
    <t>계약 인수 이익 - 부가</t>
  </si>
  <si>
    <t>보험 결산(부가)</t>
  </si>
  <si>
    <t>법적 결산(부가)</t>
  </si>
  <si>
    <t>기타 비일반적 항목(부가)</t>
  </si>
  <si>
    <t>비일반적 항목, 총계(부가)</t>
  </si>
  <si>
    <t>부의 영업권 상각</t>
  </si>
  <si>
    <t>부의 영업권 상각 - 세후</t>
  </si>
  <si>
    <t>배당금수익, COGS</t>
  </si>
  <si>
    <t>배당금수익, R&amp;D 비용</t>
  </si>
  <si>
    <t>배당금수익, S&amp;M 비용</t>
  </si>
  <si>
    <t>배당금수익, G&amp;A 비용</t>
  </si>
  <si>
    <t>배당금수익, SG&amp;A 비용</t>
  </si>
  <si>
    <t>배당금수익, 탐사/시추 비용</t>
  </si>
  <si>
    <t>배당금수익, 할당되지 않음</t>
  </si>
  <si>
    <t>배당금수익, 세후</t>
  </si>
  <si>
    <t>배당금수익, 총계</t>
  </si>
  <si>
    <t>양도제한 주식 보상비, 세전</t>
  </si>
  <si>
    <t>양도제한 주식 보상비 절세효과</t>
  </si>
  <si>
    <t>양도제한 주식 보상비, 세후</t>
  </si>
  <si>
    <t>스톡옵션 보상비, 세전</t>
  </si>
  <si>
    <t>스톡옵션 보상비 절세효과</t>
  </si>
  <si>
    <t>스톡옵션 보상비, 세후</t>
  </si>
  <si>
    <t>배당금수익 비용, 세전</t>
  </si>
  <si>
    <t>배당금수익 비용 절세효과</t>
  </si>
  <si>
    <t>배당금수익 비용, 세후</t>
  </si>
  <si>
    <t>已付现金利息扣除已付利息</t>
  </si>
  <si>
    <t>已付現金利息扣除已付利息</t>
  </si>
  <si>
    <t>Intérêts payés en espèces nets des intérêts reçus</t>
  </si>
  <si>
    <t>现金股利和收到的利息</t>
  </si>
  <si>
    <t>現金股利和收到的利息</t>
  </si>
  <si>
    <t>Dividendes et intérêts reçus en espèces</t>
  </si>
  <si>
    <t>已付现金利息-经营活动</t>
  </si>
  <si>
    <t>已付現金利息-經營活動</t>
  </si>
  <si>
    <t>Intérêts payés en espèces - Activités de exploitation</t>
  </si>
  <si>
    <t>已付现金利息-投资活动</t>
  </si>
  <si>
    <t>已付現金利息-投資活動</t>
  </si>
  <si>
    <t>Intérêts payés en espèces - Activités d'investissement</t>
  </si>
  <si>
    <t>已付现金利息-融资活动</t>
  </si>
  <si>
    <t>已付現金利息-融資活動</t>
  </si>
  <si>
    <t>Intérêts payés en espèces - Activités de financement</t>
  </si>
  <si>
    <t>支払利息の現金支出額</t>
  </si>
  <si>
    <t>Проценты уплаченные наличными за вычетом процентов полученных</t>
  </si>
  <si>
    <t>Interés en efectivo pagado neto de interés recibido</t>
  </si>
  <si>
    <t>受取利息・受取配当金の収入額</t>
  </si>
  <si>
    <t>Денежные дивиденды и проценты полученные</t>
  </si>
  <si>
    <t>Dividendos en efectivo e intereses recibidos</t>
  </si>
  <si>
    <t>支払利息の現金支出額(営業活動に帰属分)</t>
  </si>
  <si>
    <t>Денежные проценты уплаченные - Операционная деятельность</t>
  </si>
  <si>
    <t>Intereses pagados en efectivo - Actividades operativas</t>
  </si>
  <si>
    <t>支払利息の現金支出額(投資活動に帰属分)</t>
  </si>
  <si>
    <t>Денежные проценты уплаченные - Инвестиционная деятельность</t>
  </si>
  <si>
    <t>Intereses pagados en efectivo - Actividades de inversión</t>
  </si>
  <si>
    <t>支払利息の現金支出額(財務活動に帰属分)</t>
  </si>
  <si>
    <t>Денежные проценты уплаченные - Финансовая деятельность</t>
  </si>
  <si>
    <t>Intereses pagados en efectivo - Actividades de financiación</t>
  </si>
  <si>
    <t>Gezahlte Barzinsen abzüglich erhaltener Zinsen</t>
  </si>
  <si>
    <t>Interessi in contanti pagati al netto degli interessi attivi</t>
  </si>
  <si>
    <t>Erhaltene Bardividenden und Zinsen</t>
  </si>
  <si>
    <t>Dividendo in contanti e interessi attivi</t>
  </si>
  <si>
    <t>Bar gezahlte Zinsen – Betriebstätigkeit</t>
  </si>
  <si>
    <t>Interessi in contanti pagati - Attività operative</t>
  </si>
  <si>
    <t>Bar gezahlte Zinsen – Investitionstätigkeit</t>
  </si>
  <si>
    <t>Interessi in contanti pagati - Attività d'investimento</t>
  </si>
  <si>
    <t>Bar gezahlte Zinsen – Finanzierungstätigkeit</t>
  </si>
  <si>
    <t>Interessi in contanti pagati - Attività di finanziamento</t>
  </si>
  <si>
    <t>지불된 현금 이자 순 수취이자</t>
  </si>
  <si>
    <t>현금 배당금 및 수취이자</t>
  </si>
  <si>
    <t>지불된 현금 이자 - 운영 활동</t>
  </si>
  <si>
    <t>지불된 현금 이자 - 투자 활동</t>
  </si>
  <si>
    <t>지불된 현금 이자 - 재무 활동</t>
  </si>
  <si>
    <t>已付现金税-经营活动</t>
  </si>
  <si>
    <t>已付現金稅-經營活動</t>
  </si>
  <si>
    <t>Impôts payés en espèces - Activités d'exploitation</t>
  </si>
  <si>
    <t>已付现金税-投资活动</t>
  </si>
  <si>
    <t>已付現金稅-投資活動</t>
  </si>
  <si>
    <t>Impôts payés en espèces - Activités d'investissement</t>
  </si>
  <si>
    <t>已付现金税-筹资活动</t>
  </si>
  <si>
    <t>已付現金稅-籌資活動</t>
  </si>
  <si>
    <t>Impôts payés en espèces - Activités de financement</t>
  </si>
  <si>
    <t>递延所得税，总计</t>
  </si>
  <si>
    <t>遞延所得稅，總計</t>
  </si>
  <si>
    <t>Impôts différés sur le revenu, total</t>
  </si>
  <si>
    <t>净营运资金变动</t>
  </si>
  <si>
    <t>淨營運資金變動</t>
  </si>
  <si>
    <t>Variation du fonds de roulement net</t>
  </si>
  <si>
    <t>杠杆自由现金流</t>
  </si>
  <si>
    <t>槓桿自由現金流</t>
  </si>
  <si>
    <t>Flux de trésorerie disponible</t>
  </si>
  <si>
    <t>法人税等の現金支出額(営業活動に帰属分)</t>
  </si>
  <si>
    <t>Денежные налоги уплаченные - операционная деятельность</t>
  </si>
  <si>
    <t>Impuestos pagados en efectivo - Actividades operativas</t>
  </si>
  <si>
    <t>法人税等の現金支出額(投資活動に帰属分)</t>
  </si>
  <si>
    <t>Денежные налоги уплаченные - Инвестиционная деятельность</t>
  </si>
  <si>
    <t>Impuestos pagados en efectivo - Actividades de inversión</t>
  </si>
  <si>
    <t>法人税等の現金支出額(財務活動に帰属分)</t>
  </si>
  <si>
    <t>Денежные налоги уплаченные - Финансовая деятельность</t>
  </si>
  <si>
    <t>Impuestos pagados en efectivo - Actividades de financiación</t>
  </si>
  <si>
    <t>繰延法人税総額</t>
  </si>
  <si>
    <t>Отложенные налоги на прибыль, всего</t>
  </si>
  <si>
    <t>Impuestos sobre la renta diferidos, total</t>
  </si>
  <si>
    <t>純運転資本の増減額</t>
  </si>
  <si>
    <t>Изменение чистого оборотного капитала</t>
  </si>
  <si>
    <t>Variación del capital de trabajo neto</t>
  </si>
  <si>
    <t>レバード・フリー・キャッシュ・フロー</t>
  </si>
  <si>
    <t>Cвободный денежный поток с долговой нагрузкой</t>
  </si>
  <si>
    <t>El flujo de efectivo libre apalancado</t>
  </si>
  <si>
    <t>Bar gezahlte Steuern – Betriebstätigkeit</t>
  </si>
  <si>
    <t>Imposte in contanti pagate - Attività operative</t>
  </si>
  <si>
    <t>Bar gezahlte Steuern – Investitionstätigkeit</t>
  </si>
  <si>
    <t>Imposte in contanti pagate - Attività d'investimento</t>
  </si>
  <si>
    <t>Bar gezahlte Steuern – Finanzierungstätigkeit</t>
  </si>
  <si>
    <t>Imposte in contanti pagate - Attività di finanziamento</t>
  </si>
  <si>
    <t>Latente Ertragssteuern, Summe</t>
  </si>
  <si>
    <t>Imposte sul reddito differite, totale</t>
  </si>
  <si>
    <t>Veränderung des Nettoumlaufvermögens</t>
  </si>
  <si>
    <t>Variazione capitale circolante netto</t>
  </si>
  <si>
    <t>Fremdfinanzierter freier Cashflow</t>
  </si>
  <si>
    <t>Flusso di cassa con leva</t>
  </si>
  <si>
    <t>지불된 현금 세금 - 운영 활동</t>
  </si>
  <si>
    <t>지불된 현금 세금 - 투자 활동</t>
  </si>
  <si>
    <t>지불된 현금 세금 - 재무 활동</t>
  </si>
  <si>
    <t>이연법인세, 총계</t>
  </si>
  <si>
    <t>순운영자본 변동</t>
  </si>
  <si>
    <t>차입 잉여현금흐름</t>
  </si>
  <si>
    <t>每股现金流量</t>
  </si>
  <si>
    <t>每股現金流量</t>
  </si>
  <si>
    <t>Flux de trésorerie par action</t>
  </si>
  <si>
    <t>已发行净债务</t>
  </si>
  <si>
    <t>已發行淨債務</t>
  </si>
  <si>
    <t>Dette nette émise</t>
  </si>
  <si>
    <t>维修资本支出</t>
  </si>
  <si>
    <t>維修資本支出</t>
  </si>
  <si>
    <t>终止经营项目净现金收入-投资</t>
  </si>
  <si>
    <t>終止經營項目淨現金收入-投資</t>
  </si>
  <si>
    <t>Trésorerie nette des opérations abandonnées. - Investissement</t>
  </si>
  <si>
    <t>终止经营项目净现金收入-筹资</t>
  </si>
  <si>
    <t>終止經營項目淨現金收入-籌資</t>
  </si>
  <si>
    <t>Trésorerie nette des opérations abandonnées. - Financement</t>
  </si>
  <si>
    <t>经营租赁支付</t>
  </si>
  <si>
    <t>經營租賃支付</t>
  </si>
  <si>
    <t>Paiements de leasing opérationnel</t>
  </si>
  <si>
    <t>经营租赁负债变动</t>
  </si>
  <si>
    <t>經營租賃負債變動</t>
  </si>
  <si>
    <t>Variation du passif des contrats de location-exploitation</t>
  </si>
  <si>
    <t>经营租赁负债变动（非现金）</t>
  </si>
  <si>
    <t>經營租賃負債變動（非現金）</t>
  </si>
  <si>
    <t>Variation du passif des contrats de location-exploitation hors trésorerie</t>
  </si>
  <si>
    <t>已偿还的长期债务，不包括租赁</t>
  </si>
  <si>
    <t>已償還的長期債務，不包括租賃</t>
  </si>
  <si>
    <t>Dette à long terme remboursée, à l'exclusion des contrats de location</t>
  </si>
  <si>
    <t>已偿还债务总额，不包括租赁</t>
  </si>
  <si>
    <t>已償還債務總額，不包括租賃</t>
  </si>
  <si>
    <t>Dette totale remboursée, à l'exclusion des contrats de location</t>
  </si>
  <si>
    <t>廉价购买利益 -（现金流量）</t>
  </si>
  <si>
    <t>廉價購買利益 -（現金流量）</t>
  </si>
  <si>
    <t>Gain sur l'acquisition d'une bonne affaire - Flux de trésorerie</t>
  </si>
  <si>
    <t>一株当たりキャッシュフロー</t>
  </si>
  <si>
    <t>Денежный поток на акцию</t>
  </si>
  <si>
    <t>Flujo de efectivo por acción</t>
  </si>
  <si>
    <t>負債の発行の純増減</t>
  </si>
  <si>
    <t>Выпущенный чистый долг</t>
  </si>
  <si>
    <t>Deuda neta emitida</t>
  </si>
  <si>
    <t>メンテナンス設備投資額（修繕費支出）</t>
  </si>
  <si>
    <t>Капитальные расходы на содержание</t>
  </si>
  <si>
    <t>CAPEX de mantenimiento</t>
  </si>
  <si>
    <t>非継続事業による現金増減(投資活動に帰属分)</t>
  </si>
  <si>
    <t>Чистые денежные средства от прекращенной деятельности. - Инвестиционная деятельность</t>
  </si>
  <si>
    <t>Efectivo neto de operaciones discontinuadas. - Inversión</t>
  </si>
  <si>
    <t>非継続事業による現金増減(財務活動に帰属分)</t>
  </si>
  <si>
    <t>Чистые денежные средства от прекращенной деятельности. - Финансовая деятельность</t>
  </si>
  <si>
    <t>Efectivo neto de operaciones discontinuadas. - Financiación</t>
  </si>
  <si>
    <t>オペレーティング・リース支払</t>
  </si>
  <si>
    <t>Платежи по операционной аренде</t>
  </si>
  <si>
    <t>Pagos de arrendamientos operativos</t>
  </si>
  <si>
    <t>オペレーティングリース債務の変更</t>
  </si>
  <si>
    <t>Изменение обязательств по операционной аренде</t>
  </si>
  <si>
    <t>Variación de las obligaciones de arrendamiento operativo</t>
  </si>
  <si>
    <t>オペレーティングリース負債の非現金の変更</t>
  </si>
  <si>
    <t>Изменение обязательств по операционной аренде Неденежные средства</t>
  </si>
  <si>
    <t>Variación de los pasivos de arrendamiento operativo no monetario</t>
  </si>
  <si>
    <t>返済済み長期借入金(リース除く)</t>
  </si>
  <si>
    <t>Погашение долгосрочного долга, исключая договоры аренды</t>
  </si>
  <si>
    <t>Pago de deudas a largo plazo, excepto arrendamientos.</t>
  </si>
  <si>
    <t>返済済み負債総額(リース除く)</t>
  </si>
  <si>
    <t>Полное погашение задолженности, исключая договоры аренды</t>
  </si>
  <si>
    <t>Total de la deuda pagada, excluyendo los arrendamientos</t>
  </si>
  <si>
    <t>廉価買収益 - （CF）</t>
  </si>
  <si>
    <t>Прибыль от приобретения - (Денежный поток)</t>
  </si>
  <si>
    <t>Ganancia en la Adquisición de Negocios - (Flujo de Fondos)</t>
  </si>
  <si>
    <t>Cashflow pro Aktie</t>
  </si>
  <si>
    <t>Contanti per azione</t>
  </si>
  <si>
    <t>Nettoneuverschuldung</t>
  </si>
  <si>
    <t>Debito netto emesso</t>
  </si>
  <si>
    <t>CAPEX für Instandhaltung</t>
  </si>
  <si>
    <t>Manutenzione CAPEX</t>
  </si>
  <si>
    <t>Nettobarmittel aus aufgegebenem Geschäftsbetrieb – Investitionen</t>
  </si>
  <si>
    <t>Liquidità netta da attività cessate - Investimenti</t>
  </si>
  <si>
    <t>Nettobarmittel aus aufgegebenem Geschäftsbetrieb – Finanzierung</t>
  </si>
  <si>
    <t>Liquidità netta da attività cessate - Finanziamenti</t>
  </si>
  <si>
    <t>Zahlungen für Operating-Leasing</t>
  </si>
  <si>
    <t>Pagamenti locazioni operative</t>
  </si>
  <si>
    <t>Veränderung der Verbindlichkeiten aus Operating-Leasing</t>
  </si>
  <si>
    <t>Variazioni passività locazioni operative</t>
  </si>
  <si>
    <t>Veränderung der Verbindlichkeiten aus Operating-Leasing, nicht zahlungswirksam</t>
  </si>
  <si>
    <t>Variazioni passività locazioni operative non in contanti</t>
  </si>
  <si>
    <t>Rückzahlung langfristiger Schulden, ohne Mieten</t>
  </si>
  <si>
    <t>Debito a lungo termine rimborsato, escl. locazioni</t>
  </si>
  <si>
    <t>Summe der zurückgezahlten Schulden, ohne Mieten</t>
  </si>
  <si>
    <t>Debito totale rimborsato, escl. locazioni</t>
  </si>
  <si>
    <t>Gewinn beim Erwerb von Schnäppchen – (CF)</t>
  </si>
  <si>
    <t>Utile per acquisto a prezzi favorevoli - (CF)</t>
  </si>
  <si>
    <t>주당 현금 흐름</t>
  </si>
  <si>
    <t>순 발행 부채</t>
  </si>
  <si>
    <t>유지보수 CAPEX</t>
  </si>
  <si>
    <t>중단 영업의 순현금 - 투자</t>
  </si>
  <si>
    <t>중단 영업의 순현금 - 재무</t>
  </si>
  <si>
    <t>운용리스 지불</t>
  </si>
  <si>
    <t>운용리스 부채 변동</t>
  </si>
  <si>
    <t>운용리스 부채 변동 비현금</t>
  </si>
  <si>
    <t>상환 장기부채, 리스 제외</t>
  </si>
  <si>
    <t>총 상환 부채, 리스 제외</t>
  </si>
  <si>
    <t>계약 인수 이익 - (CF)</t>
  </si>
  <si>
    <t>使用权资产-毛额</t>
  </si>
  <si>
    <t>使用權資產-毛額</t>
  </si>
  <si>
    <t>Droit d'utilisation des biens - brut</t>
  </si>
  <si>
    <t>使用权资产-累计折旧</t>
  </si>
  <si>
    <t>使用權資產-累計折舊</t>
  </si>
  <si>
    <t>Droit d'utilisation des biens - Amortissement cumulé</t>
  </si>
  <si>
    <t>使用权资产-净额</t>
  </si>
  <si>
    <t>使用權資產-淨額</t>
  </si>
  <si>
    <t>Droit d'utilisation des biens - net</t>
  </si>
  <si>
    <t>使用权资产-资本租赁-毛额</t>
  </si>
  <si>
    <t>使用權資產-資本租賃-毛額</t>
  </si>
  <si>
    <t>Droit d'utilisation des biens - Contrat de location de capital - Brut</t>
  </si>
  <si>
    <t>使用权资产-资本租赁-累计折旧</t>
  </si>
  <si>
    <t>使用權資產-資本租賃-累計折舊</t>
  </si>
  <si>
    <t>Droit d'utilisation d'un actif - Contrat de location de capital - Amortissement cumulé</t>
  </si>
  <si>
    <t>使用权资产-资本租赁-净额</t>
  </si>
  <si>
    <t>使用權資產-資本租賃-淨額</t>
  </si>
  <si>
    <t>Droit d'utilisation des actifs - Contrat de location de capital - net</t>
  </si>
  <si>
    <t>使用权资产-经营租赁-毛额</t>
  </si>
  <si>
    <t>使用權資產-經營租賃-毛額</t>
  </si>
  <si>
    <t>Droit d'utilisation des actifs - leasing opérationnel - brut</t>
  </si>
  <si>
    <t>使用权资产-经营租赁-累计折旧</t>
  </si>
  <si>
    <t>使用權資產-經營租賃-累計折舊</t>
  </si>
  <si>
    <t>Droit d'utilisation des actifs - leasing opérationnel - amortissement cumulé</t>
  </si>
  <si>
    <t>使用权资产-经营租赁-净额</t>
  </si>
  <si>
    <t>使用權資產-經營租賃-淨額</t>
  </si>
  <si>
    <t>Droit d'utilisation des actifs - Leasing Opérationnel - Net</t>
  </si>
  <si>
    <t>房产， 厂房及设备总值, 不包括经营租赁</t>
  </si>
  <si>
    <t>房產， 廠房及設備總值, 不包括經營租賃</t>
  </si>
  <si>
    <t>Immobilisations corporelles brutes, à l'exclusion des leasings opérationnels</t>
  </si>
  <si>
    <t>累计折旧, 不包括经营租赁</t>
  </si>
  <si>
    <t>累計折舊, 不包括經營租賃</t>
  </si>
  <si>
    <t>Amortissement cumulé, à l'exclusion du leasing opérationnel</t>
  </si>
  <si>
    <t>房产, 厂房及设备净额, 不包括经营租赁</t>
  </si>
  <si>
    <t>房產, 廠房及設備淨額, 不包括經營租賃</t>
  </si>
  <si>
    <t>Immobilisations corporelles nettes, à l'exclusion du leasing opérationnel</t>
  </si>
  <si>
    <t>财务租赁, 当前</t>
  </si>
  <si>
    <t>財務租賃, 當前</t>
  </si>
  <si>
    <t>Leasing financier, courant</t>
  </si>
  <si>
    <t>财务租赁, 长期</t>
  </si>
  <si>
    <t>財務租賃, 長期</t>
  </si>
  <si>
    <t>Leasing financier à long terme</t>
  </si>
  <si>
    <t>财务租赁总额</t>
  </si>
  <si>
    <t>財務租賃總額</t>
  </si>
  <si>
    <t>Total des leasings financiers</t>
  </si>
  <si>
    <t>使用権資産-グロス</t>
  </si>
  <si>
    <t>Право использования активов - брутто</t>
  </si>
  <si>
    <t>Activos con derecho de uso - bruto</t>
  </si>
  <si>
    <t>使用権資産、減価償却累計額</t>
  </si>
  <si>
    <t>Право использования активов - накопленная амортизация</t>
  </si>
  <si>
    <t>activos con derecho de uso - Depreciación acumulada</t>
  </si>
  <si>
    <t>使用権資産ネット</t>
  </si>
  <si>
    <t>Право использования активов - нетто</t>
  </si>
  <si>
    <t>Activos con derecho de uso - Neto</t>
  </si>
  <si>
    <t>使用権資産・資本リース・グロス</t>
  </si>
  <si>
    <t>Право использования активов - брутто-аренда капитала</t>
  </si>
  <si>
    <t>Derecho de uso de activos - capital de arrendamiento, bruto</t>
  </si>
  <si>
    <t>使用権資産・資本リース減価償却累計額</t>
  </si>
  <si>
    <t>Право использования активов - аренда капитала - накопленная амортизация</t>
  </si>
  <si>
    <t>Derecho de uso de activos -capital de arrendamiento, depreciación acumulada</t>
  </si>
  <si>
    <t>使用権資産・資本リースネット</t>
  </si>
  <si>
    <t>Право использования активов - аренда капитала - нетто</t>
  </si>
  <si>
    <t>Derecho de uso de activos - capital de arrendamiento, neto</t>
  </si>
  <si>
    <t>使用権資産・オペレーティングリース、グロス</t>
  </si>
  <si>
    <t>Право использования активов-лизинговая аренда-брутто</t>
  </si>
  <si>
    <t>Derecho de uso de activos - Arrendamiento operativo - Bruto</t>
  </si>
  <si>
    <t>使用権資産・オペレーティングリース減価償却累計額</t>
  </si>
  <si>
    <t>Права использования активов - лизинговая аренда - накопленная амортизация</t>
  </si>
  <si>
    <t>Derecho de uso de activos - Arrendamiento operativo - Depreciación acumulada</t>
  </si>
  <si>
    <t>使用権資産・オペレーティングリースネット</t>
  </si>
  <si>
    <t>Право использования активов - операционная аренда - нетто</t>
  </si>
  <si>
    <t>Derecho de uso de activos - Arrendamiento operativo - Neto</t>
  </si>
  <si>
    <t>有形固定資産(オペレーティング・リース除く)</t>
  </si>
  <si>
    <t>Валовые основные средства, за исключением операционной аренды</t>
  </si>
  <si>
    <t>Propiedad, Plata y Equipos bruto, excluyendo los arrendamientos operativos</t>
  </si>
  <si>
    <t>減価償却累計(オペレーティング・リース除く)</t>
  </si>
  <si>
    <t>Накопленная амортизация, исключая операционную аренду</t>
  </si>
  <si>
    <t>Depreciación acumulada, excluyendo los arrendamientos operativos</t>
  </si>
  <si>
    <t>純有形固定資産(オペレーティング・リース除く)</t>
  </si>
  <si>
    <t>Чистые основные средства, за исключением операционной аренды</t>
  </si>
  <si>
    <t>Propiedad, Plata y Equipos Neto, excluyendo los arrendamientos operativos</t>
  </si>
  <si>
    <t>金融は、現在のリース</t>
  </si>
  <si>
    <t>Финансовая аренда, текущая</t>
  </si>
  <si>
    <t>Arrendamientos financieros, actuales</t>
  </si>
  <si>
    <t>ファイナンスは、長期リース</t>
  </si>
  <si>
    <t>Финансовая аренда, долгосрочная</t>
  </si>
  <si>
    <t>Arrendamientos financieros a largo plazo</t>
  </si>
  <si>
    <t>総ファイナンス・リース取引</t>
  </si>
  <si>
    <t>Всего Финансовая аренда</t>
  </si>
  <si>
    <t>Total de Arrendamientos Financieros</t>
  </si>
  <si>
    <t>Vermögen aus Nutzungsrechten, brutto</t>
  </si>
  <si>
    <t>Attività diritto d'uso - Lordo</t>
  </si>
  <si>
    <t>Vermögen aus Nutzungsrechten, kumulierte Abschreibungen</t>
  </si>
  <si>
    <t>Attività diritto d'uso - Fondo ammortamenti</t>
  </si>
  <si>
    <t>Vermögen aus Nutzungsrechten, netto</t>
  </si>
  <si>
    <t>Attività diritto d'uso - Netto</t>
  </si>
  <si>
    <t>Vermögen aus Nutzungsrechten – Kapitalleasing – Brutto</t>
  </si>
  <si>
    <t>Attività diritto d'uso - Leasing finanziario - Lordo</t>
  </si>
  <si>
    <t>Vermögen aus Nutzungsrechten – Kapitalleasing – Kumulierte Abschreibungen</t>
  </si>
  <si>
    <t>Attività diritto d'uso - Leasing finanziario - Fondo ammortamenti</t>
  </si>
  <si>
    <t>Vermögen aus Nutzungsrechten – Kapitalleasing – Netto</t>
  </si>
  <si>
    <t>Attività diritto d'uso - Leasing finanziario - Netto</t>
  </si>
  <si>
    <t>Vermögen aus Nutzungsrechten – Operating-Leasing – Brutto</t>
  </si>
  <si>
    <t>Attività diritto d'uso - Locazioni operative - Lordo</t>
  </si>
  <si>
    <t>Vermögen aus Nutzungsrechten – Operating-Leasing – Kumulierte Abschreibungen</t>
  </si>
  <si>
    <t>Attività diritto d'uso - Locazioni operative - Fondo ammortamenti</t>
  </si>
  <si>
    <t>Vermögen aus Nutzungsrechten – Operating-Leasing – Netto</t>
  </si>
  <si>
    <t>Attività diritto d'uso - Locazioni operative - Netto</t>
  </si>
  <si>
    <t>Brutto-PP&amp;E, ohne Operating-Leasing</t>
  </si>
  <si>
    <t>Immobili, impianti e macchinari lordi, escl. locazioni operative</t>
  </si>
  <si>
    <t>Kumulierte Abschreibungen, ohne Operating-Leasing</t>
  </si>
  <si>
    <t>Fondo ammortamenti, escl. locazioni operative</t>
  </si>
  <si>
    <t>Netto-PP&amp;E, ohne Operating-Leasing</t>
  </si>
  <si>
    <t>Immobili, impianti e macchinari netti, escl. locazioni operative</t>
  </si>
  <si>
    <t>Finanzierungsleasing, kurzfristig</t>
  </si>
  <si>
    <t>Leasing finanziari, correnti</t>
  </si>
  <si>
    <t>Finanzierungsleasing, langfristig</t>
  </si>
  <si>
    <t>Leasing finanziari, a lungo termine</t>
  </si>
  <si>
    <t>Finanzierungsleasing, Summe</t>
  </si>
  <si>
    <t>Totale leasing finanziari</t>
  </si>
  <si>
    <t>사용권 자산-총액</t>
  </si>
  <si>
    <t>사용권 자산 누적 감가상각</t>
  </si>
  <si>
    <t>순 사용권 자산</t>
  </si>
  <si>
    <t>총 사용권 자산 금융리스</t>
  </si>
  <si>
    <t>사용권 자산 금융리스 누적 감가상각</t>
  </si>
  <si>
    <t>순 사용권 자산 금융리스</t>
  </si>
  <si>
    <t>총 사용권 자산 운용리스</t>
  </si>
  <si>
    <t>사용권 자산 운용리스 누적 감가상각</t>
  </si>
  <si>
    <t>순 사용권 자산 운용리스</t>
  </si>
  <si>
    <t>총 PP&amp;E, 운용리스 제외</t>
  </si>
  <si>
    <t>누적 감가상각, 운용리스 제외</t>
  </si>
  <si>
    <t>순 PP&amp;E, 운용리스 제외</t>
  </si>
  <si>
    <t>금융리스, 당기</t>
  </si>
  <si>
    <t>금융리스, 장기</t>
  </si>
  <si>
    <t>총 금융리스</t>
  </si>
  <si>
    <t>经营租赁负债的当前部分</t>
  </si>
  <si>
    <t>經營租賃負債的當前部分</t>
  </si>
  <si>
    <t>Portion courante du passif des leasings opérationnels</t>
  </si>
  <si>
    <t>经营租赁负债的长期部分</t>
  </si>
  <si>
    <t>經營租賃負債的長期部分</t>
  </si>
  <si>
    <t>Portion à long terme du passif du leasing opérationnel</t>
  </si>
  <si>
    <t>总经营租赁</t>
  </si>
  <si>
    <t>總經營租賃</t>
  </si>
  <si>
    <t>Total des contrats de leasing opérationnel</t>
  </si>
  <si>
    <t>オペレーティングリース債務の現在の部分</t>
  </si>
  <si>
    <t>Текущая часть обязательств по операционной аренде</t>
  </si>
  <si>
    <t>Porción actual de las obligaciones de arrendamiento operativo</t>
  </si>
  <si>
    <t>オペレーティングリース債務の長期部分</t>
  </si>
  <si>
    <t>Долгосрочная часть обязательств по операционной аренде</t>
  </si>
  <si>
    <t>La porción a largo plazo de las obligaciones de arrendamiento operativo</t>
  </si>
  <si>
    <t>総オペレーティング・リース</t>
  </si>
  <si>
    <t>Всего операционная аренда</t>
  </si>
  <si>
    <t>Total de arrendamientos operativos</t>
  </si>
  <si>
    <t>Kurzfristiger Anteil von Kapitalleasingverbindlichkeiten</t>
  </si>
  <si>
    <t>Porzione corrente di passività locazioni operative</t>
  </si>
  <si>
    <t>Langfristiger Anteil der Verbindlichkeiten aus Operating-Leasing</t>
  </si>
  <si>
    <t>Porzione a lungo termine di passività locazioni operative</t>
  </si>
  <si>
    <t>Operating-Leasing, Summe</t>
  </si>
  <si>
    <t>Totale locazioni operative</t>
  </si>
  <si>
    <t>당기 운용리스 부채</t>
  </si>
  <si>
    <t>장기 운용리스 부채</t>
  </si>
  <si>
    <t>총 운용리스</t>
  </si>
  <si>
    <t>当前的融资义务，不包括经营租赁</t>
  </si>
  <si>
    <t>當前的融資義務，不包括經營租賃</t>
  </si>
  <si>
    <t>Obligations de financement courantes, à l'exclusion du leasing opérationnel</t>
  </si>
  <si>
    <t>不包括经营租赁的非流动融资义务</t>
  </si>
  <si>
    <t>不包括經營租賃的非流動融資義務</t>
  </si>
  <si>
    <t>Obligations de financement à long terme à l'exclusion du leasing opérationnel</t>
  </si>
  <si>
    <t>总债务，不包括经营租赁</t>
  </si>
  <si>
    <t>總債務，不包括經營租賃</t>
  </si>
  <si>
    <t>Dette totale, à l'exclusion du leasing opérationnel</t>
  </si>
  <si>
    <t>债务总额，不包括租赁</t>
  </si>
  <si>
    <t>債務總額，不包括租賃</t>
  </si>
  <si>
    <t>Dette totale, à l'exclusion du leasing</t>
  </si>
  <si>
    <t>IFRS 16 / ASC 842项目</t>
  </si>
  <si>
    <t>IFRS 16 / ASC 842項目</t>
  </si>
  <si>
    <t>Éléments de l'IFRS 16 / ASC 842</t>
  </si>
  <si>
    <t>于报告日期已发行股份总数</t>
  </si>
  <si>
    <t>於報告日期已發行股份總數</t>
  </si>
  <si>
    <t>Nombre total d'actions à la date de dépôt</t>
  </si>
  <si>
    <t>资产负债表日已发行股份总数</t>
  </si>
  <si>
    <t>資產負債表日已發行股份總數</t>
  </si>
  <si>
    <t>Total des parts à la date du bilan</t>
  </si>
  <si>
    <t>每股账面值</t>
  </si>
  <si>
    <t>每股賬面值</t>
  </si>
  <si>
    <t>Valeur comptable/action</t>
  </si>
  <si>
    <t>每股账面值（呈报）</t>
  </si>
  <si>
    <t>每股賬面值（呈報）</t>
  </si>
  <si>
    <t>Valeur comptable/action (déclarée)</t>
  </si>
  <si>
    <t>有形每股账面值</t>
  </si>
  <si>
    <t>有形每股賬面值</t>
  </si>
  <si>
    <t>Valeur comptable tangible/action</t>
  </si>
  <si>
    <t>有形每股账面值（呈报）</t>
  </si>
  <si>
    <t>有形每股賬面值（呈報）</t>
  </si>
  <si>
    <t>Valeur comptable tangible par action (déclarée)</t>
  </si>
  <si>
    <t>有形账面价值</t>
  </si>
  <si>
    <t>有形賬面價值</t>
  </si>
  <si>
    <t>Valeur comptable tangible</t>
  </si>
  <si>
    <t>一年内返済予定金融債務(オペレーティング・リース除く)</t>
  </si>
  <si>
    <t>Текущие финансовые обязательства, за исключением операционной аренды</t>
  </si>
  <si>
    <t>Obligaciones financieras actuales, excepto los arrendamientos operativos</t>
  </si>
  <si>
    <t>長期金融債務(オペレーティング・リース除く)</t>
  </si>
  <si>
    <t>Долгосрочные финансовые обязательства за исключением операционной аренды</t>
  </si>
  <si>
    <t>Obligaciones de financiación no corriente, excepto los arrendamientos operativos</t>
  </si>
  <si>
    <t>負債総額、のぞきます。オペレーティング・リース</t>
  </si>
  <si>
    <t>Общий долг, исключая операционную аренду</t>
  </si>
  <si>
    <t>Deuda total, excluyendo arrendamientos operativos</t>
  </si>
  <si>
    <t>負債総額、のぞきます。リース</t>
  </si>
  <si>
    <t>Общий долг, исключая аренду</t>
  </si>
  <si>
    <t>Deuda total, excluyendo arrendamientos</t>
  </si>
  <si>
    <t>IFRS 16 / ASC 842件のアイテム</t>
  </si>
  <si>
    <t>МСФО 16 / ASC 842 Статьи</t>
  </si>
  <si>
    <t xml:space="preserve">Artículos IFRS 16 / ASC 842 </t>
  </si>
  <si>
    <t>発行済株式総数(決算開示日)</t>
  </si>
  <si>
    <t>Всего Акций на дату отчетности</t>
  </si>
  <si>
    <t>Total de acciones en cirulación en la fecha de presentación</t>
  </si>
  <si>
    <t>発行済株式総数(貸借対照表日)</t>
  </si>
  <si>
    <t>Всего Акций на дату баланса</t>
  </si>
  <si>
    <t>Total de acciones en circulación en la fecha del balance</t>
  </si>
  <si>
    <t>一株当たり純資産</t>
  </si>
  <si>
    <t>Балансовая стоимость/акция</t>
  </si>
  <si>
    <t xml:space="preserve">Valor contable de libros/Acción </t>
  </si>
  <si>
    <t>一株当たり純資産(開示ベース)</t>
  </si>
  <si>
    <t>Балансовая стоимость/акция (отчетная)</t>
  </si>
  <si>
    <t>Valor contable de libros/Acción (reportado)</t>
  </si>
  <si>
    <t>一株当たり(無形固定資産除く)純資産</t>
  </si>
  <si>
    <t>Материальная балансовая стоимость/акция</t>
  </si>
  <si>
    <t>Valor contable de libros tangible/acción</t>
  </si>
  <si>
    <t>一株当たり(無形固定資産除く)純資産（開示ベース）</t>
  </si>
  <si>
    <t>Материальная балансовая стоимость на акцию (отчетная)</t>
  </si>
  <si>
    <t>Valor contable de libros tangible/acción (reportado)</t>
  </si>
  <si>
    <t>(無形固定資産除く)純資産</t>
  </si>
  <si>
    <t>Материальная балансовая стоимость</t>
  </si>
  <si>
    <t>Valor contable de libros tangible</t>
  </si>
  <si>
    <t>Kurzfristige Finanzierungsverpflichtungen, ohne Operating-Leasing</t>
  </si>
  <si>
    <t>Obbligazioni finanziarie correnti, escl. locazioni operative</t>
  </si>
  <si>
    <t>Langfristige Finanzierungsverpflichtungen, ohne Operating-Leasing</t>
  </si>
  <si>
    <t>Obbligazioni finanziarie non correnti, escl. locazioni operative</t>
  </si>
  <si>
    <t>Gesamtverschuldung, ohne Operating-Leasing</t>
  </si>
  <si>
    <t>Totale debito, escl. locazioni operative</t>
  </si>
  <si>
    <t>Gesamtverschuldung, ohne Leasing</t>
  </si>
  <si>
    <t>Totale debito, escl. locazioni</t>
  </si>
  <si>
    <t>Posten nach IFRS 16 / ASC 842</t>
  </si>
  <si>
    <t>Elementi IFRS 16/ASC 842</t>
  </si>
  <si>
    <t>Gesamtzahl der umlaufenden Aktien am Anmeldetag</t>
  </si>
  <si>
    <t>Azioni totali data di presentazione</t>
  </si>
  <si>
    <t>Gesamtzahl der umlaufenden Aktien am Bilanzstichtag</t>
  </si>
  <si>
    <t>Azioni totali data bilancio</t>
  </si>
  <si>
    <t>Buchwert/Aktie</t>
  </si>
  <si>
    <t>Valore contabile/azione</t>
  </si>
  <si>
    <t>Buchwert/Aktie (angemeldet)</t>
  </si>
  <si>
    <t>Valore contabile/azione (riportato)</t>
  </si>
  <si>
    <t>Buchwert des Materialvermögens/Aktie</t>
  </si>
  <si>
    <t>Valore contabile tangibile/azione</t>
  </si>
  <si>
    <t>Buchwert des Materialvermögens pro Aktie (angemeldet)</t>
  </si>
  <si>
    <t>Valore contabile tangibile per azione (riportato)</t>
  </si>
  <si>
    <t>Buchwert des Materialvermögens</t>
  </si>
  <si>
    <t>Valore contabile tangibile</t>
  </si>
  <si>
    <t>유동성 금융 채권, 운용리스 제외</t>
  </si>
  <si>
    <t>비유동성 금융 채권, 운용리스 제외</t>
  </si>
  <si>
    <t>총 부채, 운용리스 제외</t>
  </si>
  <si>
    <t>총 부채, 리스 제외</t>
  </si>
  <si>
    <t>IFRS 16 / ASC 842 항목</t>
  </si>
  <si>
    <t>제출일 총 유통주식</t>
  </si>
  <si>
    <t>대차 대조표 날짜 총 유통주식</t>
  </si>
  <si>
    <t>장부가/주식</t>
  </si>
  <si>
    <t>장부가/주식(보고됨)</t>
  </si>
  <si>
    <t>유형 장부가/주식</t>
  </si>
  <si>
    <t>주당 유형 장부가(보고됨)</t>
  </si>
  <si>
    <t>유형 장부가</t>
  </si>
  <si>
    <t>每股现金</t>
  </si>
  <si>
    <t>每股現金</t>
  </si>
  <si>
    <t>Cash par action</t>
  </si>
  <si>
    <t>一株当たり現金及び同等物</t>
  </si>
  <si>
    <t>Денежные средства на Акцию</t>
  </si>
  <si>
    <t>Efectivo por acción</t>
  </si>
  <si>
    <t>Barmittel pro Aktie</t>
  </si>
  <si>
    <t>주당 현금</t>
  </si>
  <si>
    <t>流动债务总额</t>
  </si>
  <si>
    <t>流動債務總額</t>
  </si>
  <si>
    <t>Dette totale actuelle</t>
  </si>
  <si>
    <t>非流动债务总额</t>
  </si>
  <si>
    <t>非流動債務總額</t>
  </si>
  <si>
    <t>Total de la dette non courante</t>
  </si>
  <si>
    <t>総有利子負債(短期)</t>
  </si>
  <si>
    <t>Общий долг текущий</t>
  </si>
  <si>
    <t>Deuda total Corriente</t>
  </si>
  <si>
    <t>総有利子負債(長期)</t>
  </si>
  <si>
    <t>Общий долгосрочный долг</t>
  </si>
  <si>
    <t>Total de la deuda No Corriente</t>
  </si>
  <si>
    <t>Summe kurzfristige Schulden</t>
  </si>
  <si>
    <t>Totale debito corrente</t>
  </si>
  <si>
    <t>Summe nicht kurzfristiger Schulden</t>
  </si>
  <si>
    <t>Totale debito non corrente</t>
  </si>
  <si>
    <t>총 유동성 부채</t>
  </si>
  <si>
    <t>총 비유동성 부채</t>
  </si>
  <si>
    <t>资本化/购买软件</t>
  </si>
  <si>
    <t>資本化/購買軟體</t>
  </si>
  <si>
    <t>Logiciels capitalisés/achetés</t>
  </si>
  <si>
    <t>天然资源，按成本计算</t>
  </si>
  <si>
    <t>天然資源，按成本計算</t>
  </si>
  <si>
    <t>Ressources naturelles, au prix coûtant</t>
  </si>
  <si>
    <t>在建工程</t>
  </si>
  <si>
    <t>Construction en cours</t>
  </si>
  <si>
    <t>租赁权益改良</t>
  </si>
  <si>
    <t>租賃權益改良</t>
  </si>
  <si>
    <t>Améliorations locatives</t>
  </si>
  <si>
    <t>可赎回少数股权</t>
  </si>
  <si>
    <t>可贖回少數股權</t>
  </si>
  <si>
    <t>Intérêts minoritaires remboursables</t>
  </si>
  <si>
    <t>财务科可赎回少数股权</t>
  </si>
  <si>
    <t>財務科可贖回少數股權</t>
  </si>
  <si>
    <t>Division des finances : Intérêts minoritaires remboursables</t>
  </si>
  <si>
    <t>可赎回少数股东权益总额</t>
  </si>
  <si>
    <t>可贖回少數股東權益總額</t>
  </si>
  <si>
    <t>Total des intérêts minoritaires remboursables</t>
  </si>
  <si>
    <t>财务部少数股东权益</t>
  </si>
  <si>
    <t>財務部少數股東權益</t>
  </si>
  <si>
    <t>Division des finances : Intérêts minoritaires</t>
  </si>
  <si>
    <t>递延税项估价备抵</t>
  </si>
  <si>
    <t>遞延稅項估價備抵</t>
  </si>
  <si>
    <t>Déduction pour évaluation d'impôt différé</t>
  </si>
  <si>
    <t>一般合伙人-普通股</t>
  </si>
  <si>
    <t>一般合夥人-普通股</t>
  </si>
  <si>
    <t>Partenaire général - Actions ordinaires</t>
  </si>
  <si>
    <t>一般合伙人-优先股</t>
  </si>
  <si>
    <t>一般合夥人-優先股</t>
  </si>
  <si>
    <t>Partenaire général - Actions privilégiées</t>
  </si>
  <si>
    <t>一般合伙人-少数股东权益</t>
  </si>
  <si>
    <t>一般合夥人-少數股東權益</t>
  </si>
  <si>
    <t>Partenaire général - Intérêts minoritaires</t>
  </si>
  <si>
    <t>一般合伙人利息（补充）</t>
  </si>
  <si>
    <t>一般合夥人利息（補充）</t>
  </si>
  <si>
    <t>Intérêt du partenaire général (Supplément)</t>
  </si>
  <si>
    <t>优先股-可转换债券的清算价值</t>
  </si>
  <si>
    <t>優先股-可轉換債券的清算價值</t>
  </si>
  <si>
    <t>Valeur de liquidation des actions privilégiées - Convertibles</t>
  </si>
  <si>
    <t>优先股的清算价值-不可赎回</t>
  </si>
  <si>
    <t>優先股的清算價值-不可贖回</t>
  </si>
  <si>
    <t>Valeur de liquidation des actions privilégiées - non remboursables</t>
  </si>
  <si>
    <t>优先股的清算价值-可赎回</t>
  </si>
  <si>
    <t>優先股的清算價值-可贖回</t>
  </si>
  <si>
    <t>Valeur de liquidation des actions privilégiées - Remboursable</t>
  </si>
  <si>
    <t>第1级资产-报价</t>
  </si>
  <si>
    <t>第1級資產-報價</t>
  </si>
  <si>
    <t>Actifs de niveau 1 - Prix cotés</t>
  </si>
  <si>
    <t>第2级资产-可观察的价格</t>
  </si>
  <si>
    <t>第2級資產-可觀察的價格</t>
  </si>
  <si>
    <t>Actifs de niveau 2 - Prix observables</t>
  </si>
  <si>
    <t>第3级资产-不可观察的价格</t>
  </si>
  <si>
    <t>第3級資產-不可觀察的價格</t>
  </si>
  <si>
    <t>Actifs de niveau 3 - Prix non observables</t>
  </si>
  <si>
    <t>净额结算及其他资产调整</t>
  </si>
  <si>
    <t>淨額結算及其他資產調整</t>
  </si>
  <si>
    <t>Compensation et autres ajustements à l'actif</t>
  </si>
  <si>
    <t>资产公允价值</t>
  </si>
  <si>
    <t>資產公允價值</t>
  </si>
  <si>
    <t>Juste valeur des actifs</t>
  </si>
  <si>
    <t>第1级负债-报价</t>
  </si>
  <si>
    <t>第1級負債-報價</t>
  </si>
  <si>
    <t>Passifs de niveau 1 - Prix cotés</t>
  </si>
  <si>
    <t>第2级负债-可观察的价格</t>
  </si>
  <si>
    <t>第2級負債-可觀察的價格</t>
  </si>
  <si>
    <t>Passifs de niveau 2 - Prix observables</t>
  </si>
  <si>
    <t>第3级负债-无法观察的价格</t>
  </si>
  <si>
    <t>第3級負債-無法觀察的價格</t>
  </si>
  <si>
    <t>Passifs de niveau 3 - Prix non observables</t>
  </si>
  <si>
    <t>净额结算及其他负债调整</t>
  </si>
  <si>
    <t>淨額結算及其他負債調整</t>
  </si>
  <si>
    <t>Corrections et autres ajustements au passif</t>
  </si>
  <si>
    <t>外部購入のソフトウェア</t>
  </si>
  <si>
    <t>Капитализированное/приобретенное программное обеспечение</t>
  </si>
  <si>
    <t>Software capitalizado/comprado</t>
  </si>
  <si>
    <t>天然資源</t>
  </si>
  <si>
    <t>Природные ресурсы, по себестоимости</t>
  </si>
  <si>
    <t>Recursos naturales, al costo</t>
  </si>
  <si>
    <t>建設仮勘定</t>
  </si>
  <si>
    <t>Незавершенное строительство</t>
  </si>
  <si>
    <t>Construcción en progreso</t>
  </si>
  <si>
    <t>リース資産にかかる修繕費</t>
  </si>
  <si>
    <t>Улучшения арендованной собственности</t>
  </si>
  <si>
    <t>Mejoras en el arrendamiento</t>
  </si>
  <si>
    <t>償還可能な少数株主持分</t>
  </si>
  <si>
    <t>Доля миноритарных акционеров, подлежащая погашению</t>
  </si>
  <si>
    <t>Interés minoritario redimible</t>
  </si>
  <si>
    <t>(金融部門に帰属する)償還可能な少数株主持分</t>
  </si>
  <si>
    <t>Финансовый отдел: Доля миноритарных акционеров, подлежащая погашению</t>
  </si>
  <si>
    <t>División de Finanzas de interés minoritario rescatable</t>
  </si>
  <si>
    <t>償還可能な少数株主持分の総額</t>
  </si>
  <si>
    <t>Всего процентов миноритарных акционеров, подлежащих выкупу</t>
  </si>
  <si>
    <t>Total de intereses minoritarios rescatables</t>
  </si>
  <si>
    <t>(金融部門に帰属する)少数株主持分</t>
  </si>
  <si>
    <t>Финансовый отдел: Доля меньшинства</t>
  </si>
  <si>
    <t>División de Finanzas. Interés Minoritario</t>
  </si>
  <si>
    <t>繰延税金評価引当金</t>
  </si>
  <si>
    <t>Резерв по отсроченному налогообложению</t>
  </si>
  <si>
    <t>Asignación por valoración de impuestos diferidos</t>
  </si>
  <si>
    <t>無限責任社員-株主資本</t>
  </si>
  <si>
    <t>Генеральный партнер - Общий акционерный капитал</t>
  </si>
  <si>
    <t>Socio general - Capital común</t>
  </si>
  <si>
    <t>無限責任社員-優先株式</t>
  </si>
  <si>
    <t>Генеральный партнер - Привилегированный капитал</t>
  </si>
  <si>
    <t>Socio General - Capital Preferente</t>
  </si>
  <si>
    <t>無限責任社員-少数株主持分</t>
  </si>
  <si>
    <t>Генеральный партнер - Миноритарные интересы</t>
  </si>
  <si>
    <t>Socio General - Interés Minoritario</t>
  </si>
  <si>
    <t>無限責任社員の持分(注記)</t>
  </si>
  <si>
    <t>Доля генерального партнера (Дополнение)</t>
  </si>
  <si>
    <t>Interés general de los socios (Suplemento)</t>
  </si>
  <si>
    <t>(転換可能)優先株式の清算価値</t>
  </si>
  <si>
    <t>Ликвидационная стоимость привилегированных акций - конвертируемые акции</t>
  </si>
  <si>
    <t>Valor de liquidación de las acciones preferentes - Convertible</t>
  </si>
  <si>
    <t>(償還不能)優先株式の清算価値</t>
  </si>
  <si>
    <t>Ликвидационная стоимость привилегированных акций - не подлежащая выкупу</t>
  </si>
  <si>
    <t>Valor de liquidación de las acciones preferentes - No rescatables</t>
  </si>
  <si>
    <t>(償還可能)優先株式の清算価値</t>
  </si>
  <si>
    <t>Ликвидационная стоимость привилегированных акций - подлежащая выкупу</t>
  </si>
  <si>
    <t>Valor de liquidación de las acciones preferentes - Redimible</t>
  </si>
  <si>
    <t>資産の公正価値(Level 1　時価評価が容易な金額)</t>
  </si>
  <si>
    <t>Уровень 1 Активы - Котировки</t>
  </si>
  <si>
    <t>Activos de nivel 1 - Precios cotizados</t>
  </si>
  <si>
    <t>資産の公正価値(Level 2　時価評価がある程度可能な金額)</t>
  </si>
  <si>
    <t>Уровень 2 Активы - Наблюдаемые цены</t>
  </si>
  <si>
    <t>Activos del nivel 2 - Precios observables</t>
  </si>
  <si>
    <t>資産の公正価値(Level 3　時価評価が困難な金額)</t>
  </si>
  <si>
    <t>Уровень 3 Активы - Ненаблюдаемые цены</t>
  </si>
  <si>
    <t>Activos de nivel 3 - Precios no observables</t>
  </si>
  <si>
    <t>資産の公正価値(その他調整額)</t>
  </si>
  <si>
    <t>Неттинг и прочее скорректированые активы</t>
  </si>
  <si>
    <t>Compensación y otros ajustes a los activos</t>
  </si>
  <si>
    <t>資産の公正価値</t>
  </si>
  <si>
    <t>Справедливая стоимость активов</t>
  </si>
  <si>
    <t>Valor razonable de los activos</t>
  </si>
  <si>
    <t>負債の公正価値(Level 1　時価評価が容易な金額)</t>
  </si>
  <si>
    <t>Уровень 1 Обязательства - Котировки</t>
  </si>
  <si>
    <t>Pasivos de nivel 1 - Precios cotizados</t>
  </si>
  <si>
    <t>負債の公正価値(Level 2　時価評価がある程度可能な金額)</t>
  </si>
  <si>
    <t>Уровень 2 Обязательства - Наблюдаемые цены</t>
  </si>
  <si>
    <t>Pasivos del nivel 2 - Precios observables</t>
  </si>
  <si>
    <t>負債の公正価値(Level 3　時価評価が困難な金額)</t>
  </si>
  <si>
    <t>Уровень 3 Обязательства - Ненаблюдаемые цены</t>
  </si>
  <si>
    <t>Pasivos del nivel 3 - Precios inobservables</t>
  </si>
  <si>
    <t>負債の公正価値(その他調整額)</t>
  </si>
  <si>
    <t>Неттинг и прочие корректировки обязательств</t>
  </si>
  <si>
    <t>Compensación y otros ajustes del pasivo</t>
  </si>
  <si>
    <t>Aktivierte/gekaufte Software</t>
  </si>
  <si>
    <t>Software capitalizzato/acquistato</t>
  </si>
  <si>
    <t>Natürliche Ressourcen, zum Selbstkostenpreis</t>
  </si>
  <si>
    <t>Risorse naturali, al costo</t>
  </si>
  <si>
    <t>Laufende Bauarbeiten</t>
  </si>
  <si>
    <t>Immobilizzazioni in corso</t>
  </si>
  <si>
    <t>Sanierung von Mietobjekten</t>
  </si>
  <si>
    <t>Migliorie su beni di terzi</t>
  </si>
  <si>
    <t>Rückkaufbare Minderheitsbeteiligungen</t>
  </si>
  <si>
    <t>Partecipazione minoritaria riscattabile</t>
  </si>
  <si>
    <t>Finanzabteilung, veräußerbare Minderheitsbeteiligungen</t>
  </si>
  <si>
    <t>Partecipazione minoritaria riscattabile divisione finanziaria</t>
  </si>
  <si>
    <t>Summe der rückkaufbaren Minderheitsanteile</t>
  </si>
  <si>
    <t>Totale partecipazione minoritaria riscattabile</t>
  </si>
  <si>
    <t>Finanzabteilung, Minderheitsbeteiligungen</t>
  </si>
  <si>
    <t>Partecipazione minoritaria divisione finanziaria</t>
  </si>
  <si>
    <t>Bewertungszuschlag für latente Steuern</t>
  </si>
  <si>
    <t>Fondo valutazione imposte differite</t>
  </si>
  <si>
    <t>Kommanditist – Stammkapital</t>
  </si>
  <si>
    <t>Socio a responsabilità illimitata - Common equity</t>
  </si>
  <si>
    <t>Kommanditist – Vorzugsaktien</t>
  </si>
  <si>
    <t>Socio a responsabilità illimitata - Equity privilegiato</t>
  </si>
  <si>
    <t>Kommanditist – Minderheitsbeteiligung</t>
  </si>
  <si>
    <t>Socio a responsabilità illimitata - Partecipazione minoritaria</t>
  </si>
  <si>
    <t>Kommmanditbeteiligung (Zus.)</t>
  </si>
  <si>
    <t>Interesse socio a responsabilità illimitata (flessibile)</t>
  </si>
  <si>
    <t>Liquidationswert von Vorzugsaktien – wandelbar</t>
  </si>
  <si>
    <t>Valore di liquidazione di azioni privilegiate - Convertibile</t>
  </si>
  <si>
    <t>Liquidationswert von Vorzugsaktien – nicht rückkaufbar</t>
  </si>
  <si>
    <t>Valore di liquidazione di azioni privilegiate - Non riscattabili</t>
  </si>
  <si>
    <t>Liquidationswert von Vorzugsaktien – rückkaufbar</t>
  </si>
  <si>
    <t>Valore di liquidazione di azioni privilegiate - Riscattabili</t>
  </si>
  <si>
    <t>Vermögen der Stufe 1 – notierte Preise</t>
  </si>
  <si>
    <t>Attività livello 1 - Prezzi quotazione</t>
  </si>
  <si>
    <t>Vermögen der Stufe 2 – beobachtbare Preise</t>
  </si>
  <si>
    <t>Attività livello 2 - Prezzi osservabili</t>
  </si>
  <si>
    <t>Vermögen der Stufe 3 – nicht beobachtbare Preise</t>
  </si>
  <si>
    <t>Attività livello 3 - Prezzi non osservabili</t>
  </si>
  <si>
    <t>Saldierung und andere Vermögensanpassungen</t>
  </si>
  <si>
    <t>Netting e altre rettif. ad attività</t>
  </si>
  <si>
    <t>Marktwert von Vermögensgegenständen</t>
  </si>
  <si>
    <t>Fair Value attività</t>
  </si>
  <si>
    <t>Verbindlichkeiten der Stufe 1 – notierte Preise</t>
  </si>
  <si>
    <t>Passività livello 1 - Prezzi quotazione</t>
  </si>
  <si>
    <t>Verbindlichkeiten der Stufe 2 – beobachtbare Preise</t>
  </si>
  <si>
    <t>Passività livello 2 - Prezzi osservabili</t>
  </si>
  <si>
    <t>Verbindlichkeiten der Stufe 3 – nicht beobachtbare Preise</t>
  </si>
  <si>
    <t>Passività livello 3 - Prezzi non osservabili</t>
  </si>
  <si>
    <t>Saldierung und andere Anpassungen an Verbindlichkeiten</t>
  </si>
  <si>
    <t>Netting e altre rettif. a passività</t>
  </si>
  <si>
    <t>투자/매입한 소프트웨어</t>
  </si>
  <si>
    <t>천연 자원, 비용</t>
  </si>
  <si>
    <t>건설 진행 중</t>
  </si>
  <si>
    <t>리스개량자산</t>
  </si>
  <si>
    <t>상환 소수주주 지분</t>
  </si>
  <si>
    <t>금융분과 상환 소수주주 지분</t>
  </si>
  <si>
    <t>총 상환 소수주주 지분</t>
  </si>
  <si>
    <t>금융분과 소수주주 지분</t>
  </si>
  <si>
    <t>이연법인세 평가성 충당금</t>
  </si>
  <si>
    <t>일반 투자자 - 보통주</t>
  </si>
  <si>
    <t>일반 투자자 - 우선주</t>
  </si>
  <si>
    <t>일반 투자자 - 소수주주 지분</t>
  </si>
  <si>
    <t>일반 투자자 지분(부가)</t>
  </si>
  <si>
    <t>우선주 청산가치 - 전환</t>
  </si>
  <si>
    <t>우선주 청산가치 - 비상환</t>
  </si>
  <si>
    <t>우선주 청산가치 - 상환</t>
  </si>
  <si>
    <t>수준 1 자산 - 상장가</t>
  </si>
  <si>
    <t>수준 2 자산 - 관찰 가능 가격</t>
  </si>
  <si>
    <t>수준 3 자산 - 관찰 불가 가격</t>
  </si>
  <si>
    <t>네팅 및 기타 자산 조정</t>
  </si>
  <si>
    <t>자산 공정가치</t>
  </si>
  <si>
    <t>수준 1 부채 - 상장가</t>
  </si>
  <si>
    <t>수준 2 부채 - 관찰 가능 가격</t>
  </si>
  <si>
    <t>수준 3 부채 - 관찰 불가 가격</t>
  </si>
  <si>
    <t>네팅 및 기타 부채 조정</t>
  </si>
  <si>
    <t>设定受益义务的加权平均假设</t>
  </si>
  <si>
    <t>設定受益義務的加權平均假設</t>
  </si>
  <si>
    <t>La moyenne pondérée des hypothèses dans l'obligation de prestations définies</t>
  </si>
  <si>
    <t>退休后福利义务假定回报率-最低</t>
  </si>
  <si>
    <t>退休後福利義務假定回報率-最低</t>
  </si>
  <si>
    <t>Taux de rendement supposé pour l'obligation de profit projeté - Minimum</t>
  </si>
  <si>
    <t>退休后福利义务假定回报率-最高</t>
  </si>
  <si>
    <t>退休後福利義務假定回報率-最高</t>
  </si>
  <si>
    <t>Taux de rendement supposé pour l'obligation de prestation projetée - Maximum</t>
  </si>
  <si>
    <t>退休后福利义务补偿率-最低</t>
  </si>
  <si>
    <t>退休後福利義務補償率-最低</t>
  </si>
  <si>
    <t>Taux d'augmentation de la compensation pour l'obligation de prestation projetée - Minimum</t>
  </si>
  <si>
    <t>退休后福利责任补偿率-最高</t>
  </si>
  <si>
    <t>退休後福利責任補償率-最高</t>
  </si>
  <si>
    <t>Taux d'augmentation de l'indemnité pour l'obligation de prestation projetée - Maximum</t>
  </si>
  <si>
    <t>预计支付的未来收益</t>
  </si>
  <si>
    <t>預計支付的未來收益</t>
  </si>
  <si>
    <t>Estimation des prestations futures versées</t>
  </si>
  <si>
    <t>预计支付的未来收益-第1年</t>
  </si>
  <si>
    <t>預計支付的未來收益-第1年</t>
  </si>
  <si>
    <t>Estimation des prestations futures versées - 1ère année</t>
  </si>
  <si>
    <t>预计支付的未来收益-第2年</t>
  </si>
  <si>
    <t>預計支付的未來收益-第2年</t>
  </si>
  <si>
    <t>Estimation des prestations futures versées - 2ème année</t>
  </si>
  <si>
    <t>预计支付的未来收益-第3年</t>
  </si>
  <si>
    <t>預計支付的未來收益-第3年</t>
  </si>
  <si>
    <t>Estimation des prestations futures versées - 3ème année</t>
  </si>
  <si>
    <t>预计支付的未来收益-第4年</t>
  </si>
  <si>
    <t>預計支付的未來收益-第4年</t>
  </si>
  <si>
    <t>Estimation des prestations futures versées - 4ème année</t>
  </si>
  <si>
    <t>预计支付的未来收益-第5年</t>
  </si>
  <si>
    <t>預計支付的未來收益-第5年</t>
  </si>
  <si>
    <t>Estimation des prestations futures versées - 5ème année</t>
  </si>
  <si>
    <t>预计支付的未来收益-之后</t>
  </si>
  <si>
    <t>預計支付的未來收益-之後</t>
  </si>
  <si>
    <t>Estimation des futures prestations versées - par la suite</t>
  </si>
  <si>
    <t>资产负债表对帐项目</t>
  </si>
  <si>
    <t>資產負債表對帳項目</t>
  </si>
  <si>
    <t>Éléments de réconciliation du bilan</t>
  </si>
  <si>
    <t>预付福利成本</t>
  </si>
  <si>
    <t>預付福利成本</t>
  </si>
  <si>
    <t>Coût des prestations payées d'avance</t>
  </si>
  <si>
    <t>应计福利负债</t>
  </si>
  <si>
    <t>應計福利負債</t>
  </si>
  <si>
    <t>Responsabilité pour les prestations accumulées</t>
  </si>
  <si>
    <t>无形资产</t>
  </si>
  <si>
    <t>無形資產</t>
  </si>
  <si>
    <t>Actifs incorporels</t>
  </si>
  <si>
    <t>累计其他补偿收入</t>
  </si>
  <si>
    <t>累計其他補償收入</t>
  </si>
  <si>
    <t xml:space="preserve">Autres éléments du résultat global cumulé </t>
  </si>
  <si>
    <t>长期资产</t>
  </si>
  <si>
    <t>長期資產</t>
  </si>
  <si>
    <t>Actifs à long terme</t>
  </si>
  <si>
    <t>流动负债</t>
  </si>
  <si>
    <t>流動負債</t>
  </si>
  <si>
    <t>Passif à court terme</t>
  </si>
  <si>
    <t>长期负债</t>
  </si>
  <si>
    <t>長期負債</t>
  </si>
  <si>
    <t>Passif à long terme</t>
  </si>
  <si>
    <t>確定給付債務の加重平均仮定</t>
  </si>
  <si>
    <t>Средневзвешенные допущения в обязательствах по выплатам с установленными выплатами</t>
  </si>
  <si>
    <t>El promedio ponderado Supuestos en Obligación de prestaciones definidas</t>
  </si>
  <si>
    <t>予測給付債務想定収益率 - 最小限</t>
  </si>
  <si>
    <t>Предполагаемая норма доходности для обязательства по прогнозируемой прибыли - Минимум</t>
  </si>
  <si>
    <t>Tasa de rendimiento asumida por el Obligación de beneficio proyectada - Mínima</t>
  </si>
  <si>
    <t>予測給付債務想定収益率 - 最大限</t>
  </si>
  <si>
    <t>Предполагаемая норма доходности для прогнозируемого обязательства по выплатам пособий - максимальная</t>
  </si>
  <si>
    <t>Tasa de rendimiento asumida por la Obligación de beneficio proyectada - Máximo</t>
  </si>
  <si>
    <t>予測給付債務給与の上昇率 - 最小限</t>
  </si>
  <si>
    <t>Скорость увеличения компенсации по прогнозируемому обязательству по выплатам - Минимум</t>
  </si>
  <si>
    <t>Tasa de aumento de la compensación del Obligación de beneficio proyectada - Mínima</t>
  </si>
  <si>
    <t>予測給付債務給与の上昇率 - 最大限</t>
  </si>
  <si>
    <t>Скорость увеличения компенсации по обязательствам по прогнозируемым выплатам - Максимум</t>
  </si>
  <si>
    <t>Tasa de aumento de la compensación de la Obligación de beneficio proyectada - Máximo</t>
  </si>
  <si>
    <t>予測将来給付支出</t>
  </si>
  <si>
    <t>Предполагаемые будущие пособия Оплаченные</t>
  </si>
  <si>
    <t>Estimación de los beneficios futuros pagados</t>
  </si>
  <si>
    <t>予測将来給付支出 - 1年</t>
  </si>
  <si>
    <t>Предполагаемые будущие пособия Оплаченные - 1 год</t>
  </si>
  <si>
    <t>Estimación Beneficios futuros pagados - 1er año</t>
  </si>
  <si>
    <t>予測将来給付支出 - 2年</t>
  </si>
  <si>
    <t>Предполагаемые будущие пособия Оплаченные - 2 года</t>
  </si>
  <si>
    <t>Estimación Beneficios futuros pagados - 2º año</t>
  </si>
  <si>
    <t>予測将来給付支出 - 3年</t>
  </si>
  <si>
    <t>Предполагаемые будущие пособия Оплаченные - 3 года</t>
  </si>
  <si>
    <t>Estimación Beneficios futuros pagados - 3er año</t>
  </si>
  <si>
    <t>予測将来給付支出 - 4年</t>
  </si>
  <si>
    <t>Предполагаемые будущие пособия Оплаченные - 4 года</t>
  </si>
  <si>
    <t>Estimación Beneficios futuros pagados - 4º año</t>
  </si>
  <si>
    <t>予測将来給付支出 - 5年</t>
  </si>
  <si>
    <t>Предполагаемые будущие выплаты Оплаченные - 5 лет</t>
  </si>
  <si>
    <t>Estimación Beneficios futuros pagados - 5º año</t>
  </si>
  <si>
    <t>予測将来給付支出 - その後</t>
  </si>
  <si>
    <t>Предполагаемые будущие выплаты Оплаченные - В дальнейшем</t>
  </si>
  <si>
    <t>Estimación Beneficios futuros pagados - a partir de entonces</t>
  </si>
  <si>
    <t>貸借対照表調整項目</t>
  </si>
  <si>
    <t>Примирительные элементы баланса</t>
  </si>
  <si>
    <t>Partidas de conciliación del balance</t>
  </si>
  <si>
    <t>プリペイド給付費用</t>
  </si>
  <si>
    <t>Стоимость предоплаченного пособия</t>
  </si>
  <si>
    <t>Costo de los beneficios prepagados</t>
  </si>
  <si>
    <t>発生給付負債</t>
  </si>
  <si>
    <t>Обязательство по начисленным выплатам</t>
  </si>
  <si>
    <t>Responsabilidad por beneficios acumulados</t>
  </si>
  <si>
    <t>無形資産</t>
  </si>
  <si>
    <t>Нематериальные активы</t>
  </si>
  <si>
    <t>Activos intangibles</t>
  </si>
  <si>
    <t>累積その他の包括利益</t>
  </si>
  <si>
    <t xml:space="preserve">Накопленный прочий компенсационный доход </t>
  </si>
  <si>
    <t xml:space="preserve">Otros Ingresos Integrales Acumulados </t>
  </si>
  <si>
    <t>長期資産</t>
  </si>
  <si>
    <t>Долгосрочные активы</t>
  </si>
  <si>
    <t>Activos a largo plazo</t>
  </si>
  <si>
    <t>Текущие обязательства</t>
  </si>
  <si>
    <t>Pasivos actuales</t>
  </si>
  <si>
    <t>長期の負債</t>
  </si>
  <si>
    <t>Долгосрочные обязательства</t>
  </si>
  <si>
    <t>Pasivos a largo plazo</t>
  </si>
  <si>
    <t>Gewichtete durchschnittliche Annahmen zu den Leistungsverpflichtungen</t>
  </si>
  <si>
    <t>Media ponderata ipotesi obbligo benefici def.</t>
  </si>
  <si>
    <t>Angenommene PBO-Rendite – Min</t>
  </si>
  <si>
    <t>Tasso di rendimento supposto PBO - Min</t>
  </si>
  <si>
    <t>Angenommene PBO-Rendite – Max</t>
  </si>
  <si>
    <t>Tasso di rendimento supposto PBO - Max</t>
  </si>
  <si>
    <t>Geschwindigkeit der PBO-Vergütungszunahme – Min</t>
  </si>
  <si>
    <t>Tasso di incremento compensazione PBO - Min</t>
  </si>
  <si>
    <t>Geschwindigkeit der PBO-Vergütungszunahme – Max</t>
  </si>
  <si>
    <t>Tasso di incremento compensazione PBO - Max</t>
  </si>
  <si>
    <t>Geschätzte zukünftige Leistungszahlungen</t>
  </si>
  <si>
    <t>Benefici futuri stimati pagati</t>
  </si>
  <si>
    <t>Geschätzte zukünftige Leistungszahlungen – Jahr 1</t>
  </si>
  <si>
    <t>Benefici futuri stim. pagati - 1° anno</t>
  </si>
  <si>
    <t>Geschätzte zukünftige Leistungszahlungen – Jahr 2</t>
  </si>
  <si>
    <t>Benefici futuri stim. pagati - 2° anno</t>
  </si>
  <si>
    <t>Geschätzte zukünftige Leistungszahlungen – Jahr 3</t>
  </si>
  <si>
    <t>Benefici futuri stim. pagati - 3° anno</t>
  </si>
  <si>
    <t>Geschätzte zukünftige Leistungszahlungen – Jahr 4</t>
  </si>
  <si>
    <t>Benefici futuri stim. pagati - 4° anno</t>
  </si>
  <si>
    <t>Geschätzte zukünftige Leistungszahlungen – Jahr 5</t>
  </si>
  <si>
    <t>Benefici futuri stim. pagati - 5° anno</t>
  </si>
  <si>
    <t>Geschätzte zukünftige Leistungszahlungen – ab dann</t>
  </si>
  <si>
    <t>Benefici futuri stim. pagati - Da lì in poi</t>
  </si>
  <si>
    <t>Bilanzabstimmungsposten</t>
  </si>
  <si>
    <t>Voci di riconciliazione bilancio</t>
  </si>
  <si>
    <t>Kosten für Vorauszahlungen auf Leistungen</t>
  </si>
  <si>
    <t>Costo benefici prepagato</t>
  </si>
  <si>
    <t>Aufgelaufene Leistungsverpflichtungen</t>
  </si>
  <si>
    <t>Passività benefici accumulata</t>
  </si>
  <si>
    <t>Immaterialvermögen</t>
  </si>
  <si>
    <t>Attività immateriali</t>
  </si>
  <si>
    <t>Akkumulierter sonstiger Gesamtertrag</t>
  </si>
  <si>
    <t>Altre compon. reddit. accumul.</t>
  </si>
  <si>
    <t>Vermögenswerte, langfristig</t>
  </si>
  <si>
    <t>Attività a lungo termine</t>
  </si>
  <si>
    <t>Kurzfristige Verbindlichkeiten</t>
  </si>
  <si>
    <t>Passività correnti</t>
  </si>
  <si>
    <t>Verbindlichkeiten, langfristig</t>
  </si>
  <si>
    <t>Passività a lungo termine</t>
  </si>
  <si>
    <t>확정급여형 연금 채무의 가중평균 가정</t>
  </si>
  <si>
    <t>PBO 가정 이익률 - 최소</t>
  </si>
  <si>
    <t>PBO 가정 이익률 - 최대</t>
  </si>
  <si>
    <t>PBO 구상환율 인상 - 최소</t>
  </si>
  <si>
    <t>PBO 구상환율 인상 - 최대</t>
  </si>
  <si>
    <t>예상 지급 미래 급여</t>
  </si>
  <si>
    <t>예상 지급 미래 급여 - 첫 해</t>
  </si>
  <si>
    <t>예상 지급 미래 급여 - 두 번째 해</t>
  </si>
  <si>
    <t>예상 지급 미래 급여 - 세 번째 해</t>
  </si>
  <si>
    <t>예상 지급 미래 급여 - 네 번째 해</t>
  </si>
  <si>
    <t>예상 지급 미래 급여 - 다섯 번째 해</t>
  </si>
  <si>
    <t>예상 지급 미래 급여 - 그 이후</t>
  </si>
  <si>
    <t>대차대조표 조정 항목</t>
  </si>
  <si>
    <t>선지급 급여 비용</t>
  </si>
  <si>
    <t>누적 급여 채무</t>
  </si>
  <si>
    <t>무형자산</t>
  </si>
  <si>
    <t>누적 기타 구상이익</t>
  </si>
  <si>
    <t>장기 자산</t>
  </si>
  <si>
    <t>유동부채</t>
  </si>
  <si>
    <t>장기부채</t>
  </si>
  <si>
    <t>累积给付义务（养老金）</t>
  </si>
  <si>
    <t>累積給付義務（養老金）</t>
  </si>
  <si>
    <t>Obligation de prestations accumulées (pension)</t>
  </si>
  <si>
    <t>退休基金资产</t>
  </si>
  <si>
    <t>退休基金資產</t>
  </si>
  <si>
    <t>Actifs du régime</t>
  </si>
  <si>
    <t>初始退休基金资产</t>
  </si>
  <si>
    <t>初始退休基金資產</t>
  </si>
  <si>
    <t>Actifs du régime initial</t>
  </si>
  <si>
    <t>退休基金资产的实际收益</t>
  </si>
  <si>
    <t>退休基金資產的實際收益</t>
  </si>
  <si>
    <t>Rendement réel des actifs du régime</t>
  </si>
  <si>
    <t>雇主供款</t>
  </si>
  <si>
    <t>Cotisations de l'employeur</t>
  </si>
  <si>
    <t>参与者提存</t>
  </si>
  <si>
    <t>參與者提存</t>
  </si>
  <si>
    <t>Contributions des participants</t>
  </si>
  <si>
    <t>福利支付</t>
  </si>
  <si>
    <t>Prestations versées</t>
  </si>
  <si>
    <t>外汇汇率调整</t>
  </si>
  <si>
    <t>外匯匯率調整</t>
  </si>
  <si>
    <t>Ajustements des taux de change</t>
  </si>
  <si>
    <t>子公司退休基金资产</t>
  </si>
  <si>
    <t>子公司退休基金資產</t>
  </si>
  <si>
    <t>Actifs de régime acquis</t>
  </si>
  <si>
    <t>退休基金资产结算/削減</t>
  </si>
  <si>
    <t>退休基金資產結算/縮減</t>
  </si>
  <si>
    <t>Plan de règlement / réduction</t>
  </si>
  <si>
    <t>其他计划调整</t>
  </si>
  <si>
    <t>其他計劃調整</t>
  </si>
  <si>
    <t>Autres ajustements du régime</t>
  </si>
  <si>
    <t>计划总资产</t>
  </si>
  <si>
    <t>計劃總資產</t>
  </si>
  <si>
    <t>Total des actifs du régime</t>
  </si>
  <si>
    <t>净周期成本的加权平均假设</t>
  </si>
  <si>
    <t>淨週期成本的加權平均假設</t>
  </si>
  <si>
    <t>Hypothèses moyennes pondérées sur le coût périodique net</t>
  </si>
  <si>
    <t>净定期费用折扣率-最低</t>
  </si>
  <si>
    <t>淨定期費用折扣率-最低</t>
  </si>
  <si>
    <t>Taux de coût périodique net - Min</t>
  </si>
  <si>
    <t>净定期费用折扣率-最高</t>
  </si>
  <si>
    <t>淨定期費用折扣率-最高</t>
  </si>
  <si>
    <t>Taux de coût périodique net - Max</t>
  </si>
  <si>
    <t>补偿率增加-最低</t>
  </si>
  <si>
    <t>補償率增加-最低</t>
  </si>
  <si>
    <t>Augmentation du taux de rémunération - Min</t>
  </si>
  <si>
    <t>补偿率增加-最高</t>
  </si>
  <si>
    <t>補償率增加-最高</t>
  </si>
  <si>
    <t>Augmentation du taux de rémunération - Max</t>
  </si>
  <si>
    <t>预期长期资产收益率-最低</t>
  </si>
  <si>
    <t>預期長期資產收益率-最低</t>
  </si>
  <si>
    <t>Dépenses Taux de rendement à long terme des actifs - Min</t>
  </si>
  <si>
    <t>预期长期资产收益率-最高</t>
  </si>
  <si>
    <t>預期長期資產收益率-最高</t>
  </si>
  <si>
    <t>Dépenses Taux de rendement à long terme des actifs - Max</t>
  </si>
  <si>
    <t>计划资产明细</t>
  </si>
  <si>
    <t>計劃資產明細</t>
  </si>
  <si>
    <t>Composition des actifs du régime</t>
  </si>
  <si>
    <t>计划资产-权益（％）</t>
  </si>
  <si>
    <t>計劃資產-權益（％）</t>
  </si>
  <si>
    <t>Actifs du régime - Actions (%)</t>
  </si>
  <si>
    <t>计划资产-固定收益（％）</t>
  </si>
  <si>
    <t>計劃資產-固定收益（％）</t>
  </si>
  <si>
    <t>Actifs du régime - Revenu fixe (%)</t>
  </si>
  <si>
    <t>计划资产-房地产（％）</t>
  </si>
  <si>
    <t>計劃資產-房地產（％）</t>
  </si>
  <si>
    <t>Actifs du régime - Immobilier (%)</t>
  </si>
  <si>
    <t>其他计划资产（％）</t>
  </si>
  <si>
    <t>其他計劃資產（％）</t>
  </si>
  <si>
    <t>Autres actifs du régime (%)</t>
  </si>
  <si>
    <t>计划资产-权益</t>
  </si>
  <si>
    <t>計劃資產-權益</t>
  </si>
  <si>
    <t>Actifs de régime - Actions</t>
  </si>
  <si>
    <t>计划资产-固定收益</t>
  </si>
  <si>
    <t>計劃資產-固定收益</t>
  </si>
  <si>
    <t>Actifs de régime - Revenu fixe</t>
  </si>
  <si>
    <t>计划资产-房地产</t>
  </si>
  <si>
    <t>計劃資產-房地產</t>
  </si>
  <si>
    <t>Actifs du régime - Immobilier</t>
  </si>
  <si>
    <t>其他计划资产</t>
  </si>
  <si>
    <t>其他計劃資產</t>
  </si>
  <si>
    <t>Autres actifs du régime</t>
  </si>
  <si>
    <t>资产负债表中确认的其他综合收益金额明细</t>
  </si>
  <si>
    <t>資產負債表中確認的其他綜合收益金額明細</t>
  </si>
  <si>
    <t>Ventilation des montants comptabilisés dans les autres éléments du résultat global au bilan</t>
  </si>
  <si>
    <t>净精算损失/收益–综合收益</t>
  </si>
  <si>
    <t>淨精算損失/收益–綜合收益</t>
  </si>
  <si>
    <t>Perte/gain actuariel net - Résultat global</t>
  </si>
  <si>
    <t>事前服务成本/收益–综合收益</t>
  </si>
  <si>
    <t>事前服務成本/收益–綜合收益</t>
  </si>
  <si>
    <t>Coût/bénéfice des services antérieurs - Résultat global</t>
  </si>
  <si>
    <t>过渡资产/债务–综合收益</t>
  </si>
  <si>
    <t>過渡資產/債務–綜合收益</t>
  </si>
  <si>
    <t>Actif/obligation de transition - Résultat global</t>
  </si>
  <si>
    <t>其他杂项调整-综合收益</t>
  </si>
  <si>
    <t>其他雜項調整-綜合收益</t>
  </si>
  <si>
    <t>Autres Divers Ajusté - Résultat global</t>
  </si>
  <si>
    <t>确认的净额–综合收益</t>
  </si>
  <si>
    <t>確認的淨額–綜合收益</t>
  </si>
  <si>
    <t>Montant net comptabilisé - Résultat global</t>
  </si>
  <si>
    <t>预计将在明年确认为周期性定期福利费用净额的组成部分</t>
  </si>
  <si>
    <t>預計將在明年確認為周期性定期福利費用淨額的組成部分</t>
  </si>
  <si>
    <t>Prévu pour être comptabilisé comme un élément du coût net des prestations périodiques au cours de l'année suivante</t>
  </si>
  <si>
    <t>先前确认的先前服务费用/收益</t>
  </si>
  <si>
    <t>先前確認的先前服務費用/收益</t>
  </si>
  <si>
    <t>Reconnaissance du coût/bénéfice du service antérieur Prochaine période</t>
  </si>
  <si>
    <t>下一期间的净精算损失/收益确认</t>
  </si>
  <si>
    <t>下一期間的淨精算損失/收益確認</t>
  </si>
  <si>
    <t>Gain/perte actuariel(le) net(le) de reconnaissance. Prochaine période</t>
  </si>
  <si>
    <t>下一时期确认的过渡资产/债务</t>
  </si>
  <si>
    <t>下一時期確認的過渡資產/債務</t>
  </si>
  <si>
    <t>Reconnaissance des actifs de transition/obligation. Prochaine période</t>
  </si>
  <si>
    <t>下一期间将确认的总金额</t>
  </si>
  <si>
    <t>下一期間將確認的總金額</t>
  </si>
  <si>
    <t>Montant total à comptabiliser dans la période suivante</t>
  </si>
  <si>
    <t>累積給付債務（年金）</t>
  </si>
  <si>
    <t>Обязательство по накопленным выплатам (пенсия)</t>
  </si>
  <si>
    <t>Accum. Obligación de prestaciones (Pensión)</t>
  </si>
  <si>
    <t>制度資産</t>
  </si>
  <si>
    <t>Плановые активы</t>
  </si>
  <si>
    <t>Activos del Plan</t>
  </si>
  <si>
    <t>期初制度資産</t>
  </si>
  <si>
    <t>Начальные плановые активы</t>
  </si>
  <si>
    <t>Activos del Plan al principio</t>
  </si>
  <si>
    <t>制度資産の実際収益</t>
  </si>
  <si>
    <t>Фактическая рентабельность плановых активов</t>
  </si>
  <si>
    <t>Rendimiento Actual de los activos del Plan</t>
  </si>
  <si>
    <t>雇用者拠出</t>
  </si>
  <si>
    <t>Взносы работодателей</t>
  </si>
  <si>
    <t>Contribuciones del empleador</t>
  </si>
  <si>
    <t>参加者拠出</t>
  </si>
  <si>
    <t>Взносы участников</t>
  </si>
  <si>
    <t>Contribuciones de los participantes</t>
  </si>
  <si>
    <t>給付支出</t>
  </si>
  <si>
    <t>Выплаченные средства</t>
  </si>
  <si>
    <t>Beneficios pagados</t>
  </si>
  <si>
    <t>外国為替の調整</t>
  </si>
  <si>
    <t>Валютные корректировки</t>
  </si>
  <si>
    <t>Ajustes de divisas</t>
  </si>
  <si>
    <t>買収制度資産</t>
  </si>
  <si>
    <t>Приобретенные плановые активы</t>
  </si>
  <si>
    <t>Activos Adquiridos del Plan</t>
  </si>
  <si>
    <t>計画決済/縮小</t>
  </si>
  <si>
    <t>План урегулирования/сокращения</t>
  </si>
  <si>
    <t>Liquidación del Plan / Reducción</t>
  </si>
  <si>
    <t>その他の計画の調整</t>
  </si>
  <si>
    <t>Другие корректировки плана</t>
  </si>
  <si>
    <t>Otros ajustes del plan</t>
  </si>
  <si>
    <t>総制度資産</t>
  </si>
  <si>
    <t>Всего Плановые Активы</t>
  </si>
  <si>
    <t>Activos totales del Plan</t>
  </si>
  <si>
    <t>加重平均純期間費用の仮定</t>
  </si>
  <si>
    <t>Средневзвешенные допущения по чистой периодической стоимости</t>
  </si>
  <si>
    <t>El promedio ponderado Supuestos sobre el costo periódico neto</t>
  </si>
  <si>
    <t>純期間費用ディスクレート - 最小限</t>
  </si>
  <si>
    <t>Ставка чистой периодической стоимости - Мин.</t>
  </si>
  <si>
    <t>Costo periódico neto. Tasa - Mínimo</t>
  </si>
  <si>
    <t>純期間費用ディスクレート - 最大限</t>
  </si>
  <si>
    <t>Ставка чистой периодической стоимости - Макс.</t>
  </si>
  <si>
    <t>Costo periódico neto. Tasa - Máximo</t>
  </si>
  <si>
    <t>コンプの割合増加 - 最小限</t>
  </si>
  <si>
    <t>Скорость компенсирования  - Мин.</t>
  </si>
  <si>
    <t>Tasa de Componentes Incremento - Min</t>
  </si>
  <si>
    <t>コンプの割合増加 - 最大限</t>
  </si>
  <si>
    <t>Скорость компенсирования  - Макс.</t>
  </si>
  <si>
    <t>Tasa de Componentes Aumento - Máximo</t>
  </si>
  <si>
    <t>資産の長期期待収益率 - 最小限</t>
  </si>
  <si>
    <t>Долгосрочная норма доходности активов - Мин.</t>
  </si>
  <si>
    <t>Exp.Tasa de Largo plazo ROA - Mínimo</t>
  </si>
  <si>
    <t>資産の長期期待収益率 - 最大限</t>
  </si>
  <si>
    <t>Долгосрочная норма доходности активов - макс.</t>
  </si>
  <si>
    <t>Exp.Tasa de Largo plazo ROA - Máximo</t>
  </si>
  <si>
    <t>制度資産の内訳</t>
  </si>
  <si>
    <t>Анализ плановых активов</t>
  </si>
  <si>
    <t>Desglose de los activos del Plan</t>
  </si>
  <si>
    <t>制度資産 - 株式（％）</t>
  </si>
  <si>
    <t>Плановые активы - Акции (%)</t>
  </si>
  <si>
    <t>Activos del Plan - Acciones (%)</t>
  </si>
  <si>
    <t>制度資産 - 債券（％）</t>
  </si>
  <si>
    <t>Плановые активы - фиксированный доход (%)</t>
  </si>
  <si>
    <t>Activos del Plan - Renta fija (%)</t>
  </si>
  <si>
    <t>プラン資産̶不動産（％）</t>
  </si>
  <si>
    <t>Плановые активы - Недвижимость (%)</t>
  </si>
  <si>
    <t>Activos del plan - Bienes inmuebles (%)</t>
  </si>
  <si>
    <t>その他の制度資産（％）</t>
  </si>
  <si>
    <t>Прочие плановые активы (%)</t>
  </si>
  <si>
    <t>Otros activos del Plan (%)</t>
  </si>
  <si>
    <t>制度資産 - 株式</t>
  </si>
  <si>
    <t>Плановые активы - Акции</t>
  </si>
  <si>
    <t>Activos del Plan - Acciones</t>
  </si>
  <si>
    <t>制度資産 - 債券</t>
  </si>
  <si>
    <t>Плановые активы - фиксированный доход</t>
  </si>
  <si>
    <t>Activos del Plan - Renta fija</t>
  </si>
  <si>
    <t>プラン資産̶不動産</t>
  </si>
  <si>
    <t>Плановые активы - Недвижимость</t>
  </si>
  <si>
    <t>Activos del plan - Bienes raíces</t>
  </si>
  <si>
    <t>その他の制度資産</t>
  </si>
  <si>
    <t>Другие плановые активы</t>
  </si>
  <si>
    <t>Otros activos del Plan</t>
  </si>
  <si>
    <t>貸借対照表のその他の包括利益で認識された金額の内訳</t>
  </si>
  <si>
    <t>Распределение сумм, отраженных в составе прочего совокупного дохода в бухгалтерском балансе</t>
  </si>
  <si>
    <t>Desglose de los importes reconocidos en Otros ingresos globales en el Balance</t>
  </si>
  <si>
    <t>数理計算上の純損益 - 包括利益</t>
  </si>
  <si>
    <t>Чистые актуарные убытки/прибыль - совокупный доход</t>
  </si>
  <si>
    <t>Pérdida/Ganancia actuarial neta - Resultado Integral</t>
  </si>
  <si>
    <t>過去勤務損益 - 包括利益</t>
  </si>
  <si>
    <t>Затраты/выгоды, связанные с предыдущим обслуживанием - совокупный доход</t>
  </si>
  <si>
    <t>Costo/beneficio del servicio anterior - Resultado Integral</t>
  </si>
  <si>
    <t>移行資産・債務 - 包括利益</t>
  </si>
  <si>
    <t>Переходные активы/обязательства - совокупный доход</t>
  </si>
  <si>
    <t>Activo de transición/Obligación - Resultado Integral</t>
  </si>
  <si>
    <t>その他の雑用修正 - 包括利益</t>
  </si>
  <si>
    <t>Прочее скорректировано - совокупный доход</t>
  </si>
  <si>
    <t>Otros Ajustes Miscelaneos - Resultado Integral</t>
  </si>
  <si>
    <t>認識された純金額 - 包括利益</t>
  </si>
  <si>
    <t>Чистая признанная сумма - совокупный доход</t>
  </si>
  <si>
    <t>Monto neto reconocido - Resultado Integral</t>
  </si>
  <si>
    <t>来年の純期間給付・費用の構成要素として認識される予定</t>
  </si>
  <si>
    <t>Ожидается, что в предстоящем году в качестве компонентов чистых расходов на периодические пособия и льготы будут учитываться следующие компоненты</t>
  </si>
  <si>
    <t>Se espera que se reconozcan como componentes del costo neto de las prestaciones periódicas en el próximo año</t>
  </si>
  <si>
    <t>次期認識される過去勤務損益</t>
  </si>
  <si>
    <t>Учет затрат/выгод от предыдущей услуги последующий период</t>
  </si>
  <si>
    <t>Reconocimiento del costo/beneficio del servicio anterior. Próximo período</t>
  </si>
  <si>
    <t>次期認識される数理計算上の純損益</t>
  </si>
  <si>
    <t>Актуарные прибыли/убытки за вычетом признанных расходов. последующий период</t>
  </si>
  <si>
    <t>Pérdida/Ganancia actuarial neta de reconocimiento. Próximo período</t>
  </si>
  <si>
    <t>次期認識される移行資産・債務</t>
  </si>
  <si>
    <t>Признание переходных/обязательных активов. последующий период</t>
  </si>
  <si>
    <t>Reconocimiento de Activos de Transición/Obligación. Próximo período</t>
  </si>
  <si>
    <t>次期認識される総額</t>
  </si>
  <si>
    <t>Итого сумма, подлежащая признанию в следующем периоде</t>
  </si>
  <si>
    <t>Cantidad total que se reconocerá en el próximo período</t>
  </si>
  <si>
    <t>Akkumulierte Leistungsverpflichtung (Pension)</t>
  </si>
  <si>
    <t>Obbligo a benefici acc. (pensioni)</t>
  </si>
  <si>
    <t>Planvermögen</t>
  </si>
  <si>
    <t>Attività a servizio del piano</t>
  </si>
  <si>
    <t>Anfängliches Planvermögen</t>
  </si>
  <si>
    <t>Attività a servizio del piano in.</t>
  </si>
  <si>
    <t>Tatsächliche Rendite auf das Planvermögen</t>
  </si>
  <si>
    <t>Rendimento attuale su attività a servizio del piano</t>
  </si>
  <si>
    <t>Arbeitgeberbeiträge</t>
  </si>
  <si>
    <t>Contributi dipendenti</t>
  </si>
  <si>
    <t>Mitgliedsbeiträge</t>
  </si>
  <si>
    <t>Contributi partecipanti</t>
  </si>
  <si>
    <t>Gezahlte Leistungen</t>
  </si>
  <si>
    <t>Benefici pagati</t>
  </si>
  <si>
    <t>Wechselkursanpassungen</t>
  </si>
  <si>
    <t>Rettifiche tasso di cambio</t>
  </si>
  <si>
    <t>Erworbenes Planvermögen</t>
  </si>
  <si>
    <t>Attività a servizio del piano acquisite</t>
  </si>
  <si>
    <t>Planabwicklung/-kürzung</t>
  </si>
  <si>
    <t>Riduzione/Estensione del piano</t>
  </si>
  <si>
    <t>Sonstige Plananpassungen</t>
  </si>
  <si>
    <t>Altre rettifiche del piano</t>
  </si>
  <si>
    <t>Summe des Planvermögens</t>
  </si>
  <si>
    <t>Totale attività piano</t>
  </si>
  <si>
    <t>Gewichtete durchschnittliche Annahmen zu den Nettoperiodenkosten</t>
  </si>
  <si>
    <t>Media ponderata ipotesi costo periodico netto</t>
  </si>
  <si>
    <t>Nettoperiodenkosten Abzinsungssatz – Min</t>
  </si>
  <si>
    <t>Tasso sconto costo periodico netto - Min</t>
  </si>
  <si>
    <t>Nettoperiodenkosten Abzinsungssatz – Max</t>
  </si>
  <si>
    <t>Tasso sconto costo periodico netto - Max</t>
  </si>
  <si>
    <t>Rate der Vergütungszunahme – Min</t>
  </si>
  <si>
    <t>Tasso di aumento comp. - Min</t>
  </si>
  <si>
    <t>Rate der Vergütungszunahme – Max</t>
  </si>
  <si>
    <t>Tasso di aumento comp. - Max</t>
  </si>
  <si>
    <t>Erwartete langfristige Vermögensrendite – Min</t>
  </si>
  <si>
    <t>Tasso di rendimento sulle attività a lungo termine att. - Min</t>
  </si>
  <si>
    <t>Erwartete langfristige Vermögensrendite – Max</t>
  </si>
  <si>
    <t>Tasso di rendimento sulle attività a lungo termine att. - Max</t>
  </si>
  <si>
    <t>Aufschlüsselung des Planvermögens</t>
  </si>
  <si>
    <t>Ripartizione attività piano</t>
  </si>
  <si>
    <t>Planvermögen – Aktien (%)</t>
  </si>
  <si>
    <t>Attività a servizio del piano - Equity (%)</t>
  </si>
  <si>
    <t>Planvermögen – Rentenpapiere (%)</t>
  </si>
  <si>
    <t>Attività a servizio del piano - Reddito fisso (%)</t>
  </si>
  <si>
    <t>Planvermögen – Immobilien (%)</t>
  </si>
  <si>
    <t>Attività a servizio del piano - Immobiliare (%)</t>
  </si>
  <si>
    <t>Sonstiges Planvermögen (%)</t>
  </si>
  <si>
    <t>Altre attività a servizio del piano (%)</t>
  </si>
  <si>
    <t>Planvermögen – Aktien</t>
  </si>
  <si>
    <t>Attività a servizio del piano - Equity</t>
  </si>
  <si>
    <t>Planvermögen – Rentenpapiere</t>
  </si>
  <si>
    <t>Attività a servizio del piano - Reddito fisso</t>
  </si>
  <si>
    <t>Planvermögen – Immobilien</t>
  </si>
  <si>
    <t>Attività a servizio del piano - Immobiliare</t>
  </si>
  <si>
    <t>Sonstiges Planvermögen</t>
  </si>
  <si>
    <t>Altre attività a servizio del piano</t>
  </si>
  <si>
    <t>Aufschlüsselung der im Sonstigen Gesamtergebnis aktivierten Beträge in BS</t>
  </si>
  <si>
    <t>Ripartizione degli importi rilevati in altre componenti reddituali in BS</t>
  </si>
  <si>
    <t>Versicherungsmathematischer Nettoverlust/-ertrag – Gesamtergebnis</t>
  </si>
  <si>
    <t>Perdite/Utili attuariali netti – Conto econ. compl.</t>
  </si>
  <si>
    <t>Kosten/Leistungen ehemals Beschäftigter – Gesamtergebnis</t>
  </si>
  <si>
    <t>Costo/Beneficio per servizio precedente – Conto econ. compl.</t>
  </si>
  <si>
    <t>Übergangsvermögen/-verbindlichkeiten – Gesamtergebnis</t>
  </si>
  <si>
    <t>Obbligo/Attività transizione – Conto econ. compl.</t>
  </si>
  <si>
    <t>Verschiedene sonstige Anpassungen – Gesamtergebnis</t>
  </si>
  <si>
    <t>Altre rett. varie – Conto econ. compl.</t>
  </si>
  <si>
    <t>Aktivierter Nettobetrag – Gesamtergebnis</t>
  </si>
  <si>
    <t>Importo netto riconosciuto – Conto econ. compl.</t>
  </si>
  <si>
    <t>Erwartungsgemäß im nächsten Jahr als Komponenten der Periodenleistungskosten aktivierte Beträge</t>
  </si>
  <si>
    <t>Previsto essere riconosciuto come componente del costo del beneficio periodico netto nel prossimo anno</t>
  </si>
  <si>
    <t>Kosten/Leistungen ehemals Beschäftigter, die in der nächsten Periode aktiviert werden</t>
  </si>
  <si>
    <t>Costo per servizio precedente/Beneficio riconosciuto periodo succ.</t>
  </si>
  <si>
    <t>Versicherungsmathematischer Nettoverlust/-gewinn, der in der nächsten Periode aktiviert wird</t>
  </si>
  <si>
    <t>Perdita attuariale netta/Utile riconosciuto periodo succ.</t>
  </si>
  <si>
    <t>Übergang Vermögens-/Verbindlichkeitsaktivierung in der nächsten Periode</t>
  </si>
  <si>
    <t>Attività/Obbligo transizione riconosciuti periodo successivo</t>
  </si>
  <si>
    <t>Gesamtbetrag, der in der nächsten Periode aktiviert wird</t>
  </si>
  <si>
    <t>Importo totale riconosciuto periodo successivo</t>
  </si>
  <si>
    <t>누적급여채무(연금)</t>
  </si>
  <si>
    <t>계획 자산</t>
  </si>
  <si>
    <t>시작 계획 자산</t>
  </si>
  <si>
    <t>실제 계획 자산 이익률</t>
  </si>
  <si>
    <t>고용주 기여도</t>
  </si>
  <si>
    <t>참가자 기여도</t>
  </si>
  <si>
    <t>지불된 급여</t>
  </si>
  <si>
    <t>환율 조정</t>
  </si>
  <si>
    <t>인수된 계획 자산</t>
  </si>
  <si>
    <t>계획 정산/삭감</t>
  </si>
  <si>
    <t>기타 계획 조정</t>
  </si>
  <si>
    <t>총 계획 자산</t>
  </si>
  <si>
    <t>순 정기 비용의 가중평균 가정</t>
  </si>
  <si>
    <t>순 정기 비용 할인율 - 최소</t>
  </si>
  <si>
    <t>순 정기 비용 할인율 - 최대</t>
  </si>
  <si>
    <t>구상환율 인상 - 최소</t>
  </si>
  <si>
    <t>구상환율 인상 - 최대</t>
  </si>
  <si>
    <t>예상 장기 자산 이익률 - 최소</t>
  </si>
  <si>
    <t>예상 장기 자산 이익률 - 최대</t>
  </si>
  <si>
    <t>계획 자산 분석</t>
  </si>
  <si>
    <t>계획 자산 - 주식(%)</t>
  </si>
  <si>
    <t>계획 자산 - 고정 수익(%)</t>
  </si>
  <si>
    <t>계획 자산 - 부동산(%)</t>
  </si>
  <si>
    <t>기타 계획 자산(%)</t>
  </si>
  <si>
    <t>계획 자산 - 주식</t>
  </si>
  <si>
    <t>계획 자산 - 고정 수익</t>
  </si>
  <si>
    <t>계획 자산 - 부동산</t>
  </si>
  <si>
    <t>기타 계획 자산</t>
  </si>
  <si>
    <t>BS의 기타 포괄 손익에서 인식된 금액 분석</t>
  </si>
  <si>
    <t>순 보험 계리사 손실/이익 – 포괄 손익</t>
  </si>
  <si>
    <t>이전 서비스 비용/급여 – 포괄 손익</t>
  </si>
  <si>
    <t>전환 자산/채무 – 포괄 손익</t>
  </si>
  <si>
    <t>기타 조정 – 포괄 손익</t>
  </si>
  <si>
    <t>순 인식 금액 – 포괄 손익</t>
  </si>
  <si>
    <t>내년에 순 주기 급여 비용의 구성 요소로 인식될 것으로 예상됨</t>
  </si>
  <si>
    <t>다음 기간 인식된 이전 서비스 비용/급여</t>
  </si>
  <si>
    <t>다음 기간 인식된 순 보험 계리사 손실/이익</t>
  </si>
  <si>
    <t>다음 기간 인식된 전환 자산/채무</t>
  </si>
  <si>
    <t>다음 기간 인식될 총 금액</t>
  </si>
  <si>
    <t>其他离职后福利-外国</t>
  </si>
  <si>
    <t>其他離職後福利-外國</t>
  </si>
  <si>
    <t>Autres avantages postérieurs à l'emploi (APE) - étrangers</t>
  </si>
  <si>
    <t>资产管理规模</t>
  </si>
  <si>
    <t>資產管理規模</t>
  </si>
  <si>
    <t>Actifs sous gestion</t>
  </si>
  <si>
    <t>资产管理规模-权益</t>
  </si>
  <si>
    <t>資產管理規模-權益</t>
  </si>
  <si>
    <t>Actifs sous gestion - Actifs</t>
  </si>
  <si>
    <t>资产管理规模-固定</t>
  </si>
  <si>
    <t>資產管理規模-固定</t>
  </si>
  <si>
    <t>Actifs sous gestion - Revenu fixe</t>
  </si>
  <si>
    <t>资产管理规模-货币市场</t>
  </si>
  <si>
    <t>資產管理規模-貨幣市場</t>
  </si>
  <si>
    <t>Avoirs sous gestion - Marché monétaire</t>
  </si>
  <si>
    <t>资产管理规模-其他</t>
  </si>
  <si>
    <t>資產管理規模-其他</t>
  </si>
  <si>
    <t>Actifs sous gestion - Autres</t>
  </si>
  <si>
    <t>资产管理规模-总额</t>
  </si>
  <si>
    <t>資產管理規模-總額</t>
  </si>
  <si>
    <t>Total des actifs sous gestion</t>
  </si>
  <si>
    <t>资产管理规模-私募股权</t>
  </si>
  <si>
    <t>資產管理規模-私募股權</t>
  </si>
  <si>
    <t>Actifs sous gestion - Capital-investissement</t>
  </si>
  <si>
    <t>资产管理规模-房地产</t>
  </si>
  <si>
    <t>資產管理規模-房地產</t>
  </si>
  <si>
    <t>Actifs sous gestion - Immobilier</t>
  </si>
  <si>
    <t>资产管理规模-机构</t>
  </si>
  <si>
    <t>資產管理規模-機構</t>
  </si>
  <si>
    <t>Actifs sous gestion - Institutionnel</t>
  </si>
  <si>
    <t>资产管理规模-零售</t>
  </si>
  <si>
    <t>資產管理規模-零售</t>
  </si>
  <si>
    <t>Actifs sous gestion - Commerce de détail</t>
  </si>
  <si>
    <t>资产管理规模-高净额</t>
  </si>
  <si>
    <t>資產管理規模-高淨額</t>
  </si>
  <si>
    <t>Actifs sous gestion - Valeur nette élevée</t>
  </si>
  <si>
    <t>资产管理规模-其他客户</t>
  </si>
  <si>
    <t>資產管理規模-其他客戶</t>
  </si>
  <si>
    <t>Actifs sous gestion - Autres clients</t>
  </si>
  <si>
    <t>资产管理规模-国内</t>
  </si>
  <si>
    <t>資產管理規模-國內</t>
  </si>
  <si>
    <t>Actifs sous gestion - National</t>
  </si>
  <si>
    <t>资产管理规模-外国</t>
  </si>
  <si>
    <t>資產管理規模-外國</t>
  </si>
  <si>
    <t>Actifs sous gestion - étrangers</t>
  </si>
  <si>
    <t>资产管理规模-费用收入</t>
  </si>
  <si>
    <t>資產管理規模-費用收入</t>
  </si>
  <si>
    <t>Actifs sous gestion - Revenus d'honoraires</t>
  </si>
  <si>
    <t>资产管理规模-非费用收入</t>
  </si>
  <si>
    <t>資產管理規模-非費用收入</t>
  </si>
  <si>
    <t>Actifs sous gestion - Impayés</t>
  </si>
  <si>
    <t>资产管理规模-零售客户</t>
  </si>
  <si>
    <t>資產管理規模-零售客戶</t>
  </si>
  <si>
    <t>Actifs sous gestion - Clients de détail</t>
  </si>
  <si>
    <t>资产管理规模-机构客户</t>
  </si>
  <si>
    <t>資產管理規模-機構客戶</t>
  </si>
  <si>
    <t>Actifs sous gestion - Clients institutionnels</t>
  </si>
  <si>
    <t>资产管理规模-中小型企业客户</t>
  </si>
  <si>
    <t>資產管理規模-中小型企業客戶</t>
  </si>
  <si>
    <t>Actifs sous gestion - Clients des petites et moyennes entreprises</t>
  </si>
  <si>
    <t>资产管理规模-客户总数</t>
  </si>
  <si>
    <t>資產管理規模-客戶總數</t>
  </si>
  <si>
    <t>Actifs sous gestion - Total des clients</t>
  </si>
  <si>
    <t>资产管理规模-期初</t>
  </si>
  <si>
    <t>資產管理規模-期初</t>
  </si>
  <si>
    <t>Actifs sous gestion - Début de la période</t>
  </si>
  <si>
    <t>资产管理规模-流入</t>
  </si>
  <si>
    <t>資產管理規模-流入</t>
  </si>
  <si>
    <t>Actifs sous gestion - Entrées</t>
  </si>
  <si>
    <t>资产管理规模-流出</t>
  </si>
  <si>
    <t>資產管理規模-流出</t>
  </si>
  <si>
    <t>Actifs sous gestion - Sorties</t>
  </si>
  <si>
    <t>资产管理规模-净流入/（流出）</t>
  </si>
  <si>
    <t>資產管理規模-淨流入/（流出）</t>
  </si>
  <si>
    <t>Actifs sous gestion - Entrées / (sorties) nettes</t>
  </si>
  <si>
    <t>资产管理规模-现金流量和股息</t>
  </si>
  <si>
    <t>資產管理規模-現金流量和股息</t>
  </si>
  <si>
    <t>Actifs sous gestion - Flux de trésorerie et dividendes</t>
  </si>
  <si>
    <t>资产管理规模-市场升值/（折旧）</t>
  </si>
  <si>
    <t>資產管理規模-市場升值/（折舊）</t>
  </si>
  <si>
    <t xml:space="preserve">Actifs sous gestion - Appréciation du marché/(Amortissement) </t>
  </si>
  <si>
    <t>资产管理规模-收购和转让</t>
  </si>
  <si>
    <t>資產管理規模-收購和轉讓</t>
  </si>
  <si>
    <t>Actifs sous gestion - Acquisitions et transferts</t>
  </si>
  <si>
    <t>资产管理规模-其他调整</t>
  </si>
  <si>
    <t>資產管理規模-其他調整</t>
  </si>
  <si>
    <t>Actifs sous gestion - Autres ajustements</t>
  </si>
  <si>
    <t>资产管理规模-期末</t>
  </si>
  <si>
    <t>資產管理規模-期末</t>
  </si>
  <si>
    <t>Actifs sous gestion - Fin de période</t>
  </si>
  <si>
    <t>资产管理规模-平均</t>
  </si>
  <si>
    <t>資產管理規模-平均</t>
  </si>
  <si>
    <t>Actifs sous gestion - Moyenne</t>
  </si>
  <si>
    <t>资产管理规模-净变动</t>
  </si>
  <si>
    <t>資產管理規模-淨變動</t>
  </si>
  <si>
    <t>Actifs sous gestion - Variation nette</t>
  </si>
  <si>
    <t>共同基金-期初</t>
  </si>
  <si>
    <t>Fonds d'investissement - Début de la période</t>
  </si>
  <si>
    <t>共同基金-销售</t>
  </si>
  <si>
    <t>共同基金-銷售</t>
  </si>
  <si>
    <t>Fonds d'investissement - Ventes</t>
  </si>
  <si>
    <t>共同基金-赎回</t>
  </si>
  <si>
    <t>共同基金-贖回</t>
  </si>
  <si>
    <t>Fonds d'investissement - Remboursements</t>
  </si>
  <si>
    <t>共同基金-净销售额</t>
  </si>
  <si>
    <t>共同基金-淨銷售額</t>
  </si>
  <si>
    <t>Fonds d'investissement - Ventes nettes</t>
  </si>
  <si>
    <t>共同基金-市场升值/（折旧）</t>
  </si>
  <si>
    <t>共同基金-市場升值/（折舊）</t>
  </si>
  <si>
    <t>Fonds d'investissement - Appréciation du marché / (Amortissement)</t>
  </si>
  <si>
    <t>共同基金-收购及其他</t>
  </si>
  <si>
    <t>共同基金-收購及其他</t>
  </si>
  <si>
    <t>Fonds d'investissement - Acquisitions et autres</t>
  </si>
  <si>
    <t>共同基金-期末</t>
  </si>
  <si>
    <t>Fonds d'investissement - Fin de la période</t>
  </si>
  <si>
    <t>每日平均收益交易</t>
  </si>
  <si>
    <t>Revenu quotidien moyen des opérations</t>
  </si>
  <si>
    <t>交易数量</t>
  </si>
  <si>
    <t>交易數量</t>
  </si>
  <si>
    <t>Nombre d'opérations exécutées</t>
  </si>
  <si>
    <t>有机增长率</t>
  </si>
  <si>
    <t>有機增長率</t>
  </si>
  <si>
    <t>Taux de croissance organique</t>
  </si>
  <si>
    <t>新客户净资产</t>
  </si>
  <si>
    <t>新客戶淨資產</t>
  </si>
  <si>
    <t>Actifs nets des nouveaux clients</t>
  </si>
  <si>
    <t>每笔交易的平均收入</t>
  </si>
  <si>
    <t>每筆交易的平均收入</t>
  </si>
  <si>
    <t>Revenu moyen par opération</t>
  </si>
  <si>
    <t>管理资产</t>
  </si>
  <si>
    <t>管理資產</t>
  </si>
  <si>
    <t>客户资产价值</t>
  </si>
  <si>
    <t>客戶資產價值</t>
  </si>
  <si>
    <t>Valeur des actifs des clients</t>
  </si>
  <si>
    <t>资产管理增长率</t>
  </si>
  <si>
    <t>資產管理增長率</t>
  </si>
  <si>
    <t>Taux de croissance des actifs sous gestion</t>
  </si>
  <si>
    <t>资本租赁资产-累计折旧</t>
  </si>
  <si>
    <t>資本租賃資產-累計折舊</t>
  </si>
  <si>
    <t>Biens détenus en location-financement - Amortissements cumulés</t>
  </si>
  <si>
    <t>资本租赁资产-毛额</t>
  </si>
  <si>
    <t>資本租賃資產-毛額</t>
  </si>
  <si>
    <t>Actifs sous contrat de location-financement - bruts</t>
  </si>
  <si>
    <t>经营租赁资产-累计折旧</t>
  </si>
  <si>
    <t>經營租賃資產-累計折舊</t>
  </si>
  <si>
    <t>Actifs en leasing opérationnel - Amortissement cumulé</t>
  </si>
  <si>
    <t>经营租赁资产-毛额</t>
  </si>
  <si>
    <t>經營租賃資產-毛額</t>
  </si>
  <si>
    <t>Actifs en leasing opérationnel - bruts</t>
  </si>
  <si>
    <t>资本化利息数据</t>
  </si>
  <si>
    <t>資本化利息數據</t>
  </si>
  <si>
    <t>Données sur les intérêts capitalisés</t>
  </si>
  <si>
    <t>利息资本化，期初</t>
  </si>
  <si>
    <t>利息資本化，期初</t>
  </si>
  <si>
    <t>Intérêts capitalisés, début de la période</t>
  </si>
  <si>
    <t>利息资本化，已支出</t>
  </si>
  <si>
    <t>利息資本化，已支出</t>
  </si>
  <si>
    <t>Intérêts capitalisés, dépensés</t>
  </si>
  <si>
    <t>利息资本化，注销</t>
  </si>
  <si>
    <t>利息資本化，註銷</t>
  </si>
  <si>
    <t>Intérêts capitalisés, amortis</t>
  </si>
  <si>
    <t>利息资本化，其他调整</t>
  </si>
  <si>
    <t>利息資本化，其他調整</t>
  </si>
  <si>
    <t>Intérêts capitalisés, autres ajustés</t>
  </si>
  <si>
    <t>利息资本化，期末</t>
  </si>
  <si>
    <t>利息資本化，期末</t>
  </si>
  <si>
    <t>Intérêts capitalisés, fin de période</t>
  </si>
  <si>
    <t>亏损结转相关项目</t>
  </si>
  <si>
    <t>虧損結轉相關項目</t>
  </si>
  <si>
    <t>Perte d'éléments liés à la comptabilité</t>
  </si>
  <si>
    <t>净营业亏损结转，本年度</t>
  </si>
  <si>
    <t>淨營業虧損結轉，本年度</t>
  </si>
  <si>
    <t>Perte d'exploitation nette reportée (NOL C / F), année en cours</t>
  </si>
  <si>
    <t>净经营亏损结转，本年度+1</t>
  </si>
  <si>
    <t>淨經營虧損結轉，本年度+1</t>
  </si>
  <si>
    <t>Perte d'exploitation nette reportée (NOL C / F), Année en cours + 1</t>
  </si>
  <si>
    <t>净经营亏损结转，本年度+2</t>
  </si>
  <si>
    <t>淨經營虧損結轉，本年度+2</t>
  </si>
  <si>
    <t>Perte d'exploitation nette reportée (NOL C / F), Année en cours + 2</t>
  </si>
  <si>
    <t>净经营亏损结转，本年度+3</t>
  </si>
  <si>
    <t>淨經營虧損結轉，本年度+3</t>
  </si>
  <si>
    <t>Perte d'exploitation nette reportée (NOL C / F), Année en cours + 3</t>
  </si>
  <si>
    <t>净经营亏损结转，本年度+4</t>
  </si>
  <si>
    <t>淨經營虧損結轉，本年度+4</t>
  </si>
  <si>
    <t>Perte d'exploitation nette reportée (NOL C / F), Année en cours + 4</t>
  </si>
  <si>
    <t>净经营亏损结转，五年后</t>
  </si>
  <si>
    <t>淨經營虧損結轉，五年後</t>
  </si>
  <si>
    <t>Perte d'exploitation nette reportée (NOL C / F), après cinq ans</t>
  </si>
  <si>
    <t>净经营亏损结转，无过期</t>
  </si>
  <si>
    <t>淨經營虧損結轉，無過期</t>
  </si>
  <si>
    <t>Report de pertes d'exploitation nettes (NOL C / F), sans expiration</t>
  </si>
  <si>
    <t>净总经营亏损结转</t>
  </si>
  <si>
    <t>淨總經營虧損結轉</t>
  </si>
  <si>
    <t>Total des pertes d'exploitation nettes reportées (NOL C / F)</t>
  </si>
  <si>
    <t>OPEB - 外国</t>
  </si>
  <si>
    <t>Другие пособия по окончании трудовой деятельности (OPEB) - иностранные</t>
  </si>
  <si>
    <t>Otros beneficios post-empleo (OPEB) - Extranjero</t>
  </si>
  <si>
    <t>運用資産</t>
  </si>
  <si>
    <t>Активы в управлении</t>
  </si>
  <si>
    <t>Activos bajo gestión</t>
  </si>
  <si>
    <t>運用資産 - 株式</t>
  </si>
  <si>
    <t>Активы в управлении - Активы</t>
  </si>
  <si>
    <t>Activos bajo gestión - Patrimonio</t>
  </si>
  <si>
    <t>運用資産 - 固定資産</t>
  </si>
  <si>
    <t>Активы в управлении - фиксированная прибыль</t>
  </si>
  <si>
    <t>Activos bajo gestión - Renta Fija</t>
  </si>
  <si>
    <t>運用資産 - マネー・マーケット</t>
  </si>
  <si>
    <t>Активы в управлении - Денежный рынок</t>
  </si>
  <si>
    <t>Activos bajo gestión - Mercado de dinero</t>
  </si>
  <si>
    <t>運用資産 - その他</t>
  </si>
  <si>
    <t>Активы в управлении - Прочее</t>
  </si>
  <si>
    <t>Activos bajo gestión - Otros</t>
  </si>
  <si>
    <t>総運用資産</t>
  </si>
  <si>
    <t>Общие активы в управлении</t>
  </si>
  <si>
    <t>Activos totales bajo gestión</t>
  </si>
  <si>
    <t>運用資産 - プライベート・エクイティ</t>
  </si>
  <si>
    <t>Активы в управлении - Частные инвестиции</t>
  </si>
  <si>
    <t>Activos bajo gestión - Capital privado</t>
  </si>
  <si>
    <t>運用資産 - 不動産</t>
  </si>
  <si>
    <t>Активы в управлении - Недвижимость</t>
  </si>
  <si>
    <t>Activos bajo administración - Bienes raíces</t>
  </si>
  <si>
    <t>運用資産 - 機関投資家</t>
  </si>
  <si>
    <t>Активы в управлении - Институциональные</t>
  </si>
  <si>
    <t>Activos bajo gestión - Institucional</t>
  </si>
  <si>
    <t>運用資産 - 小売</t>
  </si>
  <si>
    <t>Активы в управлении - Розничная торговля</t>
  </si>
  <si>
    <t>Activos bajo gestión - Venta al por menor</t>
  </si>
  <si>
    <t>運用資産 - 富裕層</t>
  </si>
  <si>
    <t>Активы в управлении - Высокая чистая стоимость</t>
  </si>
  <si>
    <t>Activos bajo gestión - Alto Valor Neto</t>
  </si>
  <si>
    <t>運用資産 - その他のクライアント</t>
  </si>
  <si>
    <t>Активы в управлении - Другие клиенты</t>
  </si>
  <si>
    <t>Activos bajo gestión - Otros clientes</t>
  </si>
  <si>
    <t>運用資産 - 国内</t>
  </si>
  <si>
    <t>Активы в управлении - Национальные</t>
  </si>
  <si>
    <t>Activos bajo gestión - Nacionales</t>
  </si>
  <si>
    <t>運用資産 - 外国</t>
  </si>
  <si>
    <t>Активы в управлении - зарубежные</t>
  </si>
  <si>
    <t>Activos bajo gestión - Extranjero</t>
  </si>
  <si>
    <t>運用資産 - 手数料稼ぎ</t>
  </si>
  <si>
    <t>Активы в управлении - Комиссионные доходы</t>
  </si>
  <si>
    <t>Activos bajo gestión - Ganancia de honorarios</t>
  </si>
  <si>
    <t>運用資産 - 手数料稼ぎなし</t>
  </si>
  <si>
    <t>Активы в управлении - Неоплаченные</t>
  </si>
  <si>
    <t>Activos bajo gestión - No remunerados</t>
  </si>
  <si>
    <t>運用資産 - 小売顧客</t>
  </si>
  <si>
    <t>Активы в управлении - Розничные клиенты</t>
  </si>
  <si>
    <t>Activos bajo gestión - Clientes minoristas</t>
  </si>
  <si>
    <t>運用資産 - 機関顧客</t>
  </si>
  <si>
    <t>Активы в управлении - Институциональные клиенты</t>
  </si>
  <si>
    <t>Activos bajo gestión - Clientes institucionales</t>
  </si>
  <si>
    <t>運用資産 - 小・中企業顧客</t>
  </si>
  <si>
    <t>Активы в управлении - клиенты малого и среднего бизнеса</t>
  </si>
  <si>
    <t>Activos bajo gestión - Clientes de pequeñas y medianas empresas</t>
  </si>
  <si>
    <t>運用資産 - その他の顧客</t>
  </si>
  <si>
    <t>運用資産 - 総顧客</t>
  </si>
  <si>
    <t>Активы в управлении - Всего клиентов</t>
  </si>
  <si>
    <t>Activos bajo gestión - Total de clientes</t>
  </si>
  <si>
    <t>運用資産 - 開始期間</t>
  </si>
  <si>
    <t>Активы в управлении - Начало периода</t>
  </si>
  <si>
    <t>Activos bajo gestión - Inicio del período</t>
  </si>
  <si>
    <t>運用資産 - 流入額</t>
  </si>
  <si>
    <t>Активы в управлении - Потоки</t>
  </si>
  <si>
    <t>Activos bajo gestión - Entradas</t>
  </si>
  <si>
    <t>運用資産 - 流出額</t>
  </si>
  <si>
    <t>Активы в управлении - Оттоки</t>
  </si>
  <si>
    <t>Activos bajo gestión - Salidas</t>
  </si>
  <si>
    <t>運用資産 - 純流入・（流出額）</t>
  </si>
  <si>
    <t>Активы в управлении - Чистые притоки / (Оттоки)</t>
  </si>
  <si>
    <t>Activos bajo gestión - Entradas / (Salidas) netas</t>
  </si>
  <si>
    <t>運用資産 - キャッシュ・フロー・配当</t>
  </si>
  <si>
    <t>Активы в управлении - Денежные потоки и дивиденды</t>
  </si>
  <si>
    <t>Activos bajo gestión - Flujos de efectivo y dividendos</t>
  </si>
  <si>
    <t>運用資産 - 市場上昇/（低下）</t>
  </si>
  <si>
    <t>Активы в управлении - Рыночная стоимость / (износ)</t>
  </si>
  <si>
    <t xml:space="preserve">Activos bajo gestión - Apreciación/(Depreciación) del mercado </t>
  </si>
  <si>
    <t>運用資産 - 買収および譲渡</t>
  </si>
  <si>
    <t>Активы в управлении - Приобретения и передача активов</t>
  </si>
  <si>
    <t>Activos bajo gestión - Adquisiciones y transferencias</t>
  </si>
  <si>
    <t>運用資産 - その他の調整</t>
  </si>
  <si>
    <t>Активы в управлении - прочие корректировки</t>
  </si>
  <si>
    <t>Activos bajo gestión - Otros ajustes</t>
  </si>
  <si>
    <t>運用資産 - 終了期間</t>
  </si>
  <si>
    <t>Активы в управлении - конец периода</t>
  </si>
  <si>
    <t>Activos bajo gestión - Fin del período</t>
  </si>
  <si>
    <t>運用資産 - 平均</t>
  </si>
  <si>
    <t>Активы в управлении - Средний</t>
  </si>
  <si>
    <t>Activos bajo gestión - Promedio</t>
  </si>
  <si>
    <t>運用資産 - 純変化</t>
  </si>
  <si>
    <t>Активы в управлении - чистое изменение</t>
  </si>
  <si>
    <t>Activos bajo gestión - Cambio neto</t>
  </si>
  <si>
    <t>投資信託 - 開始期間</t>
  </si>
  <si>
    <t>Паевой фонд - начало периода</t>
  </si>
  <si>
    <t>Fondo de Inversión - Inicio del período</t>
  </si>
  <si>
    <t>投資信託 - 販売</t>
  </si>
  <si>
    <t>Паевой фонд - Продажи</t>
  </si>
  <si>
    <t>Fondo de inversión - Ventas</t>
  </si>
  <si>
    <t>投資信託 - 償還</t>
  </si>
  <si>
    <t>Паевой фонд - Изъятия</t>
  </si>
  <si>
    <t>Fondo de inversión - Reembolsos</t>
  </si>
  <si>
    <t>投資信託 - 売上高</t>
  </si>
  <si>
    <t>Паевой фонд - чистые продажи</t>
  </si>
  <si>
    <t>Fondo de Inversión - Ventas netas</t>
  </si>
  <si>
    <t>投資信託 - 市場上昇/（低下）</t>
  </si>
  <si>
    <t>Паевой фонд - Рыночная оценка / (амортизация)</t>
  </si>
  <si>
    <t>Fondo de Inversión - Apreciación del mercado / (Depreciación)</t>
  </si>
  <si>
    <t>投資信託 - 買収及びその他</t>
  </si>
  <si>
    <t>Паевой фонд - Приобретения и прочее</t>
  </si>
  <si>
    <t>Fondo de Inversión - Adquisiciones y otros</t>
  </si>
  <si>
    <t>終了期間</t>
  </si>
  <si>
    <t>Паевой фонд - конец периода</t>
  </si>
  <si>
    <t>Fondo de Inversión - Fin del período</t>
  </si>
  <si>
    <t>日平均収入取引</t>
  </si>
  <si>
    <t>Среднесуточный доход от операций с ценными бумагами</t>
  </si>
  <si>
    <t>Promedio diario de ingresos de operaciones</t>
  </si>
  <si>
    <t>取引執行数</t>
  </si>
  <si>
    <t>Количество совершенных сделок</t>
  </si>
  <si>
    <t>Número de operaciones ejecutadas</t>
  </si>
  <si>
    <t>有機的成長率</t>
  </si>
  <si>
    <t>Скорость органического роста</t>
  </si>
  <si>
    <t>Tasa de crecimiento orgánico</t>
  </si>
  <si>
    <t>純新顧客資産</t>
  </si>
  <si>
    <t>Чистые новые клиентские активы</t>
  </si>
  <si>
    <t>Nuevos activos netos de los clientes</t>
  </si>
  <si>
    <t>平均一件取引当たりの収入</t>
  </si>
  <si>
    <t>Средний доход на торговлю</t>
  </si>
  <si>
    <t>Ingreso promedio por operación</t>
  </si>
  <si>
    <t>管理資産</t>
  </si>
  <si>
    <t>Активы под управлением</t>
  </si>
  <si>
    <t>Activos bajo administración</t>
  </si>
  <si>
    <t>顧客資産の価値</t>
  </si>
  <si>
    <t>Стоимость активов клиента</t>
  </si>
  <si>
    <t>Valor de los activos del cliente</t>
  </si>
  <si>
    <t>運用資産の成長率</t>
  </si>
  <si>
    <t>Скорость роста управляемых активов</t>
  </si>
  <si>
    <t>Tasa de crecimiento de los activos gestionados</t>
  </si>
  <si>
    <t>キャピタル・リースによる資産 - 累計額</t>
  </si>
  <si>
    <t>Активы по капитальной аренде - накопленная амортизация</t>
  </si>
  <si>
    <t>Activos en arrendamiento financiero - Depreciación Acumulada</t>
  </si>
  <si>
    <t>キャピタル・リースによる資産 - 総額</t>
  </si>
  <si>
    <t>Активы по капитальной аренде - валовые</t>
  </si>
  <si>
    <t>Activos en arrendamiento financiero - Bruto</t>
  </si>
  <si>
    <t>オペレーティング・リースによる資産 - 累計額</t>
  </si>
  <si>
    <t>Активы по операционной аренде - накопленная амортизация</t>
  </si>
  <si>
    <t>Activos en arrendamiento operativo - Depreciación Acumulada</t>
  </si>
  <si>
    <t>オペレーティング・リースによる資産 - 総額</t>
  </si>
  <si>
    <t>Активы по операционной аренде - валовые</t>
  </si>
  <si>
    <t>Activos en arrendamiento operativo - Bruto</t>
  </si>
  <si>
    <t>資産された利息データ</t>
  </si>
  <si>
    <t>Данные по капитализированным процентам</t>
  </si>
  <si>
    <t>Datos de interés capitalizados</t>
  </si>
  <si>
    <t>資産された利息、初期</t>
  </si>
  <si>
    <t>Капитализированные проценты, начало периода</t>
  </si>
  <si>
    <t>Interés capitalizado, Al principio del período</t>
  </si>
  <si>
    <t>資産された利息、費用処理</t>
  </si>
  <si>
    <t>Капитализированные проценты, расходы</t>
  </si>
  <si>
    <t>Intereses capitalizados, gastos</t>
  </si>
  <si>
    <t>資産された利息、償却</t>
  </si>
  <si>
    <t>Капитализированные проценты, списание</t>
  </si>
  <si>
    <t>Interés capitalizado, cancelado</t>
  </si>
  <si>
    <t>資産された利息、その他の修正</t>
  </si>
  <si>
    <t>Капитализированные проценты, прочие скорректированные</t>
  </si>
  <si>
    <t>Intereses capitalizados, otros ajustes</t>
  </si>
  <si>
    <t>資産された利息、終期</t>
  </si>
  <si>
    <t>Капитализированные проценты, конец периода</t>
  </si>
  <si>
    <t>Interés capitalizado, Final del período</t>
  </si>
  <si>
    <t>欠損金繰越に関する項目</t>
  </si>
  <si>
    <t>Утраты статей бухгалтерского учета</t>
  </si>
  <si>
    <t>Pérdida de llevar adelante artículos relacionados</t>
  </si>
  <si>
    <t>純営業欠損金繰越、今年</t>
  </si>
  <si>
    <t>Чистый операционный убыток, перенесенный на будущие периоды (NOL C / F), текущий год</t>
  </si>
  <si>
    <t>Pérdidas operativas netas arrastradas (NOL C / F), año en curso</t>
  </si>
  <si>
    <t>純営業欠損金繰越、今年+1</t>
  </si>
  <si>
    <t>Чистый операционный убыток, перенесенный на будущие периоды (NOL C / F), текущий год + 1</t>
  </si>
  <si>
    <t>Pérdidas operativas netas arrastradas (NOL C / F), Año en curso + 1</t>
  </si>
  <si>
    <t>純営業欠損金繰越、今年+2</t>
  </si>
  <si>
    <t>Чистый операционный убыток, перенесенный на будущие периоды (NOL C / F), текущий год + 2</t>
  </si>
  <si>
    <t>Pérdidas operativas netas arrastradas (NOL C / F), Año en curso + 2</t>
  </si>
  <si>
    <t>純営業欠損金繰越、今年+3</t>
  </si>
  <si>
    <t>Чистый операционный убыток, перенесенный на будущие периоды (NOL C / F), текущий год + 3</t>
  </si>
  <si>
    <t>Pérdidas operativas netas arrastradas (NOL C / F), Año en curso + 3</t>
  </si>
  <si>
    <t>純営業欠損金繰越、今年+4</t>
  </si>
  <si>
    <t>Чистый операционный убыток, перенесенный на будущие периоды (NOL C / F), текущий год + 4</t>
  </si>
  <si>
    <t>Pérdidas operativas netas arrastradas (NOL C / F), Año en curso + 4</t>
  </si>
  <si>
    <t>純営業欠損金繰越、5年間後</t>
  </si>
  <si>
    <t>Отложенный чистый операционный убыток (NOL C / F), по истечении пяти лет</t>
  </si>
  <si>
    <t>Pérdidas operativas netas arrastradas (NOL C / F), después de cinco años</t>
  </si>
  <si>
    <t>純営業欠損金繰越、期限なし</t>
  </si>
  <si>
    <t>Чистый операционный убыток, перенесенный на будущие периоды (NOL C / F), истекший.</t>
  </si>
  <si>
    <t>Pérdidas operativas netas arrastradas (NOL C / F), No Expiración</t>
  </si>
  <si>
    <t>純営業欠損金繰越総額</t>
  </si>
  <si>
    <t>Итого чистые операционные убытки, перенесенные на будущие периоды (NOL C / F)</t>
  </si>
  <si>
    <t>Total Pérdidas operativas netas arrastradas (NOL C / F)</t>
  </si>
  <si>
    <t>OPEB – Ausland</t>
  </si>
  <si>
    <t>OPEB - Estero</t>
  </si>
  <si>
    <t>Verwaltetes Vermögen</t>
  </si>
  <si>
    <t>Attività gestite</t>
  </si>
  <si>
    <t>Verwaltetes Vermögen – Aktien</t>
  </si>
  <si>
    <t>Attività gestite - Equity</t>
  </si>
  <si>
    <t>Verwaltetes Vermögen – Rentenpapiere</t>
  </si>
  <si>
    <t>Attività gestite - Fisse</t>
  </si>
  <si>
    <t>Verwaltetes Vermögen – Geldmarktpapiere</t>
  </si>
  <si>
    <t>Attività gestite - Mercato monetario</t>
  </si>
  <si>
    <t>Verwaltetes Vermögen – Sonstiges</t>
  </si>
  <si>
    <t>Attività gestite - Altro</t>
  </si>
  <si>
    <t>Summe des verwalteten Vermögens</t>
  </si>
  <si>
    <t>Totale attività gestite</t>
  </si>
  <si>
    <t>Verwaltetes Vermögen – Private Equity</t>
  </si>
  <si>
    <t>Attività gestite - Private equity</t>
  </si>
  <si>
    <t>Verwaltetes Vermögen – Immobilien</t>
  </si>
  <si>
    <t>Attività gestite - Immobiliare</t>
  </si>
  <si>
    <t>Verwaltetes Vermögen – Institutionell</t>
  </si>
  <si>
    <t>Attività gestite - Istituzionale</t>
  </si>
  <si>
    <t>Verwaltetes Vermögen – Einzelhandel</t>
  </si>
  <si>
    <t>Attività gestite - Retail</t>
  </si>
  <si>
    <t>Verwaltetes Vermögen – Großvermögen</t>
  </si>
  <si>
    <t>Attività gestite - Patrimoni ingenti</t>
  </si>
  <si>
    <t>Verwaltetes Vermögen – Andere Kunden</t>
  </si>
  <si>
    <t>Attività gestite - Altri clienti</t>
  </si>
  <si>
    <t>Verwaltetes Vermögen – Inland</t>
  </si>
  <si>
    <t>Attività gestite - Nazionale</t>
  </si>
  <si>
    <t>Verwaltetes Vermögen – Ausland</t>
  </si>
  <si>
    <t>Attività gestite - Estero</t>
  </si>
  <si>
    <t>Verwaltetes Vermögen – Gebührenerlöse</t>
  </si>
  <si>
    <t>Attività gestite - Con introiti propri</t>
  </si>
  <si>
    <t>Verwaltetes Vermögen – Andere Erlöse</t>
  </si>
  <si>
    <t>Attività gestite - Senza introiti propri</t>
  </si>
  <si>
    <t>Verwaltetes Vermögen – Privatkunden</t>
  </si>
  <si>
    <t>Attività gestite - Clienti retail</t>
  </si>
  <si>
    <t>Verwaltetes Vermögen – Institutionelle Kunden</t>
  </si>
  <si>
    <t>Attività gestite - Clienti istituzionali</t>
  </si>
  <si>
    <t>Verwaltetes Vermögen – Kleine, mittlere Unternehmenskunden</t>
  </si>
  <si>
    <t>Attività gestite - Piccole e medie imprese</t>
  </si>
  <si>
    <t>Verwaltetes Vermögen – Kunden insgesamt</t>
  </si>
  <si>
    <t>Attività gestite - Totale clienti</t>
  </si>
  <si>
    <t>Verwaltetes Vermögen – Periodenbeginn</t>
  </si>
  <si>
    <t>Attività gestite - Inizio periodo</t>
  </si>
  <si>
    <t>Verwaltetes Vermögen – Zuflüsse</t>
  </si>
  <si>
    <t>Attività gestite - Afflussi</t>
  </si>
  <si>
    <t>Verwaltetes Vermögen – Abflüsse</t>
  </si>
  <si>
    <t>Attività gestite - Deflussi</t>
  </si>
  <si>
    <t>Verwaltetes Vermögen – Nettozuflüsse / (Abflüsse)</t>
  </si>
  <si>
    <t>Attività gestite - Afflussi netti/(deflussi)</t>
  </si>
  <si>
    <t>Verwaltetes Vermögen – Cashflows und Dividenden</t>
  </si>
  <si>
    <t>Attività gestite - Flussi di cassa e dividendi</t>
  </si>
  <si>
    <t>Verwaltetes Vermögen – Marktwertsteigerung/ (-rückgang)</t>
  </si>
  <si>
    <t>Attività gestite - Apprezzamento mercato/(deprezzamento)</t>
  </si>
  <si>
    <t>Verwaltetes Vermögen – Übernahmen und Transfers</t>
  </si>
  <si>
    <t>Attività gestite - Acquisizioni e trasferimenti</t>
  </si>
  <si>
    <t>Verwaltetes Vermögen – Andere Anpassungen</t>
  </si>
  <si>
    <t>Attività gestite - Altre rettifiche</t>
  </si>
  <si>
    <t>Verwaltetes Vermögen – Periodenende</t>
  </si>
  <si>
    <t>Attività gestite - Fine periodo</t>
  </si>
  <si>
    <t>Verwaltetes Vermögen – Durchschnitt</t>
  </si>
  <si>
    <t>Attività gestite - Media</t>
  </si>
  <si>
    <t>Verwaltetes Vermögen – Nettoveränderung</t>
  </si>
  <si>
    <t>Attività gestite - Variazione netta</t>
  </si>
  <si>
    <t>Investmentfonds – Periodenanfang</t>
  </si>
  <si>
    <t>Fondo comune - Inizio periodo</t>
  </si>
  <si>
    <t>Investmentfonds – Umsatz</t>
  </si>
  <si>
    <t>Fondo comune - Vendite</t>
  </si>
  <si>
    <t>Investmentfonds – Rücknahmen</t>
  </si>
  <si>
    <t>Fondo comune - Rimborsi</t>
  </si>
  <si>
    <t>Investmentfonds – Nettoumsatz</t>
  </si>
  <si>
    <t>Fondo comune - Vendite nette</t>
  </si>
  <si>
    <t>Investmentfond – Marktwertsteigerung / (Abschreibungen)</t>
  </si>
  <si>
    <t>Fondo comune - Apprezzamento mercato/(deprezzamento)</t>
  </si>
  <si>
    <t>Investmentfonds – Erwerbe und Sonstiges</t>
  </si>
  <si>
    <t>Fondo comune - Acquisizioni e altro</t>
  </si>
  <si>
    <t>Investmentfonds – Periodenende</t>
  </si>
  <si>
    <t>Fondo comune - Fine periodo</t>
  </si>
  <si>
    <t>Täglicher Durchschnittserlös aus Trades</t>
  </si>
  <si>
    <t>Rendimento medio giornaliero scambi (DART)</t>
  </si>
  <si>
    <t>Anzahl der ausgeführten Trades</t>
  </si>
  <si>
    <t>Numero di scambi eseguiti</t>
  </si>
  <si>
    <t>Rate des organischen Wachstums</t>
  </si>
  <si>
    <t>Tasso di crescita organico</t>
  </si>
  <si>
    <t>Netto-Neukundenvermögen</t>
  </si>
  <si>
    <t>Nuove attività cliente netto</t>
  </si>
  <si>
    <t>Durchschnittserlös pro Trade</t>
  </si>
  <si>
    <t>Rendimento medio per scambio</t>
  </si>
  <si>
    <t>Wert des Kundenvermögens</t>
  </si>
  <si>
    <t>Valore attività cliente</t>
  </si>
  <si>
    <t>Wachstumsrate des verwalteten Vermögens</t>
  </si>
  <si>
    <t>Tasso crescita patrimonio gestito</t>
  </si>
  <si>
    <t>Vermögenswerte unter Kapitalleasing – kumulierte Abschreibung</t>
  </si>
  <si>
    <t>Attività in leasing finanziario - Dep. accumulati</t>
  </si>
  <si>
    <t>Vermögenswerte unter Finanzierungsleasing – Brutto</t>
  </si>
  <si>
    <t>Attività in leasing finanziario - lorde</t>
  </si>
  <si>
    <t>Vermögenswerte aus Operating-Leasing – kumulierte Abschreibung</t>
  </si>
  <si>
    <t>Attività su locazioni operative - Fondo ammortamenti</t>
  </si>
  <si>
    <t>Vermögenswerte aus Operating-Leasing – Brutto</t>
  </si>
  <si>
    <t>Attività in locazione operativa - Lordo</t>
  </si>
  <si>
    <t>Daten zu aktivierten Zinsen</t>
  </si>
  <si>
    <t>Dati interesse capitalizzato</t>
  </si>
  <si>
    <t>Aktivierte Zinsen, Periodenanfang</t>
  </si>
  <si>
    <t>Interesse capitalizzato, inizio periodo</t>
  </si>
  <si>
    <t>Aktivierte Zinsen, ertragswirksam</t>
  </si>
  <si>
    <t>Interesse capitalizzato, spesato</t>
  </si>
  <si>
    <t>Aktivierte, abgeschriebene Zinsen</t>
  </si>
  <si>
    <t>Interesse capitalizzato, estinto</t>
  </si>
  <si>
    <t>Aktivierte Zinsen, andere Anpassungen</t>
  </si>
  <si>
    <t>Interesse capitalizzato, altre rett.</t>
  </si>
  <si>
    <t>Aktivierte Zinsen, Periodenende</t>
  </si>
  <si>
    <t>Interesse capitalizzato, fine periodo</t>
  </si>
  <si>
    <t>Posten in Verbindung mit Verlustvorträgen</t>
  </si>
  <si>
    <t>Voci relative al riporto delle perdite</t>
  </si>
  <si>
    <t>NOL C/F, Laufendes Jahr</t>
  </si>
  <si>
    <t>Riporto perdite operativo netto, anno corrente</t>
  </si>
  <si>
    <t>NOL C/F, Laufendes Jahr + 1</t>
  </si>
  <si>
    <t>Riporto perdite operativo netto, anno corrente + 1</t>
  </si>
  <si>
    <t>NOL C/F, Laufendes Jahr + 2</t>
  </si>
  <si>
    <t>Riporto perdite operativo netto, anno corrente + 2</t>
  </si>
  <si>
    <t>NOL C/F, Laufendes Jahr + 3</t>
  </si>
  <si>
    <t>Riporto perdite operativo netto, anno corrente + 3</t>
  </si>
  <si>
    <t>NOL C/F, Laufendes Jahr + 4</t>
  </si>
  <si>
    <t>Riporto perdite operativo netto, anno corrente + 4</t>
  </si>
  <si>
    <t>NOL C/F, nach fünf Jahren</t>
  </si>
  <si>
    <t>Riporto perdite operativo netto, dopo cinque anni</t>
  </si>
  <si>
    <t>NOL C/F, unendlich</t>
  </si>
  <si>
    <t>Riporto perdite operativo netto, senza scadenza</t>
  </si>
  <si>
    <t>Summe NOL C/F</t>
  </si>
  <si>
    <t>Totale riporto perdite operativo netto</t>
  </si>
  <si>
    <t>OPEB - 외국</t>
  </si>
  <si>
    <t>운용 자산</t>
  </si>
  <si>
    <t>운용 자산 - 주식</t>
  </si>
  <si>
    <t>운용 자산 - 고정</t>
  </si>
  <si>
    <t>운용 자산 - 금융시장</t>
  </si>
  <si>
    <t>운용 자산 - 기타</t>
  </si>
  <si>
    <t>총 운용 자산</t>
  </si>
  <si>
    <t>운용 자산 - 사모펀드</t>
  </si>
  <si>
    <t>운용 자산 - 부동산</t>
  </si>
  <si>
    <t>운용 자산 - 기관</t>
  </si>
  <si>
    <t>운용 자산 - 소매</t>
  </si>
  <si>
    <t>운용 자산 - 고액 순자산</t>
  </si>
  <si>
    <t>운용 자산 - 기타 고객</t>
  </si>
  <si>
    <t>운용 자산 - 국내</t>
  </si>
  <si>
    <t>운용 자산 - 외국</t>
  </si>
  <si>
    <t>운용 자산 - 수수료 수익</t>
  </si>
  <si>
    <t>운용 자산 - 비수수료 수익</t>
  </si>
  <si>
    <t>운용 자산 - 소매 고객</t>
  </si>
  <si>
    <t>운용 자산 - 기관 고객</t>
  </si>
  <si>
    <t>운용 자산 - 중소기업 고객</t>
  </si>
  <si>
    <t>운용 자산 - 총 고객</t>
  </si>
  <si>
    <t>운용 자산 - 기간 시작</t>
  </si>
  <si>
    <t>운용 자산 - 유입</t>
  </si>
  <si>
    <t>운용 자산 - 유출</t>
  </si>
  <si>
    <t>운용 자산 - 순 유입/(유출)</t>
  </si>
  <si>
    <t>운용 자산 - 현금 흐름 및 배당금</t>
  </si>
  <si>
    <t>운용 자산 - 시장 증가/(감가상각)</t>
  </si>
  <si>
    <t>운용 자산 - 인수 및 양도</t>
  </si>
  <si>
    <t>운용 자산 - 기타 조정</t>
  </si>
  <si>
    <t>운용 자산 - 기간 끝</t>
  </si>
  <si>
    <t>운용 자산 - 평균</t>
  </si>
  <si>
    <t>운용 자산 - 전일대비</t>
  </si>
  <si>
    <t>뮤추얼펀드 - 기간 시작</t>
  </si>
  <si>
    <t>뮤추얼펀드 - 매출</t>
  </si>
  <si>
    <t>뮤추얼펀드 - 상환</t>
  </si>
  <si>
    <t>뮤추얼펀드 - 순매출</t>
  </si>
  <si>
    <t>뮤추얼펀드 - 시장 증가/(감가상각)</t>
  </si>
  <si>
    <t>뮤추얼펀드 - 인수 및 기타</t>
  </si>
  <si>
    <t>뮤추얼펀드 - 시간 끝</t>
  </si>
  <si>
    <t>일일 평균 수익 거래</t>
  </si>
  <si>
    <t>실행 거래 수</t>
  </si>
  <si>
    <t>유기적 성장률</t>
  </si>
  <si>
    <t>순 신규고객 자산</t>
  </si>
  <si>
    <t>거래 당 평균 수익</t>
  </si>
  <si>
    <t>관리 중인 자산(AUA)</t>
  </si>
  <si>
    <t>고객 자산 가치</t>
  </si>
  <si>
    <t>자산 관리 성장률</t>
  </si>
  <si>
    <t>금융리스 자산 - 누적 감가상각</t>
  </si>
  <si>
    <t>금융리스 자산 - 총계</t>
  </si>
  <si>
    <t>운용리스 자산 - 누적 감가상각</t>
  </si>
  <si>
    <t>운용리스 자산 - 총계</t>
  </si>
  <si>
    <t>원금 가산 이자 데이터</t>
  </si>
  <si>
    <t>원금 가산 이자, 기간 시작</t>
  </si>
  <si>
    <t>원금 가산 이자, 지출</t>
  </si>
  <si>
    <t>원금 가산 이자, 상각됨</t>
  </si>
  <si>
    <t>원금 가산 이자, 기타 조정</t>
  </si>
  <si>
    <t>원금 가산 이자, 기간 끝</t>
  </si>
  <si>
    <t>순영업손실이연 관련 항목</t>
  </si>
  <si>
    <t>NOL C/F, 금년도</t>
  </si>
  <si>
    <t>NOL C/F, 금년도 + 1</t>
  </si>
  <si>
    <t>NOL C/F, 금년도 + 2</t>
  </si>
  <si>
    <t>NOL C/F, 금년도 + 3</t>
  </si>
  <si>
    <t>NOL C/F, 금년도 + 4</t>
  </si>
  <si>
    <t>NOL C/F, 5년 후</t>
  </si>
  <si>
    <t>NOL C/F, 만기 없음</t>
  </si>
  <si>
    <t>총 NOL C/F</t>
  </si>
  <si>
    <t>净营业亏损结转的最高年份</t>
  </si>
  <si>
    <t>淨營業虧損結轉的最高年份</t>
  </si>
  <si>
    <t>Maximum annuel pour le report des pertes d'exploitation nettes (NOL C / F)</t>
  </si>
  <si>
    <t>资本损失结转，本年度</t>
  </si>
  <si>
    <t>資本損失結轉，本年度</t>
  </si>
  <si>
    <t>Perte en capital C/F, année en cours</t>
  </si>
  <si>
    <t>资本损失结转，本年度+ 1</t>
  </si>
  <si>
    <t>資本損失結轉，本年度+ 1</t>
  </si>
  <si>
    <t>Perte en capital C/F, année en cours + 1</t>
  </si>
  <si>
    <t>资本损失结转，本年度+ 2</t>
  </si>
  <si>
    <t>資本損失結轉，本年度+ 2</t>
  </si>
  <si>
    <t>Perte en capital C/F, année en cours + 2</t>
  </si>
  <si>
    <t>资本损失结转，本年度+ 3</t>
  </si>
  <si>
    <t>資本損失結轉，本年度+ 3</t>
  </si>
  <si>
    <t>Perte en capital C/F, année en cours + 3</t>
  </si>
  <si>
    <t>资本损失结转，本年度+ 4</t>
  </si>
  <si>
    <t>資本損失結轉，本年度+ 4</t>
  </si>
  <si>
    <t>Perte en capital C/F, année en cours + 4</t>
  </si>
  <si>
    <t>资本损失结转，五年后</t>
  </si>
  <si>
    <t>資本損失結轉，五年後</t>
  </si>
  <si>
    <t>Perte en capital C/F, après cinq ans</t>
  </si>
  <si>
    <t>资本亏损结转，不过期</t>
  </si>
  <si>
    <t>資本虧損結轉，不過期</t>
  </si>
  <si>
    <t>Perte de capital C/F, sans échéance</t>
  </si>
  <si>
    <t>总资本亏损结转</t>
  </si>
  <si>
    <t>總資本虧損結轉</t>
  </si>
  <si>
    <t>Perte totale de capital C/F</t>
  </si>
  <si>
    <t>最高资本亏损结转年数</t>
  </si>
  <si>
    <t>最高資本虧損結轉年數</t>
  </si>
  <si>
    <t>Année Maximum de la perte en capital C/F</t>
  </si>
  <si>
    <t>税收利益结转，本年度</t>
  </si>
  <si>
    <t>稅收利益結轉，本年度</t>
  </si>
  <si>
    <t>Avantage fiscal C/F, année en cours</t>
  </si>
  <si>
    <t>税收利益结转，本年度+1</t>
  </si>
  <si>
    <t>稅收利益結轉，本年度+1</t>
  </si>
  <si>
    <t>Avantage fiscal C/F, année en cours + 1</t>
  </si>
  <si>
    <t>税收利益结转，本年度+2</t>
  </si>
  <si>
    <t>稅收利益結轉，本年度+2</t>
  </si>
  <si>
    <t>Avantage fiscal C/F, année en cours + 2</t>
  </si>
  <si>
    <t>税收利益结转，本年度+3</t>
  </si>
  <si>
    <t>稅收利益結轉，本年度+3</t>
  </si>
  <si>
    <t>Avantage fiscal C/F, année en cours + 3</t>
  </si>
  <si>
    <t>税收利益结转，本年度+4</t>
  </si>
  <si>
    <t>稅收利益結轉，本年度+4</t>
  </si>
  <si>
    <t>Avantage fiscal C/F, année en cours + 4</t>
  </si>
  <si>
    <t>税收利益结转，五年后</t>
  </si>
  <si>
    <t>稅收利益結轉，五年後</t>
  </si>
  <si>
    <t>Avantage fiscal C/F, après cinq ans</t>
  </si>
  <si>
    <t>税收优惠结转，无过期</t>
  </si>
  <si>
    <t>稅收優惠結轉，無過期</t>
  </si>
  <si>
    <t>Avantage fiscal C/F, sans date d'expiration</t>
  </si>
  <si>
    <t>总税收利益结转</t>
  </si>
  <si>
    <t>總稅收利益結轉</t>
  </si>
  <si>
    <t>Total de l'avantage fiscal C/F</t>
  </si>
  <si>
    <t>税收利益结转的最高年份</t>
  </si>
  <si>
    <t>稅收利益結轉的最高年份</t>
  </si>
  <si>
    <t>Année Maximum pour l'avantage fiscal C/F</t>
  </si>
  <si>
    <t>通过FIN 48相关项目</t>
  </si>
  <si>
    <t>通過FIN 48相關項目</t>
  </si>
  <si>
    <t>Adoption des points liés à FIN 48</t>
  </si>
  <si>
    <t>FIN 48对流动资产的交易影响</t>
  </si>
  <si>
    <t>FIN 48對流動資產的交易影響</t>
  </si>
  <si>
    <t>Impact de la transaction FIN 48 sur l'actif circulant</t>
  </si>
  <si>
    <t>FIN 48对长期资产的交易影响</t>
  </si>
  <si>
    <t>FIN 48對長期資產的交易影響</t>
  </si>
  <si>
    <t>Impact de la transaction FIN 48 sur les actifs à long terme</t>
  </si>
  <si>
    <t>FIN 48对流动负债的交易影响</t>
  </si>
  <si>
    <t>FIN 48對流動負債的交易影響</t>
  </si>
  <si>
    <t>Impact de la transaction FIN 48 sur les passifs courants</t>
  </si>
  <si>
    <t>FIN 48对非流动负债的交易影响</t>
  </si>
  <si>
    <t>FIN 48對非流動負債的交易影響</t>
  </si>
  <si>
    <t>Impact de la transaction FIN 48 sur les passifs non courants</t>
  </si>
  <si>
    <t>交易FIN 48对保留收益的影响</t>
  </si>
  <si>
    <t>交易FIN 48對保留收益的影響</t>
  </si>
  <si>
    <t>Impact de la transaction FIN 48 sur les bénéfices non distribués</t>
  </si>
  <si>
    <t>期初未确认的税收优惠</t>
  </si>
  <si>
    <t>期初未確認的稅收優惠</t>
  </si>
  <si>
    <t>Avantages fiscaux Non comptabilisé, début de la période</t>
  </si>
  <si>
    <t>根据税收状况的增加-本年度</t>
  </si>
  <si>
    <t>根據稅收狀況的增加-本年度</t>
  </si>
  <si>
    <t>Ajouts basés sur les postes fiscaux - année en cours</t>
  </si>
  <si>
    <t>基于税收状况的减少-本年度</t>
  </si>
  <si>
    <t>基於稅收狀況的減少-本年度</t>
  </si>
  <si>
    <t>Réductions basées sur les positions fiscales - année en cours</t>
  </si>
  <si>
    <t>新增税务状况-往年</t>
  </si>
  <si>
    <t>新增稅務狀況-往年</t>
  </si>
  <si>
    <t>Ajouts pour les positions fiscales - Années précédentes</t>
  </si>
  <si>
    <t>减少税务状况-往年</t>
  </si>
  <si>
    <t>減少稅務狀況-往年</t>
  </si>
  <si>
    <t>Réductions pour les postes fiscaux - Années antérieures</t>
  </si>
  <si>
    <t>純営業欠損金繰越の最大年</t>
  </si>
  <si>
    <t>Максимальный годовой перенос чистых операционных убытков (NOL C / F)</t>
  </si>
  <si>
    <t>Año Máximo para Pérdidas operativas netas arrastradas (NOL C / F)</t>
  </si>
  <si>
    <t>資本損失、今年</t>
  </si>
  <si>
    <t>Убыток капитала C/F, текущий год</t>
  </si>
  <si>
    <t>Pérdida de capital C/F, año en curso</t>
  </si>
  <si>
    <t>資本損失、今年+1</t>
  </si>
  <si>
    <t>Убыток капитала C/F, текущий год + 1</t>
  </si>
  <si>
    <t>Pérdida de capital C/F, año en curso + 1</t>
  </si>
  <si>
    <t>資本損失、今年+2</t>
  </si>
  <si>
    <t>Убыток капитала C/F, текущий год + 2</t>
  </si>
  <si>
    <t>Pérdida de capital C/F, año en curso + 2</t>
  </si>
  <si>
    <t>資本損失、今年+3</t>
  </si>
  <si>
    <t>Убыток капитала C/F, текущий год + 3</t>
  </si>
  <si>
    <t>Pérdida de capital C/F, año en curso + 3</t>
  </si>
  <si>
    <t>資本損失、今年+4</t>
  </si>
  <si>
    <t>Убыток капитала C/F, текущий год + 4</t>
  </si>
  <si>
    <t>Pérdida de capital C/F, año en curso + 4</t>
  </si>
  <si>
    <t>資本損失、5年間後</t>
  </si>
  <si>
    <t>Потеря капитала C/F, через пять лет</t>
  </si>
  <si>
    <t>Pérdida de capital C/F, después de cinco años</t>
  </si>
  <si>
    <t>資本損失、期限なし</t>
  </si>
  <si>
    <t>Убыток капитала C/F, без срока погашения</t>
  </si>
  <si>
    <t>Pérdida de capital C/F, sin vencimiento</t>
  </si>
  <si>
    <t>資本損失総額</t>
  </si>
  <si>
    <t>Общий убыток капитала C/F</t>
  </si>
  <si>
    <t>Pérdida total de capital C/F</t>
  </si>
  <si>
    <t>資本損失の最大年</t>
  </si>
  <si>
    <t>Год Максимальных потерь капитала C/F</t>
  </si>
  <si>
    <t>Año Máximo para la pérdida de capital C/F</t>
  </si>
  <si>
    <t>税制優遇、今年</t>
  </si>
  <si>
    <t>C/F налоговая льгота, текущий год</t>
  </si>
  <si>
    <t>Beneficio fiscal C/F, año en curso</t>
  </si>
  <si>
    <t>税制優遇、今年+1</t>
  </si>
  <si>
    <t>C/F налоговая льгота, текущий год + 1</t>
  </si>
  <si>
    <t>Beneficio fiscal C/F, año en curso + 1</t>
  </si>
  <si>
    <t>税制優遇、今年+2</t>
  </si>
  <si>
    <t>C/F налоговая льгота, текущий год + 2</t>
  </si>
  <si>
    <t>Beneficio fiscal C/F, año en curso + 2</t>
  </si>
  <si>
    <t>税制優遇、今年+3</t>
  </si>
  <si>
    <t>C/F налоговая льгота, текущий год + 3</t>
  </si>
  <si>
    <t>Beneficio fiscal C/F, año en curso + 3</t>
  </si>
  <si>
    <t>税制優遇、今年+4</t>
  </si>
  <si>
    <t>C/F налоговая льгота, текущий год + 4</t>
  </si>
  <si>
    <t>Beneficio fiscal C/F, año en curso + 4</t>
  </si>
  <si>
    <t>税制優遇、5年間後</t>
  </si>
  <si>
    <t>C/F налоговая льгота, через пять лет</t>
  </si>
  <si>
    <t>Beneficio fiscal C/F, después de cinco años</t>
  </si>
  <si>
    <t>税制優遇、期限なし</t>
  </si>
  <si>
    <t>C/F налоговая льгота, нет срока годности</t>
  </si>
  <si>
    <t>Beneficio fiscal C/F, sin vencimiento</t>
  </si>
  <si>
    <t>税制優遇総額</t>
  </si>
  <si>
    <t>Общая налоговая выгода C/F</t>
  </si>
  <si>
    <t>Beneficio fiscal total C/F</t>
  </si>
  <si>
    <t>税制優遇の最大年</t>
  </si>
  <si>
    <t>Год максимального размера налоговой льготы C/F</t>
  </si>
  <si>
    <t>Año Máximo para el beneficio fiscal C/F</t>
  </si>
  <si>
    <t>FIN 48関連アイテムの採用</t>
  </si>
  <si>
    <t>Утверждение пунктов, относящихся к стандарту FIN 48</t>
  </si>
  <si>
    <t>Adopción de los artículos relacionados con la FIN 48</t>
  </si>
  <si>
    <t>流動資産に与えるFIN 48 の取引影響</t>
  </si>
  <si>
    <t>Влияние операции по FIN 48 на оборотные активы</t>
  </si>
  <si>
    <t>Impacto De La Transacción de FIN 48 en los activos corrientes</t>
  </si>
  <si>
    <t>固定資産に与えるFIN 48 の取引影響</t>
  </si>
  <si>
    <t>Влияние операции по FIN 48 на долгосрочные активы</t>
  </si>
  <si>
    <t>Impacto De La Transacción de FIN 48 en los activos a largo plazo</t>
  </si>
  <si>
    <t>流動負債に与えるFIN 48 の取引影響</t>
  </si>
  <si>
    <t>Влияние операции по FIN 48 на текущие обязательства</t>
  </si>
  <si>
    <t>Impacto De La Transacción de FIN 48 en el pasivo corriente</t>
  </si>
  <si>
    <t>固定負債に与えるFIN 48 の取引影響</t>
  </si>
  <si>
    <t>Влияние операции по FIN 48 на долгосрочные обязательства</t>
  </si>
  <si>
    <t>Impacto De La Transacción de FIN 48 en el pasivo no corriente</t>
  </si>
  <si>
    <t>留保利益に与えるFIN 48 の取引影響</t>
  </si>
  <si>
    <t>Влияние операции по FIN 48 на нераспределенную прибыль</t>
  </si>
  <si>
    <t>Impacto De La Transacción de FIN 48 en las ganancias retenidas</t>
  </si>
  <si>
    <t>未認識税務ベネフィット、初期</t>
  </si>
  <si>
    <t>Неучтенные налоговые льготы, начало периода</t>
  </si>
  <si>
    <t>Beneficios fiscales No reconocidos, comienzo del período</t>
  </si>
  <si>
    <t>税務ポジションに基づく増加、今年</t>
  </si>
  <si>
    <t>Поправки по статьям налога - текущий год</t>
  </si>
  <si>
    <t>Adiciones basadas en posiciones de impuestos - Año actual</t>
  </si>
  <si>
    <t>税務ポジションに基づく削減、今年</t>
  </si>
  <si>
    <t>Снижения на основе налоговых позиций - текущий год</t>
  </si>
  <si>
    <t>Reducciones Basadas en Posiciones Fiscales - Año Actual</t>
  </si>
  <si>
    <t>税務ポジションに基づく増加、前年</t>
  </si>
  <si>
    <t>Поправки на налоговые позиции - Предыдущие годы</t>
  </si>
  <si>
    <t>Adiciones para  Posiciones Fiscales - años anteriores</t>
  </si>
  <si>
    <t>税務ポジションに基づく削減、前年</t>
  </si>
  <si>
    <t>Снижения по статьям налога - Предыдущие годы</t>
  </si>
  <si>
    <t>Reducciones para para  Posiciones Fiscales - años anteriores</t>
  </si>
  <si>
    <t>Max. Jahre für NOL C/F</t>
  </si>
  <si>
    <t>Max. anno per riporto perdite operativo netto</t>
  </si>
  <si>
    <t>Kapitalverlust C/F, laufendes Jahr</t>
  </si>
  <si>
    <t>Riporto perdite capitale, anno corrente</t>
  </si>
  <si>
    <t>Kapitalverlust C/F, laufendes Jahr + 1</t>
  </si>
  <si>
    <t>Riporto perdite capitale, anno corrente + 1</t>
  </si>
  <si>
    <t>Kapitalverlust C/F, laufendes Jahr + 2</t>
  </si>
  <si>
    <t>Riporto perdite capitale, anno corrente + 2</t>
  </si>
  <si>
    <t>Kapitalverlust C/F, laufendes Jahr + 3</t>
  </si>
  <si>
    <t>Riporto perdite capitale, anno corrente + 3</t>
  </si>
  <si>
    <t>Kapitalverlust C/F, laufendes Jahr + 4</t>
  </si>
  <si>
    <t>Riporto perdite capitale, anno corrente + 4</t>
  </si>
  <si>
    <t>Kapitalverlust C/F, nach fünf Jahren</t>
  </si>
  <si>
    <t>Riporto perdite capitale, dopo cinque anni</t>
  </si>
  <si>
    <t>Kapitalverlust C/F, unendlich</t>
  </si>
  <si>
    <t>Riporto perdite capitale, senza scadenza</t>
  </si>
  <si>
    <t>Summe Kapitalverlust C/F</t>
  </si>
  <si>
    <t>Totale riporto perdite capitale</t>
  </si>
  <si>
    <t>Max. Jahre für Kapitalverlust C/F</t>
  </si>
  <si>
    <t>Max. anno per riporto perdite capitale</t>
  </si>
  <si>
    <t>Steuergutschrift C/F, laufendes Jahr</t>
  </si>
  <si>
    <t>Riporto benefici fiscali, anno corrente</t>
  </si>
  <si>
    <t>Steuergutschrift C/F, laufendes Jahr + 1</t>
  </si>
  <si>
    <t>Riporto benefici fiscali, anno corrente + 1</t>
  </si>
  <si>
    <t>Steuergutschrift C/F, laufendes Jahr + 2</t>
  </si>
  <si>
    <t>Riporto benefici fiscali, anno corrente + 2</t>
  </si>
  <si>
    <t>Steuergutschrift C/F, laufendes Jahr + 3</t>
  </si>
  <si>
    <t>Riporto benefici fiscali, anno corrente + 3</t>
  </si>
  <si>
    <t>Steuergutschrift C/F, laufendes Jahr + 4</t>
  </si>
  <si>
    <t>Riporto benefici fiscali, anno corrente + 4</t>
  </si>
  <si>
    <t>Steuergutschrift C/F, nach fünf Jahren</t>
  </si>
  <si>
    <t>Riporto benefici fiscali, dopo cinque anni</t>
  </si>
  <si>
    <t>Steuergutschrift C/F, unendlich</t>
  </si>
  <si>
    <t>Riporto benefici fiscali, senza scadenza</t>
  </si>
  <si>
    <t>Summe Steuergutschrift C/F</t>
  </si>
  <si>
    <t>Totale riporto benefici fiscali</t>
  </si>
  <si>
    <t>Max. Jahre für Steuergutschrift C/F</t>
  </si>
  <si>
    <t>Max. anno per riporto benefici fiscali</t>
  </si>
  <si>
    <t>Übernahme der mit FIN 48 verbundenen Posten</t>
  </si>
  <si>
    <t>Adozione di voci relative a FIN 48</t>
  </si>
  <si>
    <t>Trans. Auswirkungen von FIN 48 auf das Umlaufvermögen</t>
  </si>
  <si>
    <t>Impatto trans. FIN 48 su attività correnti</t>
  </si>
  <si>
    <t>Trans. Auswirkungen von FIN 48 auf langfristige Vermögenswerte</t>
  </si>
  <si>
    <t>Impatto trans. FIN 48 su attività a lungo termine</t>
  </si>
  <si>
    <t>Trans. Auswirkungen von FIN 48 auf kurzfristige Verbindlichkeiten</t>
  </si>
  <si>
    <t>Impatto trans. FIN 48 su passività correnti</t>
  </si>
  <si>
    <t>Trans. Auswirkungen von FIN 48 auf nicht kurzfristige Verbindlichkeiten</t>
  </si>
  <si>
    <t>Impatto trans. FIN 48 su passività non correnti</t>
  </si>
  <si>
    <t>Trans. Auswirkungen von FIN 48 auf die einbehaltene Gewinne</t>
  </si>
  <si>
    <t>Impatto trans. FIN 48 su utili non distribuiti</t>
  </si>
  <si>
    <t>Nicht aktivierte Steuergutschriften, Periodenanfang</t>
  </si>
  <si>
    <t>Benefici fiscali non ric., inizio periodo</t>
  </si>
  <si>
    <t>Zugänge aufgrund von Steuerpositionen – laufendes Jahr.</t>
  </si>
  <si>
    <t>Aggiunte basate su posizioni fiscali - Anno corrente</t>
  </si>
  <si>
    <t>Abgänge aufgrund von Steuerpositionen – laufendes Jahr</t>
  </si>
  <si>
    <t>Riduzioni basate su posizioni fiscali - Anno corrente</t>
  </si>
  <si>
    <t>Zugänge für Steuerpositionen – Vorjahre</t>
  </si>
  <si>
    <t>Aggiunte per posizioni fiscali - Anni precedenti</t>
  </si>
  <si>
    <t>Abgänge für Steuerpositionen – Vorjahre</t>
  </si>
  <si>
    <t>Riduzioni per posizioni fiscali - Anni precedenti</t>
  </si>
  <si>
    <t>NOL C/F 최대 연도</t>
  </si>
  <si>
    <t>자본 손실 C/F, 금년도</t>
  </si>
  <si>
    <t>자본 손실 C/F, 금년도 + 1</t>
  </si>
  <si>
    <t>자본 손실 C/F, 금년도 + 2</t>
  </si>
  <si>
    <t>자본 손실 C/F, 금년도 + 3</t>
  </si>
  <si>
    <t>자본 손실 C/F, 금년도 + 4</t>
  </si>
  <si>
    <t>자본 손실 C/F, 5년 후</t>
  </si>
  <si>
    <t>자본 손실 C/F, 만기 없음</t>
  </si>
  <si>
    <t>총 자본 손실 C/F</t>
  </si>
  <si>
    <t>자본 손실 C/F 최대 연도</t>
  </si>
  <si>
    <t>세제혜택 C/F, 금년도</t>
  </si>
  <si>
    <t>세제혜택 C/F, 금년도 + 1</t>
  </si>
  <si>
    <t>세제혜택 C/F, 금년도 + 2</t>
  </si>
  <si>
    <t>세제혜택 C/F, 금년도 + 3</t>
  </si>
  <si>
    <t>세제혜택 C/F, 금년도 + 4</t>
  </si>
  <si>
    <t>세제혜택 C/F, 5년 후</t>
  </si>
  <si>
    <t>세제혜택 C/F, 만기 없음</t>
  </si>
  <si>
    <t>총 세제혜택 C/F</t>
  </si>
  <si>
    <t>세제혜택 C/F 최대 연도</t>
  </si>
  <si>
    <t>FIN 48 채택 관련 항목</t>
  </si>
  <si>
    <t>유동 자산에 미치는 FIN 48의 거래 영향</t>
  </si>
  <si>
    <t>장기 자산에 미치는 FIN 48의 거래 영향</t>
  </si>
  <si>
    <t>유동 부채에 미치는 FIN 48의 거래 영향</t>
  </si>
  <si>
    <t>비유동 부채에 미치는 FIN 48의 거래 영향</t>
  </si>
  <si>
    <t>사내유보에 미치는 FIN 48의 거래 영향</t>
  </si>
  <si>
    <t>인식되지 않은 세제혜택, 기간 시작</t>
  </si>
  <si>
    <t>세무입장 기준 추가사항 - 금년도</t>
  </si>
  <si>
    <t>세무입장 기준 감소사항 - 금년도</t>
  </si>
  <si>
    <t>세무입장의 추가사항 - 이전 연도</t>
  </si>
  <si>
    <t>세무입장의 감소사항 - 이전 연도</t>
  </si>
  <si>
    <t>与税务机关的和解</t>
  </si>
  <si>
    <t>與稅務機關的和解</t>
  </si>
  <si>
    <t>Règlements avec les autorités fiscales</t>
  </si>
  <si>
    <t>时效法规的失效</t>
  </si>
  <si>
    <t>時效法規的失效</t>
  </si>
  <si>
    <t>Déchéance de la prescription</t>
  </si>
  <si>
    <t>无法确认的税收优惠-其他调整</t>
  </si>
  <si>
    <t>無法確認的稅收優惠-其他調整</t>
  </si>
  <si>
    <t>Avantages fiscaux non reconnus - Autres ajustements</t>
  </si>
  <si>
    <t>期末未确认的税收优惠</t>
  </si>
  <si>
    <t>期末未確認的稅收優惠</t>
  </si>
  <si>
    <t>Avantages fiscaux non reconnus, fin de la période</t>
  </si>
  <si>
    <t>帐户代码-利息和罚款</t>
  </si>
  <si>
    <t>帳戶代碼-利息和罰款</t>
  </si>
  <si>
    <t>Code de compte - Intérêts et pénalités</t>
  </si>
  <si>
    <t>损益表中确认的利息和罚款-税前</t>
  </si>
  <si>
    <t>損益表中確認的利息和罰款-稅前</t>
  </si>
  <si>
    <t>Intérêts et pénalités comptabilisés dans les états des résultats - avant impôt</t>
  </si>
  <si>
    <t>损益表中确认的利息和罚款-税后</t>
  </si>
  <si>
    <t>損益表中確認的利息和罰款-稅後</t>
  </si>
  <si>
    <t>Intérêts et pénalités comptabilisés dans l'état des résultats - après impôt</t>
  </si>
  <si>
    <t>资产负债表上确认的利息和罚款-税前</t>
  </si>
  <si>
    <t>資產負債表上確認的利息和罰款-稅前</t>
  </si>
  <si>
    <t>Intérêts et pénalités comptabilisés au bilan - avant impôt</t>
  </si>
  <si>
    <t>资产负债表上确认的利息和罚款-税后</t>
  </si>
  <si>
    <t>資產負債表上確認的利息和罰款-稅後</t>
  </si>
  <si>
    <t>Intérêts et pénalités comptabilisés au bilan - après impôt</t>
  </si>
  <si>
    <t>报告日期后一年内未确认税收优惠的变化-最小值</t>
  </si>
  <si>
    <t>報告日期後一年內未確認稅收優惠的變化-最小值</t>
  </si>
  <si>
    <t>Modifications de l'avantage fiscal non comptabilisé dans l'année suivant la date de la déclaration - Min</t>
  </si>
  <si>
    <t>报告日期后一年内未确认税收优惠的变化-最大值</t>
  </si>
  <si>
    <t>報告日期後一年內未確認稅收優惠的變化-最大值</t>
  </si>
  <si>
    <t>Modifications de l'avantage fiscal non comptabilisé dans l'année suivant la date de la déclaration - Max</t>
  </si>
  <si>
    <t>未确认的税收优惠对有效税率的影响</t>
  </si>
  <si>
    <t>未確認的稅收優惠對有效稅率的影響</t>
  </si>
  <si>
    <t>Impact de l'avantage fiscal non comptabilisé sur le taux d'imposition effectif</t>
  </si>
  <si>
    <t>税務当局間の解決</t>
  </si>
  <si>
    <t>Расчеты с налоговыми органами</t>
  </si>
  <si>
    <t>Asentamientos con las autoridades fiscales</t>
  </si>
  <si>
    <t>出訴期限法の経過</t>
  </si>
  <si>
    <t>Ликвидация срока давности</t>
  </si>
  <si>
    <t>Lapso del Estatuto de Limitaciones</t>
  </si>
  <si>
    <t>未認識税務ベネフィット - その他の修正</t>
  </si>
  <si>
    <t>Непризнанные налоговые льготы - Прочие корректировки</t>
  </si>
  <si>
    <t>Beneficios fiscales no reconocidos - Otros ajustes</t>
  </si>
  <si>
    <t>未認識税務ベネフィット、終期</t>
  </si>
  <si>
    <t>Непризнанные налоговые льготы, конец периода</t>
  </si>
  <si>
    <t>Beneficios fiscales no reconocidos, fin del período</t>
  </si>
  <si>
    <t>勘定コード - 利息および罰金</t>
  </si>
  <si>
    <t>Код счета - Проценты и штрафы</t>
  </si>
  <si>
    <t>Código de cuenta - Intereses y multas</t>
  </si>
  <si>
    <t>損益計算書で認識された罰金および利息 - 税引前</t>
  </si>
  <si>
    <t>Проценты и штрафы, отраженные в отчете о прибылях и убытках - до налогообложения</t>
  </si>
  <si>
    <t>Intereses y multas reconocidos en el estado de resultados - antes de impuestos</t>
  </si>
  <si>
    <t>損益計算書で認識された罰金および利息 - 税引後</t>
  </si>
  <si>
    <t>Проценты и штрафы, отраженные в отчете о прибылях и убытках - за вычетом налогов</t>
  </si>
  <si>
    <t>Intereses y multas reconocidos en el estado de resultados - Después de impuestos</t>
  </si>
  <si>
    <t>貸借対照表で認識された罰金および利息 - 税引前</t>
  </si>
  <si>
    <t>Проценты и штрафы, отраженные в бухгалтерском балансе - до вычета налогов</t>
  </si>
  <si>
    <t>Intereses y multas reconocidos en la hoja de Balace - Antes de impuestos</t>
  </si>
  <si>
    <t>貸借対照表で認識された罰金および利息 - 税引後</t>
  </si>
  <si>
    <t>Проценты и штрафы, отраженные в бухгалтерском балансе - после уплаты налогов</t>
  </si>
  <si>
    <t>Intereses y multas reconocidos en la hoja de Balace - Después de impuestos</t>
  </si>
  <si>
    <t>報告日付の年以内の未認識税務ベネフィット増減 - 最小限</t>
  </si>
  <si>
    <t>Изменения в непризнанной налоговой льготе в течение года, следующего за датой возврата - Мин.</t>
  </si>
  <si>
    <t>Cambios en el beneficio fiscal no reconocido dentro del año del representante. Fecha - Min</t>
  </si>
  <si>
    <t>報告日付の年以内の未認識税務ベネフィット増減 - 最大限</t>
  </si>
  <si>
    <t>Изменения в непризнанной налоговой льготе в течение года, следующего за датой возврата - Макс.</t>
  </si>
  <si>
    <t>Cambios en el beneficio fiscal no reconocido dentro del año del representante. Fecha - Max</t>
  </si>
  <si>
    <t>実効税率に未認識税務ベネフィットの影響</t>
  </si>
  <si>
    <t>Влияние непризнанной налоговой выгоды на эффективную ставку налога</t>
  </si>
  <si>
    <t>Impacto del beneficio fiscal no reconocido en la tasa impositiva efectiva</t>
  </si>
  <si>
    <t>Vergleiche mit Steuerbehörden</t>
  </si>
  <si>
    <t>Accordi con le autorità fiscali</t>
  </si>
  <si>
    <t>Ablauf von Verjährungsfristen</t>
  </si>
  <si>
    <t>Scadenza del periodo di prescrizione</t>
  </si>
  <si>
    <t>Nicht aktivierte Steuergutschriften – Andere Anpassungen</t>
  </si>
  <si>
    <t>Benefici fiscali non ric. - Altre rett.</t>
  </si>
  <si>
    <t>Nicht aktivierte Steuergutschriften, Periodenende</t>
  </si>
  <si>
    <t>Benefici fiscali non ric., fine periodo</t>
  </si>
  <si>
    <t>Kontencode – Zinsen und Strafen</t>
  </si>
  <si>
    <t>Codice conto - Interesse e penali</t>
  </si>
  <si>
    <t>Zinsen und Strafen Aktivierung in GuV – vor Steuern</t>
  </si>
  <si>
    <t>Interesse e penali riconosciuti IS - Al lordo delle imposte</t>
  </si>
  <si>
    <t>Zinsen und Strafen Aktivierung in GuV – nach Steuern</t>
  </si>
  <si>
    <t>Interesse e penali riconosciuti IS - Al netto delle imposte</t>
  </si>
  <si>
    <t>Zinsen und Strafen Aktivierung in Bilanz – vor Steuern</t>
  </si>
  <si>
    <t>Interesse e penali riconosciuti BS - Al lordo delle imposte</t>
  </si>
  <si>
    <t>Zinsen und Strafen Aktivierung in Bilanz – nach Steuern</t>
  </si>
  <si>
    <t>Interesse e penali riconosciuti BS - Al netto delle imposte</t>
  </si>
  <si>
    <t>Veränderung der nicht aktivierten Steuergutschriften innerhalb eines Jahres nach dem Datum der Erklärung – Min</t>
  </si>
  <si>
    <t>Variazioni nei benefici fiscali non ric. entro un anno dalla data di rep. - Min</t>
  </si>
  <si>
    <t>Veränderung der nicht aktivierten Steuergutschriften innerhalb eines Jahres nach dem Datum der Erklärung – Max</t>
  </si>
  <si>
    <t>Variazioni nei benefici fiscali non ric. entro un anno dalla data di rep. - Max</t>
  </si>
  <si>
    <t>Auswirkungen von nicht aktivierten Steuergutschriften auf den effektiven Steuersatz</t>
  </si>
  <si>
    <t>Impatto dei benefici fiscali non ric. sul tasso di imposta effettivo</t>
  </si>
  <si>
    <t>세무 당국과 결산</t>
  </si>
  <si>
    <t>소멸시효 경과</t>
  </si>
  <si>
    <t>인식되지 않은 세제혜택 - 기타 조정</t>
  </si>
  <si>
    <t>인식되지 않은 세제혜택, 기간 끝</t>
  </si>
  <si>
    <t>계정부호 - 이자 및 벌과금</t>
  </si>
  <si>
    <t>IS에서 인식된 이자 및 벌과금 - 세전</t>
  </si>
  <si>
    <t>IS에서 인식된 이자 및 벌과금 - 세후</t>
  </si>
  <si>
    <t>BS에서 인식된 이자 및 벌과금 - 세전</t>
  </si>
  <si>
    <t>BS에서 인식된 이자 및 벌과금 - 세후</t>
  </si>
  <si>
    <t>대표 날짜의 연도 내 인식되지 않은 세제혜택 변경 - 최소</t>
  </si>
  <si>
    <t>대표 날짜의 연도 내 인식되지 않은 세제혜택 변경 - 최대</t>
  </si>
  <si>
    <t>유효 세율에 인식되지 않은 세제혜택이 미치는 영향</t>
  </si>
  <si>
    <t>长期有价证券</t>
  </si>
  <si>
    <t>長期有價證券</t>
  </si>
  <si>
    <t>Titres négociables à long terme</t>
  </si>
  <si>
    <t>耗材预付款</t>
  </si>
  <si>
    <t>耗材預付款</t>
  </si>
  <si>
    <t>Avances pour fournitures</t>
  </si>
  <si>
    <t>商誉和无形资产（净额）</t>
  </si>
  <si>
    <t>商譽和無形資產（淨額）</t>
  </si>
  <si>
    <t>Bonne volonté et actifs incorporels (net)</t>
  </si>
  <si>
    <t>商誉（净额）</t>
  </si>
  <si>
    <t>商譽（淨額）</t>
  </si>
  <si>
    <t>Bonne volonté (Net)</t>
  </si>
  <si>
    <t>无形资产（净额）</t>
  </si>
  <si>
    <t>無形資產（淨額）</t>
  </si>
  <si>
    <t>Actifs incorporels (Net)</t>
  </si>
  <si>
    <t>公司间流动资产</t>
  </si>
  <si>
    <t>公司間流動資產</t>
  </si>
  <si>
    <t>Actifs courants interentreprises</t>
  </si>
  <si>
    <t>公司间非流动资产</t>
  </si>
  <si>
    <t>公司間非流動資產</t>
  </si>
  <si>
    <t>Actifs non courants interentreprises</t>
  </si>
  <si>
    <t>公司间流动负债</t>
  </si>
  <si>
    <t>公司間流動負債</t>
  </si>
  <si>
    <t>Passifs courants interentreprises</t>
  </si>
  <si>
    <t>公司间非流动负债</t>
  </si>
  <si>
    <t>公司間非流動負債</t>
  </si>
  <si>
    <t>Passifs non courants interentreprises</t>
  </si>
  <si>
    <t>审核公司名称</t>
  </si>
  <si>
    <t>審核公司名稱</t>
  </si>
  <si>
    <t>Nom de l'auditeur</t>
  </si>
  <si>
    <t>审计意见</t>
  </si>
  <si>
    <t>審計意見</t>
  </si>
  <si>
    <t>Opinion du vérificateur</t>
  </si>
  <si>
    <t>养老金</t>
  </si>
  <si>
    <t>養老金</t>
  </si>
  <si>
    <t>设定受益净定期费用</t>
  </si>
  <si>
    <t>設定受益淨定期費用</t>
  </si>
  <si>
    <t>Coût périodique net des prestations définies</t>
  </si>
  <si>
    <t>设定受益服务成本</t>
  </si>
  <si>
    <t>設定受益服務成本</t>
  </si>
  <si>
    <t>Coût des services à prestations définies</t>
  </si>
  <si>
    <t>设定受益利息成本</t>
  </si>
  <si>
    <t>設定受益利息成本</t>
  </si>
  <si>
    <t>Coût des intérêts des prestations définies</t>
  </si>
  <si>
    <t>设定受益资产收益率</t>
  </si>
  <si>
    <t>設定受益資產收益率</t>
  </si>
  <si>
    <t>Rendement des actifs à prestations définies</t>
  </si>
  <si>
    <t>设定受益其他成本</t>
  </si>
  <si>
    <t>設定受益其他成本</t>
  </si>
  <si>
    <t>Prestations définies Autres coûts</t>
  </si>
  <si>
    <t>设定受益总成本</t>
  </si>
  <si>
    <t>設定受益總成本</t>
  </si>
  <si>
    <t>Coût total des prestations définies</t>
  </si>
  <si>
    <t>补充计划设定受益总费用</t>
  </si>
  <si>
    <t>補充計劃設定受益總費用</t>
  </si>
  <si>
    <t>Coût total des régimes complémentaires à prestations définies</t>
  </si>
  <si>
    <t>确定提拨费用</t>
  </si>
  <si>
    <t>確定提撥費用</t>
  </si>
  <si>
    <t>Coût des contributions définies</t>
  </si>
  <si>
    <t>养老金总支出</t>
  </si>
  <si>
    <t>養老金總支出</t>
  </si>
  <si>
    <t>Total des dépenses de pension</t>
  </si>
  <si>
    <t>長期有価証券</t>
  </si>
  <si>
    <t>Долгосрочные рыночные ценные бумаги</t>
  </si>
  <si>
    <t>Valores negociables a largo plazo</t>
  </si>
  <si>
    <t>サプライのための進歩</t>
  </si>
  <si>
    <t>Авансы за поставку</t>
  </si>
  <si>
    <t>Anticipos de suministros</t>
  </si>
  <si>
    <t>のれんおよび無形資産（純額）</t>
  </si>
  <si>
    <t>Гудвилл и нематериальные активы (нетто)</t>
  </si>
  <si>
    <t>Bienes de Uso e intangibles (neto)</t>
  </si>
  <si>
    <t>のれん（ネット）</t>
  </si>
  <si>
    <t>Гудвилл (нетто)</t>
  </si>
  <si>
    <t>Bienes de Uso (neto)</t>
  </si>
  <si>
    <t>無形資産（純額）</t>
  </si>
  <si>
    <t>Нематериальные активы (нетто)</t>
  </si>
  <si>
    <t>Intangibles (Red)</t>
  </si>
  <si>
    <t>会社間流動資産</t>
  </si>
  <si>
    <t>Внутрифирменные текущие активы</t>
  </si>
  <si>
    <t>Activos corrientes interempresariales</t>
  </si>
  <si>
    <t>会社間非流動資産</t>
  </si>
  <si>
    <t>Внутрифирменные внеоборотные активы</t>
  </si>
  <si>
    <t>Activos no corrientes interempresariales</t>
  </si>
  <si>
    <t>会社間の流動負債</t>
  </si>
  <si>
    <t>Внутрифирменные текущие обязательства</t>
  </si>
  <si>
    <t>Pasivo corriente interempresariales</t>
  </si>
  <si>
    <t>会社間非流動負債</t>
  </si>
  <si>
    <t>Внутрифирменные внеоборотные обязательства</t>
  </si>
  <si>
    <t>Pasivo no corriente interempresariales</t>
  </si>
  <si>
    <t>監査役の名前</t>
  </si>
  <si>
    <t>Имя аудитора</t>
  </si>
  <si>
    <t>Nombre del auditor</t>
  </si>
  <si>
    <t>監査意見</t>
  </si>
  <si>
    <t>Аудиторское заключение</t>
  </si>
  <si>
    <t>Opinión del auditor</t>
  </si>
  <si>
    <t>年金</t>
  </si>
  <si>
    <t>Пенсия</t>
  </si>
  <si>
    <t>Pensión</t>
  </si>
  <si>
    <t>確定給付 - 純期間費用</t>
  </si>
  <si>
    <t>Установленное пособие Чистая периодическая стоимость</t>
  </si>
  <si>
    <t>Beneficio definido Costo periódico neto</t>
  </si>
  <si>
    <t>確定給付 - サービス費用</t>
  </si>
  <si>
    <t>Установленное пособие Стоимость обслуживания</t>
  </si>
  <si>
    <t>Beneficio Definido Costo del Servicio</t>
  </si>
  <si>
    <t>確定給付 - 利息費用</t>
  </si>
  <si>
    <t xml:space="preserve">Установленное пособие Проценты </t>
  </si>
  <si>
    <t>Beneficio Definido Costo de Interés</t>
  </si>
  <si>
    <t>確定給付 - 資産収益率</t>
  </si>
  <si>
    <t>Установленное пособие Рентабельность активов</t>
  </si>
  <si>
    <t>Beneficio Definido Retorno de los activos</t>
  </si>
  <si>
    <t>確定給付 - その他の費用</t>
  </si>
  <si>
    <t>Установленное пособие Другие расходы</t>
  </si>
  <si>
    <t>Beneficio Definido Otros costos</t>
  </si>
  <si>
    <t>確定給付 - 総費用</t>
  </si>
  <si>
    <t>Установленное пособие Итого Стоимость</t>
  </si>
  <si>
    <t>Beneficio Definido Costo total</t>
  </si>
  <si>
    <t>確定給付 - 補足的プランの総費用</t>
  </si>
  <si>
    <t>Установленное пособие Итого Стоимость дополнительных планов</t>
  </si>
  <si>
    <t>Beneficio Definido Costo total de los planes de suplementos</t>
  </si>
  <si>
    <t>確定拠出 - 総費用</t>
  </si>
  <si>
    <t>Расходы по установленным взносам</t>
  </si>
  <si>
    <t>Costo de la contribución Definido</t>
  </si>
  <si>
    <t>総年金費用</t>
  </si>
  <si>
    <t>Общие пенсионные расходы</t>
  </si>
  <si>
    <t>Gasto total en pensiones</t>
  </si>
  <si>
    <t>Langfristige marktgängige Wertpapiere</t>
  </si>
  <si>
    <t>Titoli negoziabili a lungo termine</t>
  </si>
  <si>
    <t>Vorschüsse für Lieferungen</t>
  </si>
  <si>
    <t>Anticipi per forniture</t>
  </si>
  <si>
    <t>Ideeller Unternehmenswert und Immaterialvermögen (netto)</t>
  </si>
  <si>
    <t>Avviamento e attività materiali (netto)</t>
  </si>
  <si>
    <t>Ideeller Unternehmenswert (netto)</t>
  </si>
  <si>
    <t>Avviamento (netto)</t>
  </si>
  <si>
    <t>Immaterialvermögen (netto)</t>
  </si>
  <si>
    <t>Attività immateriali (netto)</t>
  </si>
  <si>
    <t>Konzerninternes Umlaufvermögen</t>
  </si>
  <si>
    <t>Attività correnti infragruppo</t>
  </si>
  <si>
    <t>Konzerninternes Anlagevermögen</t>
  </si>
  <si>
    <t>Attività non correnti infragruppo</t>
  </si>
  <si>
    <t>Konzerninterne kurzfristige Verbindlichkeiten</t>
  </si>
  <si>
    <t>Passività correnti infragruppo</t>
  </si>
  <si>
    <t>Konzerninterne nicht kurzfristige Verbindlichkeiten</t>
  </si>
  <si>
    <t>Passività non correnti infragruppo</t>
  </si>
  <si>
    <t>Name des Rechnungsprüfers</t>
  </si>
  <si>
    <t>Nome del revisore</t>
  </si>
  <si>
    <t>Gutachten des Rechnungsprüfers</t>
  </si>
  <si>
    <t>Opinione del revisore</t>
  </si>
  <si>
    <t>Pensioni</t>
  </si>
  <si>
    <t>Netto-Periodenkosten im leistungsorientierten Pensionsprogramm</t>
  </si>
  <si>
    <t>Costo periodico netto benefici definiti</t>
  </si>
  <si>
    <t>Betriebskosten im leistungsorientierten Pensionsprogramm</t>
  </si>
  <si>
    <t>Costo servizi benefici def.</t>
  </si>
  <si>
    <t>Zinsaufwand im leistungsorientierten Pensionsprogramm</t>
  </si>
  <si>
    <t>Costo interessi benefici def.</t>
  </si>
  <si>
    <t>Vermögensrendite im leistungsorientierten Pensionsprogramm</t>
  </si>
  <si>
    <t>Rendimento delle attività benefici def.</t>
  </si>
  <si>
    <t>Sonstige Kosten im leistungsorientierten Pensionsprogramm</t>
  </si>
  <si>
    <t>Altri costi benefici def.</t>
  </si>
  <si>
    <t>Gesamtkosten im leistungsorientierten Pensionsprogramm</t>
  </si>
  <si>
    <t>Costo totale benefici def.</t>
  </si>
  <si>
    <t>Leistungsorientiertes Pensionsprogramm, Gesamtkosten für Zusatzpläne</t>
  </si>
  <si>
    <t>Costo totale piani flessibili benefici def.</t>
  </si>
  <si>
    <t>Beitragsorientiertes Pensionsprogramm, Kosten</t>
  </si>
  <si>
    <t>Costo contribuzione def.</t>
  </si>
  <si>
    <t>Summe der Pensionsaufwendungen</t>
  </si>
  <si>
    <t>Totale spese pensioni</t>
  </si>
  <si>
    <t>장기 유가증권</t>
  </si>
  <si>
    <t>공급품에 대한 선불</t>
  </si>
  <si>
    <t>영업권 및 무형자산(순)</t>
  </si>
  <si>
    <t>영업권(순)</t>
  </si>
  <si>
    <t>무형자산(순)</t>
  </si>
  <si>
    <t>회사 간 유동자산</t>
  </si>
  <si>
    <t>회사 간 비유동자산</t>
  </si>
  <si>
    <t>회사 간 유동채무</t>
  </si>
  <si>
    <t>회사 간 비유동채무</t>
  </si>
  <si>
    <t>감사인 이름</t>
  </si>
  <si>
    <t>감사인 의견</t>
  </si>
  <si>
    <t>연금</t>
  </si>
  <si>
    <t>확정급여형 연금 순 정기 비용</t>
  </si>
  <si>
    <t>확정급여형 연금 서비스 비용</t>
  </si>
  <si>
    <t>확정급여형 연금 이자 비용</t>
  </si>
  <si>
    <t>확정급여형 연금 자산 이익률</t>
  </si>
  <si>
    <t>확정급여형 연금 기타 비용</t>
  </si>
  <si>
    <t>확정급여형 연금 총 비용</t>
  </si>
  <si>
    <t>확정급여형 연금 총 부가 계획 비용</t>
  </si>
  <si>
    <t>확정기여형 연금 비용</t>
  </si>
  <si>
    <t>총 연금 비용</t>
  </si>
  <si>
    <t>设定受益义务</t>
  </si>
  <si>
    <t>設定受益義務</t>
  </si>
  <si>
    <t>Obligation de prestations définies</t>
  </si>
  <si>
    <t>期初设定受益义务</t>
  </si>
  <si>
    <t>期初設定受益義務</t>
  </si>
  <si>
    <t>Obligation initiale de prestations définies</t>
  </si>
  <si>
    <t>確定給付債務</t>
  </si>
  <si>
    <t>Обязательство по выплатам с установленными выплатами</t>
  </si>
  <si>
    <t>Obligación de prestaciones definidas</t>
  </si>
  <si>
    <t>年初確定給付債務</t>
  </si>
  <si>
    <t>Начальные обязательства по выплатам с установленными выплатами</t>
  </si>
  <si>
    <t>Obligación de prestaciones Definido</t>
  </si>
  <si>
    <t>Verpflichtung im leistungsorientierten Pensionsprogramm</t>
  </si>
  <si>
    <t>Obbligazioni benefici def.</t>
  </si>
  <si>
    <t>Anfängliche Verpflichtung im leistungsorientierten Pensionsprogramm</t>
  </si>
  <si>
    <t>Obbligazioni benefici def. iniz.</t>
  </si>
  <si>
    <t>확정급여형 연금 채무</t>
  </si>
  <si>
    <t>시작 확정급여형 연금 채무</t>
  </si>
  <si>
    <t>设定受益员工提存</t>
  </si>
  <si>
    <t>設定受益員工提存</t>
  </si>
  <si>
    <t>Cotisations des employés à prestations définies</t>
  </si>
  <si>
    <t>设定受益精算收益/亏损</t>
  </si>
  <si>
    <t>設定受益精算收益/虧損</t>
  </si>
  <si>
    <t>Gains/pertes actuariels à prestations définies</t>
  </si>
  <si>
    <t>已付设定受益</t>
  </si>
  <si>
    <t>已付設定受益</t>
  </si>
  <si>
    <t>Prestations définies versées</t>
  </si>
  <si>
    <t>Ajusté en fonction du taux de change</t>
  </si>
  <si>
    <t>子公司给付义务</t>
  </si>
  <si>
    <t>子公司給付義務</t>
  </si>
  <si>
    <t>Obligation de prestation acquise</t>
  </si>
  <si>
    <t>设定受益结算/削減</t>
  </si>
  <si>
    <t>設定受益結算/縮減</t>
  </si>
  <si>
    <t>Liquidation/réduction des prestations définies</t>
  </si>
  <si>
    <t>设定受益义务的其他调整</t>
  </si>
  <si>
    <t>設定受益義務的其他調整</t>
  </si>
  <si>
    <t>Autres ajustements à l'obligation de prestations définies</t>
  </si>
  <si>
    <t>预期结付义务</t>
  </si>
  <si>
    <t>預期結付義務</t>
  </si>
  <si>
    <t>Obligation de prestations projetées</t>
  </si>
  <si>
    <t>確定給付 - 従業員拠出</t>
  </si>
  <si>
    <t>Взносы сотрудников по установленным выплатам</t>
  </si>
  <si>
    <t>Def. Aportaciones de los empleados a las prestaciones</t>
  </si>
  <si>
    <t>確定給付 - 数理計算上の損益</t>
  </si>
  <si>
    <t>Актуарная прибыль/убытки по пенсионному плану с установленными выплатами</t>
  </si>
  <si>
    <t>Beneficio Definido Ganancias/Pérdidas actuariales</t>
  </si>
  <si>
    <t>確定給付支出</t>
  </si>
  <si>
    <t>Выплаченные фиксированные пособия</t>
  </si>
  <si>
    <t>Beneficios definidos pagados</t>
  </si>
  <si>
    <t>為替換算調整</t>
  </si>
  <si>
    <t>Скорректированный обменный курс</t>
  </si>
  <si>
    <t>Ajuste de Divisas</t>
  </si>
  <si>
    <t>取得給付 - 債務</t>
  </si>
  <si>
    <t>Обязательства по приобретенным пособиям</t>
  </si>
  <si>
    <t>Obligación de beneficios adqueridos</t>
  </si>
  <si>
    <t>確定給付 - 決済・削減</t>
  </si>
  <si>
    <t>Урегулирование/расхождение пенсионного плана с установленными выплатами</t>
  </si>
  <si>
    <t>Liquidación de beneficios Definidos / Reducción de beneficios</t>
  </si>
  <si>
    <t>確定給付 - その他の修正</t>
  </si>
  <si>
    <t>Прочее скорректированное до обязательства по пенсионному плану с установленными выплатами</t>
  </si>
  <si>
    <t>Otro ajuste a la definición de Obligación de prestaciones</t>
  </si>
  <si>
    <t>予測給付債務</t>
  </si>
  <si>
    <t>Обязательство по прогнозируемым выгодам</t>
  </si>
  <si>
    <t>Obligación de prestaciones Proyectados</t>
  </si>
  <si>
    <t>Mitarbeiterbeiträge im leistungsorientierten Pensionsprogramm</t>
  </si>
  <si>
    <t>Contribuzioni dipendenti benefici def.</t>
  </si>
  <si>
    <t>Versicherungsmathematischer Gewinn/Verlust im leistungsorientierten Pensionsprogramm</t>
  </si>
  <si>
    <t>Utili/Perdite attuariali benefici def.</t>
  </si>
  <si>
    <t>Leistungen aus dem leistungsorientierten Pensionsprogramm</t>
  </si>
  <si>
    <t>Benefici def. pagati</t>
  </si>
  <si>
    <t>Wechselkursanpassung</t>
  </si>
  <si>
    <t>Rettif. tasso di cambio</t>
  </si>
  <si>
    <t>Obbligo a benefici acq.</t>
  </si>
  <si>
    <t>Abwicklung/Kürzung im leistungsorientierten Pensionsprogramm</t>
  </si>
  <si>
    <t>Riduzione/Estensione benefici def.</t>
  </si>
  <si>
    <t>Andere Anpassungen im leistungsorientierten Pensionsprogramm</t>
  </si>
  <si>
    <t>Altre rett. all'obbligo a benefici def.</t>
  </si>
  <si>
    <t>Vorhergesagte Leistungsverpflichtung</t>
  </si>
  <si>
    <t>Obbligo a benefici prog.</t>
  </si>
  <si>
    <t>확정급여형 연금 직원 기여도</t>
  </si>
  <si>
    <t>확정급여형 연금 보험 계리사 이익/손실</t>
  </si>
  <si>
    <t>지불된 확정급여형 연금</t>
  </si>
  <si>
    <t>인수급여채무</t>
  </si>
  <si>
    <t>확정급여형 연금 결산/삭감</t>
  </si>
  <si>
    <t>기타 확정급여형 연금 채무 조절</t>
  </si>
  <si>
    <t>예측급여채무</t>
  </si>
  <si>
    <t>其他离职后福利</t>
  </si>
  <si>
    <t>其他離職後福利</t>
  </si>
  <si>
    <t>Autres bénéfices postérieurs à l'emploi (OPEB)</t>
  </si>
  <si>
    <t>设定受益预期资产收益率</t>
  </si>
  <si>
    <t>設定受益預期資產收益率</t>
  </si>
  <si>
    <t>Prestations définies - Rendement attendu des actifs</t>
  </si>
  <si>
    <t>Prestations définies Coût total</t>
  </si>
  <si>
    <t>其他离职后福利费用合计</t>
  </si>
  <si>
    <t>其他離職後福利費用合計</t>
  </si>
  <si>
    <t>Total des autres dépenses liées aux bénéfices post-emploi</t>
  </si>
  <si>
    <t>预计福利义务</t>
  </si>
  <si>
    <t>預計福利義務</t>
  </si>
  <si>
    <t>累积福利义务</t>
  </si>
  <si>
    <t>累積福利義務</t>
  </si>
  <si>
    <t>Obligation de prestations accumulées</t>
  </si>
  <si>
    <t>效益敏感性分析</t>
  </si>
  <si>
    <t>Analyse de sensibilité des avantages</t>
  </si>
  <si>
    <t>增加1％-对服务和利息成本的影响</t>
  </si>
  <si>
    <t>增加1％-對服務和利息成本的影響</t>
  </si>
  <si>
    <t>Augmentation de 1% - Effet sur le coût des services et des intérêts</t>
  </si>
  <si>
    <t>增加1％-对退休后福利义务的影响</t>
  </si>
  <si>
    <t>增加1％-對退休後福利義務的影響</t>
  </si>
  <si>
    <t>Augmentation de 1% - Effet sur l'obligation de prestations de retraite (PBO)</t>
  </si>
  <si>
    <t>减少1％-对服务和利息成本的影响</t>
  </si>
  <si>
    <t>減少1％-對服務和利息成本的影響</t>
  </si>
  <si>
    <t>Diminution de 1% - Effet sur le coût des services et des intérêts</t>
  </si>
  <si>
    <t>减少1％-对退休后福利义务的影响</t>
  </si>
  <si>
    <t>減少1％-對退休後福利義務的影響</t>
  </si>
  <si>
    <t>Diminution de 1% - Effet sur l'obligation de prestations de retraite (PBO)</t>
  </si>
  <si>
    <t>其他退休后福利相关项目</t>
  </si>
  <si>
    <t>其他退休後福利相關項目</t>
  </si>
  <si>
    <t>Autres éléments liés aux avantages postérieurs à la retraite</t>
  </si>
  <si>
    <t>初始医疗费用趋势率</t>
  </si>
  <si>
    <t>初始醫療費用趨勢率</t>
  </si>
  <si>
    <t>Taux d'évolution des coûts des soins de santé, initial</t>
  </si>
  <si>
    <t>最终医疗费用趋势率</t>
  </si>
  <si>
    <t>最終醫療費用趨勢率</t>
  </si>
  <si>
    <t>Taux d'évolution des coûts des soins de santé, ultime</t>
  </si>
  <si>
    <t>养老金-国内</t>
  </si>
  <si>
    <t>養老金-國內</t>
  </si>
  <si>
    <t>Pension - domestique</t>
  </si>
  <si>
    <t>その他の退職給付</t>
  </si>
  <si>
    <t>Другие пособия по окончании трудовой деятельности (OPEB)</t>
  </si>
  <si>
    <t>Otros beneficios post-empleo (OPEB)</t>
  </si>
  <si>
    <t>確定給付 - 資産の期待収益率</t>
  </si>
  <si>
    <t>Ожидаемая рентабельность активов по пенсионному плану с установленными выплатами</t>
  </si>
  <si>
    <t>Beneficio Definido Rendimiento esperado de los activos</t>
  </si>
  <si>
    <t>確定給付 - 給付総費用</t>
  </si>
  <si>
    <t>Суммарные затраты на выплату пособий с установленными выплатами</t>
  </si>
  <si>
    <t>Beneficio Definido Beneficio Costo total</t>
  </si>
  <si>
    <t>その他の退職給付総額</t>
  </si>
  <si>
    <t>Всего Прочие расходы на выплату пособий по окончании трудовой деятельности</t>
  </si>
  <si>
    <t>Gastos totales de Otros beneficios post-empleo (OPEB)</t>
  </si>
  <si>
    <t>Обязательство по прогнозируемым выплатам</t>
  </si>
  <si>
    <t>Obligación de beneficios proyectados</t>
  </si>
  <si>
    <t>累積給付債務</t>
  </si>
  <si>
    <t>Обязательство по выплатам накопленных пособий</t>
  </si>
  <si>
    <t>Obligación de beneficios acumulados</t>
  </si>
  <si>
    <t>メリット感度分析</t>
  </si>
  <si>
    <t>Анализ чувствительности к выплатам</t>
  </si>
  <si>
    <t>Beneficios Análisis de sensibilidad</t>
  </si>
  <si>
    <t>1％の増加 - サービス及び利息費用の影響</t>
  </si>
  <si>
    <t>Увеличение на 1% - Влияние на стоимость услуг и процентов</t>
  </si>
  <si>
    <t>Aumento del 1% - Efecto en el costo del servicio y los intereses</t>
  </si>
  <si>
    <t>1％の増加 - PBOへの影響</t>
  </si>
  <si>
    <t>1% увеличение - влияние на обязательства по выплатам после выхода на пенсию (PBO)</t>
  </si>
  <si>
    <t>Incremento del 1% - Efecto en la Obligación de beneficios posteriores a la jubilación (PBO)</t>
  </si>
  <si>
    <t>1％の減少 - サービス及び利息費用の影響</t>
  </si>
  <si>
    <t>1% Снижение - Влияние на стоимость услуг и процентов</t>
  </si>
  <si>
    <t>Disminución del 1% - Efecto en el costo del servicio y los intereses</t>
  </si>
  <si>
    <t>1％の減少 - PBOへの影響</t>
  </si>
  <si>
    <t>1% Сокращение - влияние на обязательства по выплатам после выхода на пенсию (PBO)</t>
  </si>
  <si>
    <t>Disminución del 1% - Efecto en la Obligación de beneficios posteriores a la jubilación (PBO)</t>
  </si>
  <si>
    <t>その他の退職後給付関連アイテム</t>
  </si>
  <si>
    <t>Другие статьи, связанные с выплатами после выхода на пенсию</t>
  </si>
  <si>
    <t>Otros artículos relacionados con las prestaciones posteriores a la jubilación</t>
  </si>
  <si>
    <t>ヘルスケアコストトレンドレート、初期</t>
  </si>
  <si>
    <t>Тенденция изменения стоимости медицинского обслуживания, начальное значение</t>
  </si>
  <si>
    <t>Tasa de tendencia del costo de la atención médica, inicial</t>
  </si>
  <si>
    <t>ヘルスケアコストトレンドレート、究極</t>
  </si>
  <si>
    <t>Тенденция изменения стоимости медицинского обслуживания, конечная цена</t>
  </si>
  <si>
    <t>Tasa de tendencia del costo de la atención médica, última</t>
  </si>
  <si>
    <t>年金 - 国内</t>
  </si>
  <si>
    <t>Пенсионный - Национальный</t>
  </si>
  <si>
    <t>Pensión - Doméstica</t>
  </si>
  <si>
    <t>OPEB (Altri benefici post-impiego)</t>
  </si>
  <si>
    <t>Erwartete Vermögensrendite im leistungsorientierten Pensionsprogramm</t>
  </si>
  <si>
    <t>Rendimento delle attività benefici def. atteso</t>
  </si>
  <si>
    <t>Summe der OPEB-Aufwendungen</t>
  </si>
  <si>
    <t>Totale spese OPEB</t>
  </si>
  <si>
    <t>Voraussichtliche Leistungsverpflichtung</t>
  </si>
  <si>
    <t>Obbligo a benefici programmato</t>
  </si>
  <si>
    <t>Akkumulierte Leistungsverpflichtung</t>
  </si>
  <si>
    <t>Obbligo a benefici accumulato</t>
  </si>
  <si>
    <t>Sensitivitätsanalyse für Leistungen</t>
  </si>
  <si>
    <t>Analisi sensibilità benefit</t>
  </si>
  <si>
    <t>Anstieg um 1 % – Auswirkungen auf Betriebs- und Zinskosten</t>
  </si>
  <si>
    <t>Aumento 1% - Effetto su costo interessi e servizio</t>
  </si>
  <si>
    <t>Anstieg um 1% – Auswirkungen auf PBO</t>
  </si>
  <si>
    <t>Aumento 1% - Effetto su PBO</t>
  </si>
  <si>
    <t>Rückgang um 1 % – Auswirkungen auf Betriebs- und Zinskosten</t>
  </si>
  <si>
    <t>Decremento 1% - Effetto su costo interessi e servizio</t>
  </si>
  <si>
    <t>Rückgang um 1% – Auswirkungen auf PBO</t>
  </si>
  <si>
    <t>Decremento 1% - Effetto su PBO</t>
  </si>
  <si>
    <t>Andere Posten im Zusammenhang mit Pensionsleistungen</t>
  </si>
  <si>
    <t>Altre voci relative ai benefici post-impiego</t>
  </si>
  <si>
    <t>Gesundheitskostentrend, anfänglich</t>
  </si>
  <si>
    <t>Tasso tendenza costo assistenza sanitaria, iniziale</t>
  </si>
  <si>
    <t>Gesundheitskostentrend, ultimativ</t>
  </si>
  <si>
    <t>Tasso tendenza costo assistenza sanitaria, definitivo</t>
  </si>
  <si>
    <t>Rente – Inland</t>
  </si>
  <si>
    <t>Pensioni - Nazionale</t>
  </si>
  <si>
    <t>확정급여형 연금 예상 자산 이익률</t>
  </si>
  <si>
    <t>확정급여형 연금 혜택 총 비용</t>
  </si>
  <si>
    <t>총 OPEB 비용</t>
  </si>
  <si>
    <t>누적급여채무</t>
  </si>
  <si>
    <t>혜택 민감도 분석</t>
  </si>
  <si>
    <t>1% 증가 - 서비스 및 이자 비용에 미치는 영향</t>
  </si>
  <si>
    <t>1% 증가 - PBO에 미치는 영향</t>
  </si>
  <si>
    <t>1% 감소 - 서비스 및 이자 비용에 미치는 영향</t>
  </si>
  <si>
    <t>1% 감소 - PBO에 미치는 영향</t>
  </si>
  <si>
    <t>기타 은퇴 후 혜택 관련 항목</t>
  </si>
  <si>
    <t>건강 관리 비용 추세 비율, 초기</t>
  </si>
  <si>
    <t>건강 관리 비용 추세 비율, 최종</t>
  </si>
  <si>
    <t>연금 - 국내</t>
  </si>
  <si>
    <t>资产回报率(%)</t>
  </si>
  <si>
    <t>資產回報率(%)</t>
  </si>
  <si>
    <t>Rendement des actifs (%)</t>
  </si>
  <si>
    <t>资本回报率(%)</t>
  </si>
  <si>
    <t>資本回報率(%)</t>
  </si>
  <si>
    <t>Rendement du capital (%)</t>
  </si>
  <si>
    <t>股本回报率(%)</t>
  </si>
  <si>
    <t>股本回報率(%)</t>
  </si>
  <si>
    <t>Rendement des capitaux propres (%)</t>
  </si>
  <si>
    <t>普通股本回报率(%)</t>
  </si>
  <si>
    <t>普通股本回報率(%)</t>
  </si>
  <si>
    <t>Rendement des actions ordinaires (%)</t>
  </si>
  <si>
    <t>総資産利益率(%)</t>
  </si>
  <si>
    <t>Рентабельность активов (%)</t>
  </si>
  <si>
    <t>Rentabilidad económica (%)</t>
  </si>
  <si>
    <t>投下資本利益率(%)</t>
  </si>
  <si>
    <t>Рентабельность капитала (%)</t>
  </si>
  <si>
    <t>Retorno sobre capital (%)</t>
  </si>
  <si>
    <t>純資産利益率 (%)</t>
  </si>
  <si>
    <t>Рентабельность собственного капитала (%)</t>
  </si>
  <si>
    <t>Rentabilidad financiera (%)</t>
  </si>
  <si>
    <t>株主資本利益率 (%)</t>
  </si>
  <si>
    <t>Доходность на обыкновенный капитал (%)</t>
  </si>
  <si>
    <t>Retorno sobre capital ordinario (%)</t>
  </si>
  <si>
    <t>Vermögensrendite (%)</t>
  </si>
  <si>
    <t>Rendimento delle attività (%)</t>
  </si>
  <si>
    <t>Kapitalrendite (%)</t>
  </si>
  <si>
    <t>Rendimento del capitale (%)</t>
  </si>
  <si>
    <t>Eigenkapitalrendite (%)</t>
  </si>
  <si>
    <t>Rendimento equity (%)</t>
  </si>
  <si>
    <t>Grundkapitalrendite (%)</t>
  </si>
  <si>
    <t>Rendimento del common equity (%)</t>
  </si>
  <si>
    <t>자산 이익률(%)</t>
  </si>
  <si>
    <t>자본이익률(%)</t>
  </si>
  <si>
    <t>자기자본이익률(%)</t>
  </si>
  <si>
    <t>总债务 / 权益 (%)</t>
  </si>
  <si>
    <t>總債務 / 權益 (%)</t>
  </si>
  <si>
    <t>Total des dettes / capitaux propres (%)</t>
  </si>
  <si>
    <t>总债务 / 资本 (%)</t>
  </si>
  <si>
    <t>總債務 / 資本 (%)</t>
  </si>
  <si>
    <t>Dette totale / Capital (%)</t>
  </si>
  <si>
    <t>长期债务 / 权益(%)</t>
  </si>
  <si>
    <t>長期債務 / 權益(%)</t>
  </si>
  <si>
    <t>Dette à long terme/capitaux propres (%)</t>
  </si>
  <si>
    <t>长期债务 / 资本(%)</t>
  </si>
  <si>
    <t>長期債務 / 資本(%)</t>
  </si>
  <si>
    <t>Dette à long terme/capital (%)</t>
  </si>
  <si>
    <t>有利子負債 / 純資産(%)</t>
  </si>
  <si>
    <t>Общий долг / Капитал (%)</t>
  </si>
  <si>
    <t>Deuda total / patrimonio (%)</t>
  </si>
  <si>
    <t>有利子負債 / 投下資本(%)</t>
  </si>
  <si>
    <t>Deuda total / capital (%)</t>
  </si>
  <si>
    <t>長期有利子負債(リース債務除く) / 純資産(%)</t>
  </si>
  <si>
    <t>Долгосрочный долг/капитал (%)</t>
  </si>
  <si>
    <t>Deuda a largo plazo / Patrimonio</t>
  </si>
  <si>
    <t>長期有利子負債(リース債務除く) / 投下資本(%)</t>
  </si>
  <si>
    <t>Deuda a largo plazo / Capital</t>
  </si>
  <si>
    <t>Gesamtverschuldung/Eigenkapital (%)</t>
  </si>
  <si>
    <t>Totale debito/Equity (%)</t>
  </si>
  <si>
    <t>Gesamtverschuldung/Kapital (%)</t>
  </si>
  <si>
    <t>Totale debito/capitale (%)</t>
  </si>
  <si>
    <t>Langfristige Schulden/Eigenkapital (%)</t>
  </si>
  <si>
    <t>Debito/Equity a lungo termine (%)</t>
  </si>
  <si>
    <t>Langfristige Schulden/Kapital (%)</t>
  </si>
  <si>
    <t>Debito/capitale a lungo termine (%)</t>
  </si>
  <si>
    <t>총 부채/자기자본(%)</t>
  </si>
  <si>
    <t>총 부채/자본(%)</t>
  </si>
  <si>
    <t>LT 부채/자기자본(%)</t>
  </si>
  <si>
    <t>LT 부채/자본(%)</t>
  </si>
  <si>
    <t>税息折旧及摊销前利润 (%)</t>
  </si>
  <si>
    <t>稅息折舊及攤銷前利潤 (%)</t>
  </si>
  <si>
    <t>息稅前利潤 (%)</t>
  </si>
  <si>
    <t>EBITDA(%)</t>
  </si>
  <si>
    <t>EBIT(%)</t>
  </si>
  <si>
    <t>目标公司</t>
  </si>
  <si>
    <t>目標公司</t>
  </si>
  <si>
    <t>Entreprise cible</t>
  </si>
  <si>
    <t>日期</t>
  </si>
  <si>
    <t>交易数据</t>
  </si>
  <si>
    <t>交易數據</t>
  </si>
  <si>
    <t>Données commerciales</t>
  </si>
  <si>
    <t>対象者</t>
  </si>
  <si>
    <t>Целевая компания</t>
  </si>
  <si>
    <t>Empresa objetivo</t>
  </si>
  <si>
    <t>日付</t>
  </si>
  <si>
    <t>Даты</t>
  </si>
  <si>
    <t>fechas</t>
  </si>
  <si>
    <t>取引データ</t>
  </si>
  <si>
    <t>Торговые данные</t>
  </si>
  <si>
    <t>Datos comerciales</t>
  </si>
  <si>
    <t>Zielunternehmen</t>
  </si>
  <si>
    <t>Società di destinazione</t>
  </si>
  <si>
    <t>Datumsangaben</t>
  </si>
  <si>
    <t>Handelsdaten</t>
  </si>
  <si>
    <t>Dati di trading</t>
  </si>
  <si>
    <t>대상 기업</t>
  </si>
  <si>
    <t>날짜</t>
  </si>
  <si>
    <t>거래 데이터</t>
  </si>
  <si>
    <t>百分比</t>
  </si>
  <si>
    <t>% de</t>
  </si>
  <si>
    <t>52 周最高股价</t>
  </si>
  <si>
    <t>52 週最高股價</t>
  </si>
  <si>
    <t>52W Haut</t>
  </si>
  <si>
    <t>52 周最低股价</t>
  </si>
  <si>
    <t>52 週最低股價</t>
  </si>
  <si>
    <t>52W Faible</t>
  </si>
  <si>
    <t>企业价值计算</t>
  </si>
  <si>
    <t>企業價值計算</t>
  </si>
  <si>
    <t>Calcul de la valeur d'entreprise</t>
  </si>
  <si>
    <t>已发行股票</t>
  </si>
  <si>
    <t>已發行股票</t>
  </si>
  <si>
    <t>Partage</t>
  </si>
  <si>
    <t>の％</t>
  </si>
  <si>
    <t>%</t>
  </si>
  <si>
    <t>52週高値</t>
  </si>
  <si>
    <t>52 неделя максимум</t>
  </si>
  <si>
    <t>52 semanas alto</t>
  </si>
  <si>
    <t>52週安値</t>
  </si>
  <si>
    <t>52 Недельный минимум</t>
  </si>
  <si>
    <t>52 semanas bajas</t>
  </si>
  <si>
    <t>EVの計算</t>
  </si>
  <si>
    <t>Расчет стоимости компании</t>
  </si>
  <si>
    <t>Cálculo de valor empresarial</t>
  </si>
  <si>
    <t>発行済み株式数</t>
  </si>
  <si>
    <t>Количество акций в обращении</t>
  </si>
  <si>
    <t>Acciones en circulación</t>
  </si>
  <si>
    <t>% von</t>
  </si>
  <si>
    <t>% di</t>
  </si>
  <si>
    <t>52W Hoch</t>
  </si>
  <si>
    <t>52-settimane massimo</t>
  </si>
  <si>
    <t>52W Niedrig</t>
  </si>
  <si>
    <t>52-settimane minimo</t>
  </si>
  <si>
    <t>EV-Berechnung</t>
  </si>
  <si>
    <t>Calcolo EV</t>
  </si>
  <si>
    <t>Umlaufende Aktien</t>
  </si>
  <si>
    <t>Azioni in circolaz.</t>
  </si>
  <si>
    <t>% 기준:</t>
  </si>
  <si>
    <t>52W 높음</t>
  </si>
  <si>
    <t>52W 낮음</t>
  </si>
  <si>
    <t>EV 계산</t>
  </si>
  <si>
    <t>유통주식</t>
  </si>
  <si>
    <t>Dette nette/</t>
  </si>
  <si>
    <t>(债务+优先股)/</t>
  </si>
  <si>
    <t>(債務+優先股)/</t>
  </si>
  <si>
    <t>(Dette+Pref)/</t>
  </si>
  <si>
    <t>税息折旧及摊销前利润/</t>
  </si>
  <si>
    <t>稅息折舊及攤銷前利潤/</t>
  </si>
  <si>
    <t>利息</t>
  </si>
  <si>
    <t>Intérêt</t>
  </si>
  <si>
    <t>(税息折旧及摊销前利润 - 资本支出)/</t>
  </si>
  <si>
    <t>(稅息折舊及攤銷前利潤 - 資本支出)/</t>
  </si>
  <si>
    <t>总权益 (%)</t>
  </si>
  <si>
    <t>總權益 (%)</t>
  </si>
  <si>
    <t>Total des fonds propres (%)</t>
  </si>
  <si>
    <t>总资本 (%)</t>
  </si>
  <si>
    <t>總資本 (%)</t>
  </si>
  <si>
    <t>杠杆和覆盖</t>
  </si>
  <si>
    <t>槓桿和覆蓋</t>
  </si>
  <si>
    <t>Effet de levier et couverture</t>
  </si>
  <si>
    <t>过去十二个月盈利能力(%)</t>
  </si>
  <si>
    <t>過去十二個月盈利能力(%)</t>
  </si>
  <si>
    <t>Rentabilité des douze derniers mois (%)</t>
  </si>
  <si>
    <t>股权回报率</t>
  </si>
  <si>
    <t>股權回報率</t>
  </si>
  <si>
    <t>资产回报率</t>
  </si>
  <si>
    <t>資產回報率</t>
  </si>
  <si>
    <t>投资资本回报率</t>
  </si>
  <si>
    <t>投資資本回報率</t>
  </si>
  <si>
    <t>比率</t>
  </si>
  <si>
    <t>速动</t>
  </si>
  <si>
    <t>速動</t>
  </si>
  <si>
    <t>Rapide</t>
  </si>
  <si>
    <t>平均</t>
  </si>
  <si>
    <t>Moyenne.</t>
  </si>
  <si>
    <t>销售周转天数</t>
  </si>
  <si>
    <t>銷售周轉天數</t>
  </si>
  <si>
    <t>Jours de vente en attente</t>
  </si>
  <si>
    <t>存货周转天数</t>
  </si>
  <si>
    <t>存貨周轉天數</t>
  </si>
  <si>
    <t>Jours d'inventaire en attente</t>
  </si>
  <si>
    <t>应付帳款周转天数</t>
  </si>
  <si>
    <t>應付帳款周轉天數</t>
  </si>
  <si>
    <t>Jours de retard de paiement</t>
  </si>
  <si>
    <t>现金循环周期</t>
  </si>
  <si>
    <t>現金循環週期</t>
  </si>
  <si>
    <t>Cycle de conversion des espèces</t>
  </si>
  <si>
    <t>純有利子負債 /</t>
  </si>
  <si>
    <t>Чистый долг/</t>
  </si>
  <si>
    <t>Deuda neta /</t>
  </si>
  <si>
    <t>（負債+優先株）/</t>
  </si>
  <si>
    <t>(Долг + привилегированный капитал)/</t>
  </si>
  <si>
    <t>(Deuda + Preferida) /</t>
  </si>
  <si>
    <t>EBITDA /</t>
  </si>
  <si>
    <t>支払利息</t>
  </si>
  <si>
    <t>Процент</t>
  </si>
  <si>
    <t>Interés</t>
  </si>
  <si>
    <t>EBITDA-設備投資 /</t>
  </si>
  <si>
    <t>(EBITDA-Gastos de capital) /</t>
  </si>
  <si>
    <t>純資産（％）</t>
  </si>
  <si>
    <t>Итого Собственный капитал (%)</t>
  </si>
  <si>
    <t>Equidad total (%)</t>
  </si>
  <si>
    <t>総資本（％）</t>
  </si>
  <si>
    <t>Общий капитал (%)</t>
  </si>
  <si>
    <t>Capital total (%)</t>
  </si>
  <si>
    <t>レバレッジ・カバレッジ</t>
  </si>
  <si>
    <t>Рычаг и покрытие</t>
  </si>
  <si>
    <t>Apalancamiento y cobertura</t>
  </si>
  <si>
    <t>LTM収益性（％）</t>
  </si>
  <si>
    <t>Рентабельность LTM (%)</t>
  </si>
  <si>
    <t>Últimos Doce Meses Rentabilidad (%)</t>
  </si>
  <si>
    <t>自己資本利益率</t>
  </si>
  <si>
    <t xml:space="preserve">Rentabilidad financiera </t>
  </si>
  <si>
    <t>純資産利益率</t>
  </si>
  <si>
    <t xml:space="preserve">Rentabilidad económica </t>
  </si>
  <si>
    <t>投下資本利益率</t>
  </si>
  <si>
    <t>Rendimiento del Capital Invertido</t>
  </si>
  <si>
    <t>Соотношение</t>
  </si>
  <si>
    <t>Proporción</t>
  </si>
  <si>
    <t>当座</t>
  </si>
  <si>
    <t>Быстрое</t>
  </si>
  <si>
    <t>Rápido</t>
  </si>
  <si>
    <t>В среднем.</t>
  </si>
  <si>
    <t>Media</t>
  </si>
  <si>
    <t>売掛金回転日数</t>
  </si>
  <si>
    <t>Количество дней неоплаченных продаж</t>
  </si>
  <si>
    <t>Días de ventas pendientes</t>
  </si>
  <si>
    <t>在庫回転日数</t>
  </si>
  <si>
    <t>количество дней в обращении</t>
  </si>
  <si>
    <t>Inventario de días pendientes</t>
  </si>
  <si>
    <t>仕入債務回転日数</t>
  </si>
  <si>
    <t>Количество дней к оплате</t>
  </si>
  <si>
    <t>Días por pagar pendientes</t>
  </si>
  <si>
    <t>キャッシュ・コンバージョン・サイクル</t>
  </si>
  <si>
    <t>Цикл конверсии наличных</t>
  </si>
  <si>
    <t>Ciclo de conversión de efectivo</t>
  </si>
  <si>
    <t>Nettoverschuldung</t>
  </si>
  <si>
    <t>Debito netto/</t>
  </si>
  <si>
    <t>(Schulden+Präf.)/</t>
  </si>
  <si>
    <t>(Debito+Privileg.)/</t>
  </si>
  <si>
    <t>Zinsen</t>
  </si>
  <si>
    <t>Interesse</t>
  </si>
  <si>
    <t>Eigenkapitalsumme (%)</t>
  </si>
  <si>
    <t>Totale equity (%)</t>
  </si>
  <si>
    <t>Gesamtkap. (%)</t>
  </si>
  <si>
    <t>Totale Cap. (%)</t>
  </si>
  <si>
    <t>Hebelwirkung und Finanzierung</t>
  </si>
  <si>
    <t>Indebitamento e copertura</t>
  </si>
  <si>
    <t>Rentabilität in den letzten 12 Monaten (%)</t>
  </si>
  <si>
    <t>Redditività LTM (%)</t>
  </si>
  <si>
    <t>Verhältnis</t>
  </si>
  <si>
    <t>Rapporto</t>
  </si>
  <si>
    <t>Schnell</t>
  </si>
  <si>
    <t>Rapido</t>
  </si>
  <si>
    <t>Durchschnitt</t>
  </si>
  <si>
    <t>Ist-Zahlungsfrist (Forderungen)</t>
  </si>
  <si>
    <t>Giorni vendite in arretrato</t>
  </si>
  <si>
    <t>Bestandsumschlagsgeschwindigkeit</t>
  </si>
  <si>
    <t>Giorni inv. in arretrato</t>
  </si>
  <si>
    <t>Ist-Zahlungsfrist (Verbindlichkeiten)</t>
  </si>
  <si>
    <t>Giorni debiti insoluti</t>
  </si>
  <si>
    <t>Geldumschlagsdauer</t>
  </si>
  <si>
    <t>Ciclo conv. contanti</t>
  </si>
  <si>
    <t>순 부채/</t>
  </si>
  <si>
    <t>(부채+우선)/</t>
  </si>
  <si>
    <t>이자</t>
  </si>
  <si>
    <t>총 자기자본(%)</t>
  </si>
  <si>
    <t>총 자본(%)</t>
  </si>
  <si>
    <t>레버리지 및 커버리지</t>
  </si>
  <si>
    <t>LTM 수익성(%)</t>
  </si>
  <si>
    <t>비율</t>
  </si>
  <si>
    <t>신속</t>
  </si>
  <si>
    <t>평균</t>
  </si>
  <si>
    <t>판매 기간</t>
  </si>
  <si>
    <t>재고 처리 기간</t>
  </si>
  <si>
    <t>외상매입금 지출 기간</t>
  </si>
  <si>
    <t>현금 전환 주기</t>
  </si>
  <si>
    <t>杠杆和估值倍数</t>
  </si>
  <si>
    <t>槓桿和估值倍數</t>
  </si>
  <si>
    <t>Effet de levier et multiplications des échanges</t>
  </si>
  <si>
    <t>(税息折旧及摊销前利润 - 资本支出)</t>
  </si>
  <si>
    <t>(稅息折舊及攤銷前利潤 - 資本支出)</t>
  </si>
  <si>
    <t>/ 利息</t>
  </si>
  <si>
    <t>/Intérêt</t>
  </si>
  <si>
    <t>レバレッジ・取引倍数</t>
  </si>
  <si>
    <t>Рычаги и Торговые Мультипликаторы</t>
  </si>
  <si>
    <t>Apalancamiento y múltiplos comerciales</t>
  </si>
  <si>
    <t>（EBITDA - 設備投資）</t>
  </si>
  <si>
    <t>(EBITDA-Gastos de capital)</t>
  </si>
  <si>
    <t>/支払利息</t>
  </si>
  <si>
    <t>/процент</t>
  </si>
  <si>
    <t>/ Interés</t>
  </si>
  <si>
    <t>Total patrimoño (%)</t>
  </si>
  <si>
    <t>Total Capital (%)</t>
  </si>
  <si>
    <t>Fremdfinanzierung und Handelsfaktoren</t>
  </si>
  <si>
    <t>Leverage e multipli di mercato</t>
  </si>
  <si>
    <t>/Zinsen</t>
  </si>
  <si>
    <t>Tot. equity (%)</t>
  </si>
  <si>
    <t>레버리지 및 거래 배수</t>
  </si>
  <si>
    <t>/이자</t>
  </si>
  <si>
    <t>经营统计</t>
  </si>
  <si>
    <t>經營統計</t>
  </si>
  <si>
    <t>Statistiques d'exploitation</t>
  </si>
  <si>
    <t>3年历史复合年均增长率</t>
  </si>
  <si>
    <t>3年曆史複合年均增長率</t>
  </si>
  <si>
    <t>TCAC historique sur 3 ans (%)</t>
  </si>
  <si>
    <t>过去十二个月利润 (%)</t>
  </si>
  <si>
    <t>過去十二個月利潤 (%)</t>
  </si>
  <si>
    <t>Marges des douze derniers mois (%)</t>
  </si>
  <si>
    <t>流动性比率</t>
  </si>
  <si>
    <t>流動性比率</t>
  </si>
  <si>
    <t>Ratios de liquidité</t>
  </si>
  <si>
    <t>过去十二个月活动</t>
  </si>
  <si>
    <t>過去十二個月活動</t>
  </si>
  <si>
    <t>Activité des douze derniers mois</t>
  </si>
  <si>
    <t>営業状態</t>
  </si>
  <si>
    <t>Операционная статистика</t>
  </si>
  <si>
    <t>Estadísticas Operativas</t>
  </si>
  <si>
    <t>3年間の過去年平均成長率</t>
  </si>
  <si>
    <t>3-летний исторический CAGR (%)</t>
  </si>
  <si>
    <t>TCAC Histórico De 3 Años (%)</t>
  </si>
  <si>
    <t>LTMマージン（％）</t>
  </si>
  <si>
    <t>Маржа за последние 12 месяцев (%)</t>
  </si>
  <si>
    <t>Últimos Doce Meses Márgenes (%)</t>
  </si>
  <si>
    <t>Коэффициенты ликвидности</t>
  </si>
  <si>
    <t>Relaciones De Liquidez</t>
  </si>
  <si>
    <t>LTM活動</t>
  </si>
  <si>
    <t>Деятельность за последние двенадцать месяцев</t>
  </si>
  <si>
    <t>Actividad de Los Últimos Doce Meses</t>
  </si>
  <si>
    <t>Betriebsstatistik</t>
  </si>
  <si>
    <t>Statistiche operative</t>
  </si>
  <si>
    <t>Durchschnittliche Wachstumsrate der letzten 3 Jahre (%)</t>
  </si>
  <si>
    <t>CAGR storico a 3 anni (%)</t>
  </si>
  <si>
    <t>Marge in den letzten 12 Monaten (%)</t>
  </si>
  <si>
    <t>Margini LTM (%)</t>
  </si>
  <si>
    <t>Liquiditätskennzahlen</t>
  </si>
  <si>
    <t>Rapporti di liquidità</t>
  </si>
  <si>
    <t>Aktivität in den letzten 12 Monaten</t>
  </si>
  <si>
    <t>Attività LTM</t>
  </si>
  <si>
    <t>운용 통계</t>
  </si>
  <si>
    <t>3년 내역 CAGR(%)</t>
  </si>
  <si>
    <t>LTM 마진(%)</t>
  </si>
  <si>
    <t>유동성 비율</t>
  </si>
  <si>
    <t>LTM 활동</t>
  </si>
  <si>
    <t>Jours de paiement en retard</t>
  </si>
  <si>
    <t>会计年度</t>
  </si>
  <si>
    <t>會計年度</t>
  </si>
  <si>
    <t>Exercice financier</t>
  </si>
  <si>
    <t>финансовый год</t>
  </si>
  <si>
    <t>Año fiscal</t>
  </si>
  <si>
    <t>Geschäftsjahr</t>
  </si>
  <si>
    <t>会计年度-2</t>
  </si>
  <si>
    <t>會計年度-2</t>
  </si>
  <si>
    <t>会计年度-1</t>
  </si>
  <si>
    <t>會計年度-1</t>
  </si>
  <si>
    <t>5年复合年均增长率</t>
  </si>
  <si>
    <t>5年復合年均增長率</t>
  </si>
  <si>
    <t>TCAM de 5 ans</t>
  </si>
  <si>
    <t>3年复合年均增长率</t>
  </si>
  <si>
    <t>3年復合年均增長率</t>
  </si>
  <si>
    <t>TCAM de 3 ans</t>
  </si>
  <si>
    <t>2-й финансовый год</t>
  </si>
  <si>
    <t>Año fiscal-2</t>
  </si>
  <si>
    <t>1-й финансовый год</t>
  </si>
  <si>
    <t>Año fiscal-1</t>
  </si>
  <si>
    <t>5年間の年平均成長率</t>
  </si>
  <si>
    <t>5-летний CAGR</t>
  </si>
  <si>
    <t>TCAC de 5 años</t>
  </si>
  <si>
    <t>3年間の年平均成長率</t>
  </si>
  <si>
    <t>3-летний CAGR</t>
  </si>
  <si>
    <t>TCAC de 3 años</t>
  </si>
  <si>
    <t>Geschäftsjahr-2</t>
  </si>
  <si>
    <t>Geschäftsjahr-1</t>
  </si>
  <si>
    <t>Durchnittliche Wachstumsrate der letzten 5 Jahre</t>
  </si>
  <si>
    <t>CAGR 5 anni</t>
  </si>
  <si>
    <t>Durchnittliche Wachstumsrate der letzten 3 Jahre</t>
  </si>
  <si>
    <t>CAGR 3 anni</t>
  </si>
  <si>
    <t>5년 CAGR</t>
  </si>
  <si>
    <t>3년 CAGR</t>
  </si>
  <si>
    <t>会计年度结束</t>
  </si>
  <si>
    <t>會計年度結束</t>
  </si>
  <si>
    <t>Fin de l'exercice financier</t>
  </si>
  <si>
    <t>交易货币</t>
  </si>
  <si>
    <t>交易貨幣</t>
  </si>
  <si>
    <t>Monnaie d'échange</t>
  </si>
  <si>
    <t>会計年度末</t>
  </si>
  <si>
    <t>окончание финансового года</t>
  </si>
  <si>
    <t>Fin del año fiscal</t>
  </si>
  <si>
    <t>取引通貨</t>
  </si>
  <si>
    <t>Торговая валюта</t>
  </si>
  <si>
    <t>Moneda comercial</t>
  </si>
  <si>
    <t>Ertrag im Geschäftsjahr</t>
  </si>
  <si>
    <t>Handelswährung</t>
  </si>
  <si>
    <t>Valuta di trading</t>
  </si>
  <si>
    <t>거래 통화</t>
  </si>
  <si>
    <t>其他资产/负债</t>
  </si>
  <si>
    <t>其他資產/負債</t>
  </si>
  <si>
    <t>Autres actifs/passifs</t>
  </si>
  <si>
    <t>资产负债表上已确认的负债调整</t>
  </si>
  <si>
    <t>資產負債表上已確認的負債調整</t>
  </si>
  <si>
    <t>Ajustement du passif comptabilisé au bilan</t>
  </si>
  <si>
    <t>未确认的先前计划服务成本</t>
  </si>
  <si>
    <t>未確認的先前計劃服務成本</t>
  </si>
  <si>
    <t>Coût du service du régime précédent non reconnu</t>
  </si>
  <si>
    <t>其他调整（净收益资产/负债）</t>
  </si>
  <si>
    <t>其他調整（淨收益資產/負債）</t>
  </si>
  <si>
    <t>Autres ajustements (Bénéfice net sur l'actif/passif)</t>
  </si>
  <si>
    <t>资产负债表上确认的净资产/负债</t>
  </si>
  <si>
    <t>資產負債表上確認的淨資產/負債</t>
  </si>
  <si>
    <t>Actif/passif net comptabilisé au bilan</t>
  </si>
  <si>
    <t>其他养老金相关项目</t>
  </si>
  <si>
    <t>其他養老金相關項目</t>
  </si>
  <si>
    <t>Autres articles relatifs à la pension</t>
  </si>
  <si>
    <t>无资金和归属的养老金负债</t>
  </si>
  <si>
    <t>無資金和歸屬的養老金負債</t>
  </si>
  <si>
    <t xml:space="preserve">Engagements de retraite non capitalisés et acquis </t>
  </si>
  <si>
    <t>预计雇主提存-下年</t>
  </si>
  <si>
    <t>預計雇主提存-下年</t>
  </si>
  <si>
    <t>Estimation des contributions - Année prochaine</t>
  </si>
  <si>
    <t>季度雇主提存</t>
  </si>
  <si>
    <t>Contribution trimestrielle de l'employeur</t>
  </si>
  <si>
    <t>预计每季度额外提存</t>
  </si>
  <si>
    <t>預計每季度額外提存</t>
  </si>
  <si>
    <t>Des contributions supplémentaires attendues sur une base trimestrielle</t>
  </si>
  <si>
    <t>无资金准备的额外最低负债</t>
  </si>
  <si>
    <t>無資金準備的額外最低負債</t>
  </si>
  <si>
    <t>Passif minimum non financé supplémentaire</t>
  </si>
  <si>
    <t>福利信息日期</t>
  </si>
  <si>
    <t>Date d'information sur les prestations</t>
  </si>
  <si>
    <t>その他の資産/負債</t>
  </si>
  <si>
    <t>Прочие активы/пассивы</t>
  </si>
  <si>
    <t>Otros activos/pasivos</t>
  </si>
  <si>
    <t>貸借対照表で認識された債務で修正されている</t>
  </si>
  <si>
    <t>Скорректировано для обязательств, признанных в балансе.</t>
  </si>
  <si>
    <t>Ajuste de la responsabilidad reconocida en el balance</t>
  </si>
  <si>
    <t>未認識過去勤務費用</t>
  </si>
  <si>
    <t>Непризнанная стоимость услуги по предыдущему плану</t>
  </si>
  <si>
    <t>No reconocido. Costo del servicio del plan previo</t>
  </si>
  <si>
    <t>その他の集積 (退職給付に係る資産・債務)</t>
  </si>
  <si>
    <t>Прочие корректировки (Чистая прибыль по активам/пассивам)</t>
  </si>
  <si>
    <t>Otros ajustes (Beneficio neto activo/pasivos)</t>
  </si>
  <si>
    <t>貸借対照表上で認識された純資産/負債</t>
  </si>
  <si>
    <t>Чистые активы/обязательства, признанные в балансе</t>
  </si>
  <si>
    <t>Activo/pasivo neto reconocido en el balance</t>
  </si>
  <si>
    <t>その他の年金関連アイテム</t>
  </si>
  <si>
    <t>Другие статьи пенсионного обеспечения</t>
  </si>
  <si>
    <t>Otros artículos relacionados con la pensión</t>
  </si>
  <si>
    <t>未積立・受給権付与済み年金債務</t>
  </si>
  <si>
    <t xml:space="preserve">Нефинансируемые и гарантированные пенсионные обязательства </t>
  </si>
  <si>
    <t xml:space="preserve">Pasivos de Pensiones no financiados y adquiridos </t>
  </si>
  <si>
    <t>予測拠出額 - 来年</t>
  </si>
  <si>
    <t>Сметные взносы - в следующем году</t>
  </si>
  <si>
    <t>Contribuciones Estimadas - Próximo año</t>
  </si>
  <si>
    <t>四半期ごとの雇用者の貢献</t>
  </si>
  <si>
    <t>Ежеквартальный взнос работодателя</t>
  </si>
  <si>
    <t>Contribución trimestral del empleador</t>
  </si>
  <si>
    <t>四半期ごとの追加拠出期待</t>
  </si>
  <si>
    <t>Дополнительные взносы ожидаемые ежеквартально</t>
  </si>
  <si>
    <t>Se esperan contribuciones adicionales trimestrales</t>
  </si>
  <si>
    <t>未積立追加最小限の債務</t>
  </si>
  <si>
    <t>Дополнительный минимум необеспеченных обязательств</t>
  </si>
  <si>
    <t>Pasivos mínimos adicionales no financiados</t>
  </si>
  <si>
    <t>給付インフォの日付</t>
  </si>
  <si>
    <t>Дата предоставления информации о льготах</t>
  </si>
  <si>
    <t>Fecha de información de beneficios</t>
  </si>
  <si>
    <t>Sonstiges Vermögen/Verbindlichkeiten</t>
  </si>
  <si>
    <t>Altre attività/Passività</t>
  </si>
  <si>
    <t>Anpassung um die in der Bilanz ausgewiesenen Verbindlichkeiten</t>
  </si>
  <si>
    <t>Rett. per passività riconosciuta in bilancio</t>
  </si>
  <si>
    <t>Nicht aktivierte Leistungskosten des Plans aus Vorjahren</t>
  </si>
  <si>
    <t>Costo servizio piano precedente non ric.</t>
  </si>
  <si>
    <t>Sonstige Anpassungen (Netto-Leistungsguthaben/-verpflichtungen)</t>
  </si>
  <si>
    <t>Altre rett. (Attività benefici nette/Pass.)</t>
  </si>
  <si>
    <t>In der Bilanz ausgewiesenes Nettovermögen/-verbindlichkeiten</t>
  </si>
  <si>
    <t>Passività/Attività nette riconosciute in bilancio</t>
  </si>
  <si>
    <t>Sonstige Posten mit Pensionsbezug</t>
  </si>
  <si>
    <t>Altre voci relative alle pensioni</t>
  </si>
  <si>
    <t>Nicht gedeckte und unverfallbare Pensionsverbindlichkeiten</t>
  </si>
  <si>
    <t>Pass. pensioni non finanziate e diritti acquisiti</t>
  </si>
  <si>
    <t>Geschätzte Beiträge – Nächstes Jahr</t>
  </si>
  <si>
    <t>Contributi stimati - Anno successivo</t>
  </si>
  <si>
    <t>Vierteljährlicher Arbeitgeberbeitrag</t>
  </si>
  <si>
    <t>Contributi datore di lavoro trimestrali</t>
  </si>
  <si>
    <t>Erwartete vierteljährliche Zusatzbeiträge</t>
  </si>
  <si>
    <t>Contributi aggiuntivi trimestrali attesi</t>
  </si>
  <si>
    <t>Nicht gedeckte zusätzliche Mindestverbindlichkeit</t>
  </si>
  <si>
    <t>Pass. minima aggiuntiva non finanziata</t>
  </si>
  <si>
    <t>Datum der Leistungsinformation</t>
  </si>
  <si>
    <t>Data informazioni benefici</t>
  </si>
  <si>
    <t>기타 자산/부채</t>
  </si>
  <si>
    <t>대차대조표에서 인식된 부채 조정</t>
  </si>
  <si>
    <t>인식되지 않은 이전 계획 서비스 비용</t>
  </si>
  <si>
    <t>기타 조정(순 급여 자산/채무)</t>
  </si>
  <si>
    <t>대차대조표에서 인식된 순 자산/부채</t>
  </si>
  <si>
    <t>기타 연금 관련 항목</t>
  </si>
  <si>
    <t>미적립식 및 귀속확정 연금 부채</t>
  </si>
  <si>
    <t>예상 기여도 - 내년</t>
  </si>
  <si>
    <t>분기별 고용주 기여도</t>
  </si>
  <si>
    <t>예상된 분기별 추가 기여도</t>
  </si>
  <si>
    <t>미적립식 추가 최소 부채</t>
  </si>
  <si>
    <t>급여 정보 날짜</t>
  </si>
  <si>
    <t>负债的公允价值</t>
  </si>
  <si>
    <t>負債的公允價值</t>
  </si>
  <si>
    <t>Juste valeur des passifs</t>
  </si>
  <si>
    <t>收益中包含公允价值变动</t>
  </si>
  <si>
    <t>收益中包含公允價值變動</t>
  </si>
  <si>
    <t>Variation de la juste valeur incluse dans les bénéfices</t>
  </si>
  <si>
    <t>負債の公正価値</t>
  </si>
  <si>
    <t>Справедливая стоимость обязательств</t>
  </si>
  <si>
    <t>Valor razonable de los pasivos</t>
  </si>
  <si>
    <t>利益に含まれる公正価値の増減額</t>
  </si>
  <si>
    <t>Изменение справедливой стоимости, включенное в прибыль</t>
  </si>
  <si>
    <t>Cambio del valor razonable incluido en las ganancias</t>
  </si>
  <si>
    <t>Marktwert von Verbindlichkeiten</t>
  </si>
  <si>
    <t>Fair Value passività</t>
  </si>
  <si>
    <t>Marktwertveränderung, in Erlösen enthalten</t>
  </si>
  <si>
    <t>Variazione Fair Value compresa in Utili</t>
  </si>
  <si>
    <t>부채 공정가치</t>
  </si>
  <si>
    <t>수익에 포함된 공정가치 변동</t>
  </si>
  <si>
    <t>兼职员工</t>
  </si>
  <si>
    <t>兼職員工</t>
  </si>
  <si>
    <t>Employés à temps partiel</t>
  </si>
  <si>
    <t>员工总数</t>
  </si>
  <si>
    <t>員工總數</t>
  </si>
  <si>
    <t>Total des employés</t>
  </si>
  <si>
    <t>工会合同下的员工</t>
  </si>
  <si>
    <t>工會合同下的員工</t>
  </si>
  <si>
    <t>Employés sous contrat syndical</t>
  </si>
  <si>
    <t>员工平均数</t>
  </si>
  <si>
    <t>員工平均數</t>
  </si>
  <si>
    <t>Employés moyens</t>
  </si>
  <si>
    <t>临时/季节性员工</t>
  </si>
  <si>
    <t>臨時/季節性員工</t>
  </si>
  <si>
    <t>Employés temporaires/saisonniers</t>
  </si>
  <si>
    <t>ADR持有者数量</t>
  </si>
  <si>
    <t>ADR持有者數量</t>
  </si>
  <si>
    <t>Nombre de détenteurs d'ADR</t>
  </si>
  <si>
    <t>财务部长期债务，总计</t>
  </si>
  <si>
    <t>財務部長期債務，總計</t>
  </si>
  <si>
    <t>Division des finances : Dette à long terme, total</t>
  </si>
  <si>
    <t>财务部短期债务，总计</t>
  </si>
  <si>
    <t>財務部短期債務，總計</t>
  </si>
  <si>
    <t>Division des finances : Dette à court terme, total</t>
  </si>
  <si>
    <t>财务部债务，总计</t>
  </si>
  <si>
    <t>財務部債務，總計</t>
  </si>
  <si>
    <t>Division des finances : Dette Total</t>
  </si>
  <si>
    <t>财务部现金及等价物</t>
  </si>
  <si>
    <t>財務部現金及等價物</t>
  </si>
  <si>
    <t>Division des finances : Trésorerie et équivalents</t>
  </si>
  <si>
    <t>财务部短期投资</t>
  </si>
  <si>
    <t>財務部短期投資</t>
  </si>
  <si>
    <t>Division des finances : Placements à court terme</t>
  </si>
  <si>
    <t>无资金准备的项目收益责任的债务等值</t>
  </si>
  <si>
    <t>無資金準備的項目收益責任的債務等值</t>
  </si>
  <si>
    <t>Équivalent de la dette de l'obligation de prestations projetées non financées</t>
  </si>
  <si>
    <t>债务等效经营租赁</t>
  </si>
  <si>
    <t>債務等效經營租賃</t>
  </si>
  <si>
    <t>Leasing opérationnel équivalent à la dette</t>
  </si>
  <si>
    <t>借贷成本</t>
  </si>
  <si>
    <t>借貸成本</t>
  </si>
  <si>
    <t>Coût de l'emprunt</t>
  </si>
  <si>
    <t>非正規(パートタイム)の従業員数</t>
  </si>
  <si>
    <t>Работники, занятые неполный рабочий день</t>
  </si>
  <si>
    <t>Empleados a tiempo parcial</t>
  </si>
  <si>
    <t>総従業員数</t>
  </si>
  <si>
    <t>Общее число сотрудников</t>
  </si>
  <si>
    <t>Total de empleados</t>
  </si>
  <si>
    <t>労働組合に加入している従業員数</t>
  </si>
  <si>
    <t>Работники по профсоюзным договорам</t>
  </si>
  <si>
    <t>Empleados con contratos sindicales</t>
  </si>
  <si>
    <t>期中平均従業員数</t>
  </si>
  <si>
    <t>Сотрудники в среднем</t>
  </si>
  <si>
    <t>Empleados promedio</t>
  </si>
  <si>
    <t>一時雇用の従業員数</t>
  </si>
  <si>
    <t>Временные/сезонные сотрудники</t>
  </si>
  <si>
    <t>Empleados temporales/de temporada</t>
  </si>
  <si>
    <t>米国預託証券の保有者数</t>
  </si>
  <si>
    <t>Количество держателей АДР</t>
  </si>
  <si>
    <t>Número de titulares de ADR</t>
  </si>
  <si>
    <t>金融部門に帰属する長期有利子負債</t>
  </si>
  <si>
    <t>Финансовый отдел: Долгосрочный долг, Всего</t>
  </si>
  <si>
    <t>División de Finanzas. Deuda a Largo Plazo, Total</t>
  </si>
  <si>
    <t>金融部門に帰属する短期有利子負債</t>
  </si>
  <si>
    <t>Финансовый отдел: Краткосрочный долг, Всего</t>
  </si>
  <si>
    <t>División de Finanzas. Deuda a corto plazo, total</t>
  </si>
  <si>
    <t>金融部門に帰属する有利子負債</t>
  </si>
  <si>
    <t>Финансовый отдел: Долг, Всего</t>
  </si>
  <si>
    <t>División de Finanzas, Deuda Total</t>
  </si>
  <si>
    <t>金融部門に帰属する現金及び現金同等物</t>
  </si>
  <si>
    <t>Финансовый отдел: Денежные средства и их эквиваленты</t>
  </si>
  <si>
    <t>División de Finanzas Efectivo y Equivalentes</t>
  </si>
  <si>
    <t>金融部門に帰属する短期投資</t>
  </si>
  <si>
    <t>Финансовый отдел: Краткосрочные инвестиции</t>
  </si>
  <si>
    <t>División de Finanzas Inversiones a Corto Plazo</t>
  </si>
  <si>
    <t>未認識の退職給付債務の相当額</t>
  </si>
  <si>
    <t>Долговой эквивалент не обеспеченного финансированием обязательства по прогнозируемым выгодам</t>
  </si>
  <si>
    <t>Equivalente de deuda del proyecto no financiado. Obligación de beneficios</t>
  </si>
  <si>
    <t>賃貸借取引のリース債務期末相当額</t>
  </si>
  <si>
    <t>Долговой эквивалент операционной аренды</t>
  </si>
  <si>
    <t>Arrendamientos de operaciones equivalentes de deuda</t>
  </si>
  <si>
    <t>借入金から発生した支払利息</t>
  </si>
  <si>
    <t>Стоимость заимствования</t>
  </si>
  <si>
    <t>Costo de los préstamos</t>
  </si>
  <si>
    <t>Teilzeitbeschäftigte</t>
  </si>
  <si>
    <t>Dipendenti part time</t>
  </si>
  <si>
    <t>Gesamtzahl der Beschäftigten</t>
  </si>
  <si>
    <t>Totale dipendenti</t>
  </si>
  <si>
    <t>Beschäftigte, Gewerkschaftsmitglieder</t>
  </si>
  <si>
    <t>Dipendenti sotto contratto sindacale</t>
  </si>
  <si>
    <t>Durchschnittliche Beschäftigtenzahl</t>
  </si>
  <si>
    <t>Media dipendenti</t>
  </si>
  <si>
    <t>Zeitmitarbeiter/Saisonkräfte</t>
  </si>
  <si>
    <t>Dipendenti temporanei/stagionali</t>
  </si>
  <si>
    <t>Anzahl der ADR-Inhaber</t>
  </si>
  <si>
    <t>Numero di titolari ADR</t>
  </si>
  <si>
    <t>Finanzabteilung, langfristige Verschuldung, Summe</t>
  </si>
  <si>
    <t>Debito a lungo termine divisione finanza, totale</t>
  </si>
  <si>
    <t>Finanzabteilung, kurzfristige Verschuldung, Summe</t>
  </si>
  <si>
    <t>Debito a breve termine divisione finanza, totale</t>
  </si>
  <si>
    <t>Finanzabteilung, Verschuldung, Summe</t>
  </si>
  <si>
    <t>Debito divisione finanza, totale</t>
  </si>
  <si>
    <t>Finanzabteilung, Barmittel und Barmitteläquivalente</t>
  </si>
  <si>
    <t>Disponibilità liquide e mezzi equivalenti divisione finanza</t>
  </si>
  <si>
    <t>Finanzabteilung, kurzfristige Finanzanlagen</t>
  </si>
  <si>
    <t>Investimenti a breve termine divisione finanza</t>
  </si>
  <si>
    <t>Verschuldungsäquivalent ungedeckter voraussichtlicher Leistungsverpflichtung</t>
  </si>
  <si>
    <t>Debito equiv. a PBO non finanziato</t>
  </si>
  <si>
    <t>Verschuldungsäquivalent, Operating-Leasing</t>
  </si>
  <si>
    <t>Debito equivalente locazioni operative</t>
  </si>
  <si>
    <t>Kosten der Darlehensaufnahme</t>
  </si>
  <si>
    <t>Costo del finanziamento</t>
  </si>
  <si>
    <t>시간제 직원</t>
  </si>
  <si>
    <t>총 직원</t>
  </si>
  <si>
    <t>조합계약 하 직원</t>
  </si>
  <si>
    <t>평균 직원</t>
  </si>
  <si>
    <t>임시/계절직 직원</t>
  </si>
  <si>
    <t>ADR 주주 수</t>
  </si>
  <si>
    <t>금융분과 장기부채, 총계</t>
  </si>
  <si>
    <t>금융분과 단기부채, 총계</t>
  </si>
  <si>
    <t>금융분과 부채, 총계</t>
  </si>
  <si>
    <t>금융분과 현금 및 등가물</t>
  </si>
  <si>
    <t>금융분과 단기 투자</t>
  </si>
  <si>
    <t xml:space="preserve">일시 차입 예측급여채무의 부채 등가물 </t>
  </si>
  <si>
    <t>부채 등가물 운용리스</t>
  </si>
  <si>
    <t>차입 비용</t>
  </si>
  <si>
    <t>保修负债</t>
  </si>
  <si>
    <t>保修負債</t>
  </si>
  <si>
    <t>Obligations de garantie</t>
  </si>
  <si>
    <t>短期借贷衍生品</t>
  </si>
  <si>
    <t>短期借貸衍生品</t>
  </si>
  <si>
    <t>Dérivés d'emprunt à court terme</t>
  </si>
  <si>
    <t>长期债务衍生工具的当前部分</t>
  </si>
  <si>
    <t>長期債務衍生工具的當前部分</t>
  </si>
  <si>
    <t>Port. actuel des produits dérivés de la dette à long terme</t>
  </si>
  <si>
    <t>长期债务衍生品</t>
  </si>
  <si>
    <t>長期債務衍生品</t>
  </si>
  <si>
    <t>Dérivés de la dette à long terme</t>
  </si>
  <si>
    <t>流动衍生负债</t>
  </si>
  <si>
    <t>流動衍生負債</t>
  </si>
  <si>
    <t>Passifs dérivés courants</t>
  </si>
  <si>
    <t>非流动衍生负债</t>
  </si>
  <si>
    <t>非流動衍生負債</t>
  </si>
  <si>
    <t>Passifs dérivés non courants</t>
  </si>
  <si>
    <t>衍生交易资产证券</t>
  </si>
  <si>
    <t>衍生交易資產證券</t>
  </si>
  <si>
    <t>Titres dérivés d'actifs de négociation</t>
  </si>
  <si>
    <t>流动衍生资产</t>
  </si>
  <si>
    <t>流動衍生資產</t>
  </si>
  <si>
    <t>Actifs dérivés courants</t>
  </si>
  <si>
    <t>长期衍生资产</t>
  </si>
  <si>
    <t>長期衍生資產</t>
  </si>
  <si>
    <t>Actifs dérivés à long terme</t>
  </si>
  <si>
    <t>无形资产总额</t>
  </si>
  <si>
    <t>無形資產總額</t>
  </si>
  <si>
    <t>Immobilisations incorporelles brutes</t>
  </si>
  <si>
    <t>无形资产累计摊销</t>
  </si>
  <si>
    <t>無形資產累計攤銷</t>
  </si>
  <si>
    <t>Amortissement cumulé des actifs incorporels</t>
  </si>
  <si>
    <t>总商誉</t>
  </si>
  <si>
    <t>總商譽</t>
  </si>
  <si>
    <t>Fonds de commerce brut</t>
  </si>
  <si>
    <t>商誉的累计摊销</t>
  </si>
  <si>
    <t>商譽的累計攤銷</t>
  </si>
  <si>
    <t>Amortissement cumulé du goodwill</t>
  </si>
  <si>
    <t>保証債務</t>
  </si>
  <si>
    <t>Гарантийные обязательства</t>
  </si>
  <si>
    <t>Responsabilidades de la garantía</t>
  </si>
  <si>
    <t>短期デリバティブ有利子負債</t>
  </si>
  <si>
    <t>Краткосрочные производные финансовые инструменты по займам</t>
  </si>
  <si>
    <t>Derivados de préstamos a corto plazo</t>
  </si>
  <si>
    <t>一年以内償還予定のデリバティブ有利子負債</t>
  </si>
  <si>
    <t>Текущая часть долгосрочных долговых деривативов</t>
  </si>
  <si>
    <t>Porción Corriente - Derivados de deuda de largo plazo</t>
  </si>
  <si>
    <t>長期デリバティブ有利子負債</t>
  </si>
  <si>
    <t>Долгосрочные долговые деривативы</t>
  </si>
  <si>
    <t>Derivados de la deuda a largo plazo</t>
  </si>
  <si>
    <t>短期デリバティブ負債</t>
  </si>
  <si>
    <t>Текущие производные обязательства</t>
  </si>
  <si>
    <t>Pasivos Derivados Corrientes</t>
  </si>
  <si>
    <t>長期デリバティブ負債</t>
  </si>
  <si>
    <t>Долгосрочные производные обязательства</t>
  </si>
  <si>
    <t>Pasivos derivados No Corrientes</t>
  </si>
  <si>
    <t>短期デリバティブ・トレーディング資産</t>
  </si>
  <si>
    <t>Деривативные торговые активы</t>
  </si>
  <si>
    <t>Valores de activos negociables derivados</t>
  </si>
  <si>
    <t>短期デリバティブ資産</t>
  </si>
  <si>
    <t>Текущие производные активы</t>
  </si>
  <si>
    <t>Activos Derivados Corrientes</t>
  </si>
  <si>
    <t>長期デリバティブ資産</t>
  </si>
  <si>
    <t>Долгосрочные производные активы</t>
  </si>
  <si>
    <t>Activos Derivados a largo plazo</t>
  </si>
  <si>
    <t>無形固定資産(総額)</t>
  </si>
  <si>
    <t>Валовые нематериальные активы</t>
  </si>
  <si>
    <t>Activos Intangibles brutos</t>
  </si>
  <si>
    <t>無形固定資産の償却累計額</t>
  </si>
  <si>
    <t>Накопленная амортизация нематериальных активов</t>
  </si>
  <si>
    <t>Amortización acumulada de activos intangibles</t>
  </si>
  <si>
    <t>のれん(総額)</t>
  </si>
  <si>
    <t>Валовая репутация</t>
  </si>
  <si>
    <t xml:space="preserve">Bienes de Uso- Brutos </t>
  </si>
  <si>
    <t>のれんの償却累計額</t>
  </si>
  <si>
    <t>Накопленная амортизация гудвила</t>
  </si>
  <si>
    <t>Amortización acumulada de Bienes de Uso</t>
  </si>
  <si>
    <t>Garantieverpflichtungen</t>
  </si>
  <si>
    <t>Passivo di garanzia</t>
  </si>
  <si>
    <t>Kurzfristige Darlehensaufnahme, Derivate</t>
  </si>
  <si>
    <t>Derivati di prestiti a breve termine</t>
  </si>
  <si>
    <t>Kurzfristiger Anteil langfristiger Schuldderivate</t>
  </si>
  <si>
    <t>Derivati port. corr. di titoli di debito a lungo term.</t>
  </si>
  <si>
    <t>Langfristige Schuldderivate</t>
  </si>
  <si>
    <t>Derivati di debiti a lungo termine</t>
  </si>
  <si>
    <t>Kurzfristige derivative Verbindlichkeiten</t>
  </si>
  <si>
    <t>Passività derivate correnti</t>
  </si>
  <si>
    <t>Langfristige derivative Verbindlichkeiten</t>
  </si>
  <si>
    <t>Passività derivate non correnti</t>
  </si>
  <si>
    <t>Derivativer Handel mit besicherten Wertpapieren</t>
  </si>
  <si>
    <t>Titoli di negoziazione derivati</t>
  </si>
  <si>
    <t>Kurzfristige derivative Vermögenswerte</t>
  </si>
  <si>
    <t>Attività derivate correnti</t>
  </si>
  <si>
    <t>Langfristige derivative Vermögenswerte</t>
  </si>
  <si>
    <t>Attività derivate a lungo termine</t>
  </si>
  <si>
    <t>Immaterialvermögen, brutto</t>
  </si>
  <si>
    <t>Attività immateriali lorde</t>
  </si>
  <si>
    <t>Kumulierte Abschreibung immaterieller Vermögenswerte</t>
  </si>
  <si>
    <t>Ammortamenti accumulati attività immateriali</t>
  </si>
  <si>
    <t>Ideeller Unternehmenswert, brutto</t>
  </si>
  <si>
    <t>Avviamento lordo</t>
  </si>
  <si>
    <t>Kumulierte Abschreibung auf ideellen Unternehmenswert</t>
  </si>
  <si>
    <t>Ammortamenti accumulati avviamento</t>
  </si>
  <si>
    <t>보증충당부채</t>
  </si>
  <si>
    <t>단기 차입 파생상품</t>
  </si>
  <si>
    <t>유동성 LT 부채 파생상품</t>
  </si>
  <si>
    <t>장기 부채 파생상품</t>
  </si>
  <si>
    <t>유동성 파생상품 채무</t>
  </si>
  <si>
    <t>비유동성 파생상품 채무</t>
  </si>
  <si>
    <t>파생 거래 자산 증권</t>
  </si>
  <si>
    <t>유동성 파생 자산</t>
  </si>
  <si>
    <t>장기 파생 자산</t>
  </si>
  <si>
    <t>총 무형자산</t>
  </si>
  <si>
    <t>무형자산의 누적 상각비</t>
  </si>
  <si>
    <t>총 영업권</t>
  </si>
  <si>
    <t>영업권 누적 상각비</t>
  </si>
  <si>
    <t>限制性现金（非流动）</t>
  </si>
  <si>
    <t>限制性現金（非流動）</t>
  </si>
  <si>
    <t>Encaissement restreint (non courant)</t>
  </si>
  <si>
    <t>限制性现金总额</t>
  </si>
  <si>
    <t>限制性現金總額</t>
  </si>
  <si>
    <t>Total de l'encaisse restreinte</t>
  </si>
  <si>
    <t>总债务（不包括财务部门债务）</t>
  </si>
  <si>
    <t>總債務（不包括財務部門債務）</t>
  </si>
  <si>
    <t>Dette totale (à l'exclusion de la Division des finances : Dette)</t>
  </si>
  <si>
    <t>订单积压</t>
  </si>
  <si>
    <t>訂單積壓</t>
  </si>
  <si>
    <t>Commande en attente</t>
  </si>
  <si>
    <t>長期制限付預金</t>
  </si>
  <si>
    <t>Денежные средства с ограничениями (внеоборотные)</t>
  </si>
  <si>
    <t>Efectivo restringido (no corriente)</t>
  </si>
  <si>
    <t>制限付預金合計</t>
  </si>
  <si>
    <t>Общая сумма ограниченных денежных средств</t>
  </si>
  <si>
    <t>Total de efectivo restringido</t>
  </si>
  <si>
    <t>有利子負債(金融部門に帰属する金額除く)</t>
  </si>
  <si>
    <t>Общий долг (без учета финансового отдела: долг)</t>
  </si>
  <si>
    <t>Deuda total (Excluyendo la deuda de la división financiera)</t>
  </si>
  <si>
    <t>受注残高</t>
  </si>
  <si>
    <t>Задержки с заказами</t>
  </si>
  <si>
    <t>Pedidos atrasados</t>
  </si>
  <si>
    <t>Gebundene Barmittel (nicht kurzfristig)</t>
  </si>
  <si>
    <t>Liquidità vincolata (non correnti)</t>
  </si>
  <si>
    <t>Gebundene Barmittel, Summe</t>
  </si>
  <si>
    <t>Totale liquidità vincolata</t>
  </si>
  <si>
    <t>Schuldensumme (ohne sonstige Finanzschulden)</t>
  </si>
  <si>
    <t>Debito totale (escl. debito div. fin.)</t>
  </si>
  <si>
    <t>Auftragsbestand</t>
  </si>
  <si>
    <t>Commesse ancora inevase</t>
  </si>
  <si>
    <t>특정 현금(비유동성)</t>
  </si>
  <si>
    <t>총 특정 현금</t>
  </si>
  <si>
    <t>총 부채(금융분과 부채 제외)</t>
  </si>
  <si>
    <t>수주잔액</t>
  </si>
  <si>
    <t>应收帐款-未发单</t>
  </si>
  <si>
    <t>應收帳款-未發單</t>
  </si>
  <si>
    <t>Comptes à recevoir - Non facturés</t>
  </si>
  <si>
    <t>盘点方法</t>
  </si>
  <si>
    <t>盤點方法</t>
  </si>
  <si>
    <t>Méthode d'inventaire</t>
  </si>
  <si>
    <t>后进先出储备</t>
  </si>
  <si>
    <t>先進先出儲備</t>
  </si>
  <si>
    <t>Réserve LIFO</t>
  </si>
  <si>
    <t>未請求の売上債権残高</t>
  </si>
  <si>
    <t>Дебиторская задолженность - Невыставленные счета</t>
  </si>
  <si>
    <t>Cuentas por cobrar - No facturadas</t>
  </si>
  <si>
    <t>期末棚卸資産の計算方法</t>
  </si>
  <si>
    <t>Метод инвентаризации</t>
  </si>
  <si>
    <t>Método de inventario</t>
  </si>
  <si>
    <t>後入差出法により計算した期末棚卸資産残高</t>
  </si>
  <si>
    <t>Резерв LIFO</t>
  </si>
  <si>
    <t xml:space="preserve">Reserva Ultima Entrada, Primera Salida </t>
  </si>
  <si>
    <t>LL-Forderungen – nicht fakturiert</t>
  </si>
  <si>
    <t>Crediti commerciali - Non fatturati</t>
  </si>
  <si>
    <t>Bestandmethode</t>
  </si>
  <si>
    <t>Metodo inventario</t>
  </si>
  <si>
    <t>LIFO-Reserve</t>
  </si>
  <si>
    <t>Riserva LIFO</t>
  </si>
  <si>
    <t>외상매출금 - 비청구</t>
  </si>
  <si>
    <t>재고 방법</t>
  </si>
  <si>
    <t>LIFO 유보금</t>
  </si>
  <si>
    <t>营运资金</t>
  </si>
  <si>
    <t>營運資金</t>
  </si>
  <si>
    <t>Fonds de roulement</t>
  </si>
  <si>
    <t>净营运资金</t>
  </si>
  <si>
    <t>淨營運資金</t>
  </si>
  <si>
    <t>Fonds de roulement net</t>
  </si>
  <si>
    <t>運転資本</t>
  </si>
  <si>
    <t>Оборотный капитал</t>
  </si>
  <si>
    <t>Capital de trabajo</t>
  </si>
  <si>
    <t>純運転資本</t>
  </si>
  <si>
    <t>Чистый оборотный капитал</t>
  </si>
  <si>
    <t>Capital de trabajo neto</t>
  </si>
  <si>
    <t>Betriebskapital</t>
  </si>
  <si>
    <t>Capitale circolante</t>
  </si>
  <si>
    <t>Nettobetriebskapital</t>
  </si>
  <si>
    <t>Capitale circolante netto</t>
  </si>
  <si>
    <t>운영자본</t>
  </si>
  <si>
    <t>순운영자본</t>
  </si>
  <si>
    <t>少数权益，总计</t>
  </si>
  <si>
    <t>少數權益，總計</t>
  </si>
  <si>
    <t>Intérêts minoritaires, total</t>
  </si>
  <si>
    <t>少数株主持分</t>
  </si>
  <si>
    <t>Процент миноритариев, всего</t>
  </si>
  <si>
    <t>Interés minoritario, total</t>
  </si>
  <si>
    <t>Minderheitsbeteiligungen, Summe</t>
  </si>
  <si>
    <t>Partecipazione minoritaria, totale</t>
  </si>
  <si>
    <t>소수주주 지분, 총계</t>
  </si>
  <si>
    <t>优先股，可赎回</t>
  </si>
  <si>
    <t>優先股，可贖回</t>
  </si>
  <si>
    <t>Actions privilégiées, remboursables</t>
  </si>
  <si>
    <t>优先股，不可赎回</t>
  </si>
  <si>
    <t>優先股，不可贖回</t>
  </si>
  <si>
    <t>Actions privilégiées, non remboursables</t>
  </si>
  <si>
    <t>优先股，可转换</t>
  </si>
  <si>
    <t>優先股，可轉換</t>
  </si>
  <si>
    <t>actions privilégiées, convertibles</t>
  </si>
  <si>
    <t>優先株,償還可能</t>
  </si>
  <si>
    <t>привилегированные акции, выкупаемые</t>
  </si>
  <si>
    <t>Acciones preferidas, Canjeables</t>
  </si>
  <si>
    <t>優先株,償還可能なし</t>
  </si>
  <si>
    <t>привилегированные акции, не подлежащие выкупу.</t>
  </si>
  <si>
    <t>Acciones preferidas, No Canjeables</t>
  </si>
  <si>
    <t>優先株,転換可能</t>
  </si>
  <si>
    <t>привилегированные акции, конвертируемые</t>
  </si>
  <si>
    <t>Acciones preferidas, Convertibles</t>
  </si>
  <si>
    <t>Vorzugsaktien, rückkaufbar</t>
  </si>
  <si>
    <t>Azioni privileg., riscattabili</t>
  </si>
  <si>
    <t>Vorzugsaktien, nicht rückkaufbar</t>
  </si>
  <si>
    <t>Azioni privileg., non riscattabili</t>
  </si>
  <si>
    <t>Vorzugsaktien, wandelbar</t>
  </si>
  <si>
    <t>Azioni privileg. convertibili</t>
  </si>
  <si>
    <t>상환우선주</t>
  </si>
  <si>
    <t>비상환우선주</t>
  </si>
  <si>
    <t>전환우선주</t>
  </si>
  <si>
    <t>财务部贷款和租赁，短期</t>
  </si>
  <si>
    <t>財務部貸款和租賃，短期</t>
  </si>
  <si>
    <t>Division des finances : Prêts et crédits-bails à court terme</t>
  </si>
  <si>
    <t>财务部其他流动资产</t>
  </si>
  <si>
    <t>財務部其他流動資產</t>
  </si>
  <si>
    <t>Division des finances : Autres actifs courants</t>
  </si>
  <si>
    <t>財務部短期ローン・リース</t>
  </si>
  <si>
    <t>Финансовый отдел: Кредиты и аренда, краткосрочные</t>
  </si>
  <si>
    <t xml:space="preserve">División de Finanzas, Préstamos y Arrendamientos, Corto plazo </t>
  </si>
  <si>
    <t>財務部短期その他の流動資産</t>
  </si>
  <si>
    <t>Финансовый отдел: Прочие текущие активы</t>
  </si>
  <si>
    <t>División de Finanzas, Otros Activos Corrientes</t>
  </si>
  <si>
    <t>Finanzabteilung, Darlehen und Mietverträge, kurzfristig</t>
  </si>
  <si>
    <t>Crediti e locazioni divisione finanza, breve termine</t>
  </si>
  <si>
    <t>Finanzabteilung, kurzfristiges Vermögen</t>
  </si>
  <si>
    <t>Altre attività corr. divisione finanza</t>
  </si>
  <si>
    <t>금융분과 대출 및 리스, ST</t>
  </si>
  <si>
    <t>금융분과 기타 유동자산</t>
  </si>
  <si>
    <t>财务部贷款和租赁，长期</t>
  </si>
  <si>
    <t>財務部貸款和租賃，長期</t>
  </si>
  <si>
    <t>Division des finances : Prêts et crédits-bails à long terme</t>
  </si>
  <si>
    <t>财务部其他长期资产</t>
  </si>
  <si>
    <t>財務部其他長期資產</t>
  </si>
  <si>
    <t>Division des finances : Autres actifs à long terme</t>
  </si>
  <si>
    <t>长期应收帐款</t>
  </si>
  <si>
    <t>長期應收帳款</t>
  </si>
  <si>
    <t>Comptes à recevoir à long terme</t>
  </si>
  <si>
    <t>长期应收贷款</t>
  </si>
  <si>
    <t>長期應收貸款</t>
  </si>
  <si>
    <t>Prêts à long terme</t>
  </si>
  <si>
    <t>財務部長期ローン・リース</t>
  </si>
  <si>
    <t>Финансовый отдел: Кредиты и аренда, долгосрочные</t>
  </si>
  <si>
    <t>División de Finanzas, Préstamos y Arrendamientos, Largo Plazo</t>
  </si>
  <si>
    <t>財務部長期その他の流動資産</t>
  </si>
  <si>
    <t>Финансовый отдел: Прочие долгосрочные активы</t>
  </si>
  <si>
    <t>División de Finanzas Otros activos de la LT</t>
  </si>
  <si>
    <t>長期間売掛金</t>
  </si>
  <si>
    <t>Дебиторская задолженность на долгосрочную перспективу</t>
  </si>
  <si>
    <t>Cuentas por cobrar a largo plazo</t>
  </si>
  <si>
    <t>長期間貸付金</t>
  </si>
  <si>
    <t>Дебиторская задолженность по кредитам на длительный срок</t>
  </si>
  <si>
    <t>Préstamos por cobrar a largo plazo</t>
  </si>
  <si>
    <t>Finanzabteilung, Darlehen und Mietverträge, langfristig</t>
  </si>
  <si>
    <t>Crediti e locazioni divisione finanza, lungo termine</t>
  </si>
  <si>
    <t>Finanzabteilung, langfristiges Vermögen</t>
  </si>
  <si>
    <t>Altre attività lungo termine divisione finanza</t>
  </si>
  <si>
    <t>Langfristige LL-Forderungen</t>
  </si>
  <si>
    <t>Crediti a lungo termine</t>
  </si>
  <si>
    <t>Langfristige Darlehensforderungen</t>
  </si>
  <si>
    <t>금융분과 대출 및 리스, LT</t>
  </si>
  <si>
    <t>금융분과 기타 LT 자산</t>
  </si>
  <si>
    <t>장기 외상매출금</t>
  </si>
  <si>
    <t>장기 대여금</t>
  </si>
  <si>
    <t>当前租赁部分</t>
  </si>
  <si>
    <t>當前租賃部分</t>
  </si>
  <si>
    <t>Portion actuelle des contrats de location</t>
  </si>
  <si>
    <t>财务部流动债务</t>
  </si>
  <si>
    <t>財務部流動債務</t>
  </si>
  <si>
    <t>Division des finances : Courant de la dette</t>
  </si>
  <si>
    <t>财务部其他流动负债</t>
  </si>
  <si>
    <t>財務部其他流動負債</t>
  </si>
  <si>
    <t>Division des finances : Autres passifs à court terme</t>
  </si>
  <si>
    <t>1年以内返済予定のレース</t>
  </si>
  <si>
    <t>Текущая часть договоров аренды</t>
  </si>
  <si>
    <t>Porción actual de los contratos de arrendamiento</t>
  </si>
  <si>
    <t>財務部有利子負債(短期)</t>
  </si>
  <si>
    <t>Финансовый отдел: Текущий долг</t>
  </si>
  <si>
    <t>Deuda actual de la División de Finanzas</t>
  </si>
  <si>
    <t>財務部その他の有利子負債(短期)</t>
  </si>
  <si>
    <t>Финансовый отдел: Прочие текущие обязательства</t>
  </si>
  <si>
    <t>División de Finanzas Otros pasivos corrientes</t>
  </si>
  <si>
    <t>Kurzfristiger Anteil von Leasingvereinbarungen</t>
  </si>
  <si>
    <t>Porzione di locazioni corrente</t>
  </si>
  <si>
    <t>Finanzabteilung, kurzfristige Anleihen</t>
  </si>
  <si>
    <t>Debito corrente div. finanza</t>
  </si>
  <si>
    <t>Finanzabteilung, kurzfristige Verbindlichkeiten</t>
  </si>
  <si>
    <t>Altre passività corr. divisione finanza</t>
  </si>
  <si>
    <t>유동성 리스</t>
  </si>
  <si>
    <t>금융분과 유동성 부채</t>
  </si>
  <si>
    <t>금융분과 기타 유동성 부채</t>
  </si>
  <si>
    <t>递延所得税负债，当前</t>
  </si>
  <si>
    <t>遞延所得稅負債，當前</t>
  </si>
  <si>
    <t>Obligation fiscale définie, actuelle</t>
  </si>
  <si>
    <t>一年以内償還予定繰延税金負債</t>
  </si>
  <si>
    <t>Установленные налоговые обязательства, текущие</t>
  </si>
  <si>
    <t>Pasivo por impuestos diferidos, corriente</t>
  </si>
  <si>
    <t>Latente Steuerverbindlichkeiten, kurzfristig</t>
  </si>
  <si>
    <t>Passiv. fiscali differite, corr.</t>
  </si>
  <si>
    <t>당기 이연 법인세</t>
  </si>
  <si>
    <t>财务部非流动债务</t>
  </si>
  <si>
    <t>財務部非流動債務</t>
  </si>
  <si>
    <t>Division des finances : Dette non courante</t>
  </si>
  <si>
    <t>财务部其他非流动负债</t>
  </si>
  <si>
    <t>財務部其他非流動負債</t>
  </si>
  <si>
    <t>Division des finances : Autres passifs non courants</t>
  </si>
  <si>
    <t>非流动预收收入</t>
  </si>
  <si>
    <t>非流動預收收入</t>
  </si>
  <si>
    <t>Revenus non acquis, non courants</t>
  </si>
  <si>
    <t>財務部有利子負債(長期)</t>
  </si>
  <si>
    <t>Финансовый отдел: Долг долгосрочный</t>
  </si>
  <si>
    <t>Deuda de la División Financiera No Corriente</t>
  </si>
  <si>
    <t>財務部その他の有利子負債(長期)</t>
  </si>
  <si>
    <t>Финансовый отдел: Прочие долгосрочные обязательства</t>
  </si>
  <si>
    <t xml:space="preserve">División Finanzas, Otros Pasivo No Corrientes </t>
  </si>
  <si>
    <t>前受収益(長期)</t>
  </si>
  <si>
    <t>Незаработанная выручка, долгосрочная</t>
  </si>
  <si>
    <t>Ingresos no devengados, no corrientes</t>
  </si>
  <si>
    <t>Finanzabteilung, nicht kurzfristige Anleihen</t>
  </si>
  <si>
    <t>Debito non corr. div. finanza</t>
  </si>
  <si>
    <t>Finanzabteilung, nicht kurzfristige Verbindlichkeiten</t>
  </si>
  <si>
    <t>Altre passività non corr. divisione finanza</t>
  </si>
  <si>
    <t>Prämienbestandteile für zukünftige Perioden, nicht kurzfristig</t>
  </si>
  <si>
    <t>Ricavi non acquisti, non correnti</t>
  </si>
  <si>
    <t>금융분과 비유동성 부채</t>
  </si>
  <si>
    <t>금융분과 기타 비유동성 부채</t>
  </si>
  <si>
    <t>비당기 선수수익</t>
  </si>
  <si>
    <t>每股项目</t>
  </si>
  <si>
    <t>每股項目</t>
  </si>
  <si>
    <t>Éléments par action</t>
  </si>
  <si>
    <t>1株あたりの項目</t>
  </si>
  <si>
    <t>Позиции на акцию</t>
  </si>
  <si>
    <t>Artículos por acción</t>
  </si>
  <si>
    <t>Aktienbezogene Positionen</t>
  </si>
  <si>
    <t>Voci per azione</t>
  </si>
  <si>
    <t>주당 항목</t>
  </si>
  <si>
    <t>期间日期</t>
  </si>
  <si>
    <t>期間日期</t>
  </si>
  <si>
    <t>Date de la période</t>
  </si>
  <si>
    <t>部分现金流量的折旧和摊销说明</t>
  </si>
  <si>
    <t>部分現金流量的折舊和攤銷說明</t>
  </si>
  <si>
    <t>Notes sur l'amortissement et la dépréciation des flux de trésorerie partiels</t>
  </si>
  <si>
    <t>部分现金流量的商誉票据摊销</t>
  </si>
  <si>
    <t>部分現金流量的商譽票據攤銷</t>
  </si>
  <si>
    <t>Amortissement des billets de trésorerie pour les flux de trésorerie partiels</t>
  </si>
  <si>
    <t>折旧（来自注释）</t>
  </si>
  <si>
    <t>折舊（來自註釋）</t>
  </si>
  <si>
    <t>Dépréciation (des Notes)</t>
  </si>
  <si>
    <t>使用权资产折旧</t>
  </si>
  <si>
    <t>使用權資產折舊</t>
  </si>
  <si>
    <t>Amortissement sur les actifs du droit d'utilisation</t>
  </si>
  <si>
    <t>折旧及摊销-现金流量，不包括经营租赁</t>
  </si>
  <si>
    <t>折舊及攤銷-現金流量，不包括經營租賃</t>
  </si>
  <si>
    <t>Amortissement et dépréciation - Flux de trésorerie, à l'exclusion des contrats de leasing opérationnel</t>
  </si>
  <si>
    <t>折旧及摊销，总计，不包括经营租赁</t>
  </si>
  <si>
    <t>折舊及攤銷，總計，不包括經營租賃</t>
  </si>
  <si>
    <t>Dépréciation et Amort. total, à l'exclusion des contrats de leasing opérationnel</t>
  </si>
  <si>
    <t>债务发行成本的摊销</t>
  </si>
  <si>
    <t>債務發行成本的攤銷</t>
  </si>
  <si>
    <t>Amortissement des frais d'émission de la dette</t>
  </si>
  <si>
    <t>软件资产摊销</t>
  </si>
  <si>
    <t>軟件資產攤銷</t>
  </si>
  <si>
    <t>Amortissement des actifs logiciels</t>
  </si>
  <si>
    <t>租赁资产的销售收益</t>
  </si>
  <si>
    <t>租賃資產的銷售收益</t>
  </si>
  <si>
    <t>Produit de la vente de biens locatifs</t>
  </si>
  <si>
    <t>決算期末日</t>
  </si>
  <si>
    <t>Дата периода</t>
  </si>
  <si>
    <t>Período</t>
  </si>
  <si>
    <t>減価償却費及びのれんの償却額(注記)</t>
  </si>
  <si>
    <t>Износ и амортизация Векселя для частичного денежного потока</t>
  </si>
  <si>
    <t>Notas de depreciación y amortización para el Flujo de fondos parcial</t>
  </si>
  <si>
    <t>のれんの償却額(注記)</t>
  </si>
  <si>
    <t>Амортизация гудвилл - для частичного денежного потока</t>
  </si>
  <si>
    <t>Amortización de las notas de bienes de uso para el flujo de fondos  parcial</t>
  </si>
  <si>
    <t>減価償却費(注記)</t>
  </si>
  <si>
    <t>Амортизация (из примечаний)</t>
  </si>
  <si>
    <t>Depreciación (de las notas)</t>
  </si>
  <si>
    <t>使用権資産の減価償却費</t>
  </si>
  <si>
    <t>Амортизация на право использования активов</t>
  </si>
  <si>
    <t>Depreciación de los bienes con derecho de uso</t>
  </si>
  <si>
    <t>減価償却費 - キャッシュフロー(オペレーティングリース除く)</t>
  </si>
  <si>
    <t>Износ и амортизация - Денежный поток, исключая операционную аренду</t>
  </si>
  <si>
    <t>Depreciación y Amortización - Flujo de fondos, Excluyendo Arrendamientos Operativos</t>
  </si>
  <si>
    <t>総減価償却費(オペレーティングリース除く)</t>
  </si>
  <si>
    <t>Износ и амортизация, Итого, исключая операционную аренду</t>
  </si>
  <si>
    <t>Depreciación y amortización, total, excluyendo los arrendamientos operativos</t>
  </si>
  <si>
    <t>債券発行費用償却額</t>
  </si>
  <si>
    <t>Амортизация затрат на выпуск долговых обязательств</t>
  </si>
  <si>
    <t>Amortización de los costos de emisión de deuda</t>
  </si>
  <si>
    <t>ソフトウェア償却額</t>
  </si>
  <si>
    <t>Амортизация активов программного обеспечения</t>
  </si>
  <si>
    <t>Amortización de los activos de software</t>
  </si>
  <si>
    <t>リース資産の売却収入</t>
  </si>
  <si>
    <t>Поступления от продажи арендованного имущества</t>
  </si>
  <si>
    <t>El producto de la venta de los activos de alquiler</t>
  </si>
  <si>
    <t>Periodendatum</t>
  </si>
  <si>
    <t>Data periodo</t>
  </si>
  <si>
    <t>Abschreibungen auf materielles und immaterielles Vermögen – Wechsel für Teil-CF</t>
  </si>
  <si>
    <t>Titoli di ammortamento e accantonamento per CF parziale</t>
  </si>
  <si>
    <t>Abschreibung auf ideellen Unternehmenswert – Anmerkungen für Teil-CF</t>
  </si>
  <si>
    <t>Accantonamento titoli avviamento per CF parziale</t>
  </si>
  <si>
    <t>Abschreibungen (aus Wechseln)</t>
  </si>
  <si>
    <t>Ammortamento (da Titoli)</t>
  </si>
  <si>
    <t>Abschreibung von Vermögen aus Nutzungsrechten</t>
  </si>
  <si>
    <t>Ammortamento diritto utilizzo attività</t>
  </si>
  <si>
    <t>Abschreibungen auf materielles und immaterielles Vermögen – CF, ohne Operating-Leasing</t>
  </si>
  <si>
    <t>Ammortamenti e accantonamenti - CF, escl. locazioni operative</t>
  </si>
  <si>
    <t>Abschreibungen auf materielles und immaterielles Vermögen – Summe, ohne Operating-Leasing</t>
  </si>
  <si>
    <t>Ammortamenti e accantonamenti, totale escl. locazioni operative</t>
  </si>
  <si>
    <t>Abschreibung der Kosten für die Ausgabe von Anleihen</t>
  </si>
  <si>
    <t>Accantonamenti costi emissione debito</t>
  </si>
  <si>
    <t>Abschreibung von Softwarevermögen</t>
  </si>
  <si>
    <t>Accantonamenti attività software</t>
  </si>
  <si>
    <t>Verkaufserlöse aus Mietvermögen</t>
  </si>
  <si>
    <t>Proventi vendite da attività di noleggio</t>
  </si>
  <si>
    <t>기간 날짜</t>
  </si>
  <si>
    <t>부분 CF에 대한 어음 감가상각 및 상각비</t>
  </si>
  <si>
    <t>부분 CF에 대한 영업권 어음 상각비</t>
  </si>
  <si>
    <t>감가상각(어음에서)</t>
  </si>
  <si>
    <t>사용권 자산 감가상각</t>
  </si>
  <si>
    <t>감가상각 및 상각비 - CF, 운영리스 제외</t>
  </si>
  <si>
    <t>감가상각 및 상각비, 총계, 운영리스 제외</t>
  </si>
  <si>
    <t>부채 발행 비용의 상각비</t>
  </si>
  <si>
    <t>소프트웨어 자산 상각비</t>
  </si>
  <si>
    <t>임대 자산을 통한 매출액</t>
  </si>
  <si>
    <t>交易资产证券变更</t>
  </si>
  <si>
    <t>交易資產證券變更</t>
  </si>
  <si>
    <t>Variation des titres d'actifs négociables</t>
  </si>
  <si>
    <t>应收账款变更</t>
  </si>
  <si>
    <t>應收賬款變更</t>
  </si>
  <si>
    <t>Variation du compte à recevoir</t>
  </si>
  <si>
    <t>有価証券の増減</t>
  </si>
  <si>
    <t>Изменение в ценных бумагах, используемых для торговли активами</t>
  </si>
  <si>
    <t xml:space="preserve">Cambio en los valores de los activos </t>
  </si>
  <si>
    <t>売上債権の増減</t>
  </si>
  <si>
    <t>Изменение дебиторской задолженности</t>
  </si>
  <si>
    <t>Cambio en Cuentas por cobrar</t>
  </si>
  <si>
    <t>Veränderung bei handelbaren Wertpapieranlagen</t>
  </si>
  <si>
    <t>Variazione in titoli di negoziazione</t>
  </si>
  <si>
    <t>Veränderung der Forderungen aus LL</t>
  </si>
  <si>
    <t>Variazione crediti</t>
  </si>
  <si>
    <t>거래 자산 증권 변동</t>
  </si>
  <si>
    <t>외상매출금 변동</t>
  </si>
  <si>
    <t>应付帐款变更</t>
  </si>
  <si>
    <t>應付帳款變更</t>
  </si>
  <si>
    <t>Variation du compte à payer</t>
  </si>
  <si>
    <t>预收收入变更</t>
  </si>
  <si>
    <t>預收收入變更</t>
  </si>
  <si>
    <t>Variation des revenus non réalisés</t>
  </si>
  <si>
    <t>所得税的变更</t>
  </si>
  <si>
    <t>所得稅的變更</t>
  </si>
  <si>
    <t>Variation de l'impôt sur le revenu</t>
  </si>
  <si>
    <t>递延税项变更</t>
  </si>
  <si>
    <t>遞延稅項變更</t>
  </si>
  <si>
    <t>Variation des impôts différés</t>
  </si>
  <si>
    <t>其他净经营资产变更</t>
  </si>
  <si>
    <t>其他淨經營資產變更</t>
  </si>
  <si>
    <t>Variation des autres actifs nets d'exploitation</t>
  </si>
  <si>
    <t>仕入債務の増減</t>
  </si>
  <si>
    <t>Изменение кредиторской задолженности</t>
  </si>
  <si>
    <t>Cambio en Cuentas a pagar</t>
  </si>
  <si>
    <t>前受収益の増減</t>
  </si>
  <si>
    <t>Изменение незаработанных доходов</t>
  </si>
  <si>
    <t>Cambio en los ingresos no devengados</t>
  </si>
  <si>
    <t>未払法人税等、及び未払費用の増減</t>
  </si>
  <si>
    <t>Изменение подоходного налога</t>
  </si>
  <si>
    <t>Cambio en Impuestos a las ganancias</t>
  </si>
  <si>
    <t>繰延税金資産</t>
  </si>
  <si>
    <t>Изменение в отложенных налогах</t>
  </si>
  <si>
    <t>Cambio en Impuestos Diferidos</t>
  </si>
  <si>
    <t>その他純営業資産の増減</t>
  </si>
  <si>
    <t>Изменение прочих чистых операционных активов</t>
  </si>
  <si>
    <t>Variación de otros activos operativos netos</t>
  </si>
  <si>
    <t>Veränderung der Verbindlichkeiten aus LL</t>
  </si>
  <si>
    <t>Variazione debiti</t>
  </si>
  <si>
    <t>Veränderung der Prämienbestandteile für zukünftige Perioden</t>
  </si>
  <si>
    <t>Variazione ricavi non acquisiti</t>
  </si>
  <si>
    <t>Veränderung der angefallenen Steuern</t>
  </si>
  <si>
    <t>Variazione imposte sul redd.</t>
  </si>
  <si>
    <t>Veränderung der latenten Steuern</t>
  </si>
  <si>
    <t>Variazione imposte differite</t>
  </si>
  <si>
    <t>Veränderung des sonstigen Nettobetriebsvermögens</t>
  </si>
  <si>
    <t>Variazione altre attività operative nette</t>
  </si>
  <si>
    <t>외상매입금 변동</t>
  </si>
  <si>
    <t>선수수익 변동</t>
  </si>
  <si>
    <t>소득세 변경</t>
  </si>
  <si>
    <t>이연법인세 변경</t>
  </si>
  <si>
    <t>기타 순 운영 자산 변동</t>
  </si>
  <si>
    <t>代码</t>
  </si>
  <si>
    <t>代碼</t>
  </si>
  <si>
    <t>Ticker [code mnémonique]:</t>
  </si>
  <si>
    <t>ティッカー</t>
  </si>
  <si>
    <t xml:space="preserve">Тикер </t>
  </si>
  <si>
    <t>Clave de pizarra</t>
  </si>
  <si>
    <t>종목코드</t>
  </si>
  <si>
    <t>最新年度由:</t>
  </si>
  <si>
    <t>Le plus récent sur le :</t>
  </si>
  <si>
    <t>Zuletzt bei:</t>
  </si>
  <si>
    <t>I più recenti su:</t>
  </si>
  <si>
    <t>直近財務の位置</t>
  </si>
  <si>
    <t>Последние данные на:</t>
  </si>
  <si>
    <t>Más reciente en el:</t>
  </si>
  <si>
    <t>가장 최근:</t>
  </si>
  <si>
    <t>Datum</t>
  </si>
  <si>
    <t>Data</t>
  </si>
  <si>
    <t>基準日</t>
  </si>
  <si>
    <t>Дата</t>
  </si>
  <si>
    <t>Fecha</t>
  </si>
  <si>
    <t xml:space="preserve">기준일 </t>
  </si>
  <si>
    <t>货币</t>
  </si>
  <si>
    <t>貨幣</t>
  </si>
  <si>
    <t>Devise</t>
  </si>
  <si>
    <t>Währung</t>
  </si>
  <si>
    <t>Valuta</t>
  </si>
  <si>
    <t>通貨</t>
  </si>
  <si>
    <t>Валюта</t>
  </si>
  <si>
    <t>Moneda</t>
  </si>
  <si>
    <t>통화</t>
  </si>
  <si>
    <t>汇率兑换</t>
  </si>
  <si>
    <t>匯率兌換</t>
  </si>
  <si>
    <t>Umwandlung</t>
  </si>
  <si>
    <t>Conversione</t>
  </si>
  <si>
    <t>換算レート</t>
  </si>
  <si>
    <t xml:space="preserve">Конвертация </t>
  </si>
  <si>
    <t>Conversión</t>
  </si>
  <si>
    <t>적용환율</t>
  </si>
  <si>
    <t>损益表</t>
  </si>
  <si>
    <t>損益表</t>
  </si>
  <si>
    <t>Compte de résultat</t>
  </si>
  <si>
    <t>Gewinn- und Verlustrechnung</t>
  </si>
  <si>
    <t>Conto economico</t>
  </si>
  <si>
    <t>損益計算書</t>
  </si>
  <si>
    <t xml:space="preserve">Отчет о прибылях и убытках </t>
  </si>
  <si>
    <t>Estado de Resultados</t>
  </si>
  <si>
    <t>손익계산서</t>
  </si>
  <si>
    <t>历史数据</t>
  </si>
  <si>
    <t>歷史數據</t>
  </si>
  <si>
    <t>Historique</t>
  </si>
  <si>
    <t>Historisch</t>
  </si>
  <si>
    <t>Storico</t>
  </si>
  <si>
    <t>ヒストリカル</t>
  </si>
  <si>
    <t>Историческ.</t>
  </si>
  <si>
    <t>Histórico</t>
  </si>
  <si>
    <t>역사적 환율</t>
  </si>
  <si>
    <t>百万</t>
  </si>
  <si>
    <t>百萬</t>
  </si>
  <si>
    <t>en millions</t>
  </si>
  <si>
    <t>in Millionen</t>
  </si>
  <si>
    <t>in milioni</t>
  </si>
  <si>
    <t>В миллионах</t>
  </si>
  <si>
    <t>en millones</t>
  </si>
  <si>
    <t>단위: 백만</t>
  </si>
  <si>
    <t>收入</t>
  </si>
  <si>
    <t>Revenus</t>
  </si>
  <si>
    <t>Einnahmen</t>
  </si>
  <si>
    <t>Ricavi</t>
  </si>
  <si>
    <t>売上高</t>
  </si>
  <si>
    <t>Доходы</t>
  </si>
  <si>
    <t>Ingresos</t>
  </si>
  <si>
    <t>수입</t>
  </si>
  <si>
    <t>其他收入</t>
  </si>
  <si>
    <t>Autres revenus</t>
  </si>
  <si>
    <t>Sonstige Einnahmen</t>
  </si>
  <si>
    <t>Altri ricavi</t>
  </si>
  <si>
    <t>その他売上高</t>
  </si>
  <si>
    <t>Прочие доходы</t>
  </si>
  <si>
    <t>Otros ingresos</t>
  </si>
  <si>
    <t>기타 수입</t>
  </si>
  <si>
    <t>总收入</t>
  </si>
  <si>
    <t>總收入</t>
  </si>
  <si>
    <t>Total revenu</t>
  </si>
  <si>
    <t>Gesamtumsätze</t>
  </si>
  <si>
    <t>Ricavi totali</t>
  </si>
  <si>
    <t>総売上高</t>
  </si>
  <si>
    <t>Общая выручка</t>
  </si>
  <si>
    <t>Ingresos totales</t>
  </si>
  <si>
    <t xml:space="preserve">매출 총액 </t>
  </si>
  <si>
    <t>销货成本</t>
  </si>
  <si>
    <t>銷貨成本</t>
  </si>
  <si>
    <t>Coût des marchandises vendues</t>
  </si>
  <si>
    <t>Verkaufskosten</t>
  </si>
  <si>
    <t>Costo del venduto</t>
  </si>
  <si>
    <t>売上原価</t>
  </si>
  <si>
    <t>Стоимость проданных товаров</t>
  </si>
  <si>
    <t>Costo de las mercancías vendidas</t>
  </si>
  <si>
    <t>상품 판매 비용</t>
  </si>
  <si>
    <t>毛利</t>
  </si>
  <si>
    <t>Bénéfice brut</t>
  </si>
  <si>
    <t>Bruttogewinn</t>
  </si>
  <si>
    <t>Utile lordo</t>
  </si>
  <si>
    <t>売上総利益</t>
  </si>
  <si>
    <t>Валовая прибыль</t>
  </si>
  <si>
    <t>Ganancia bruta</t>
  </si>
  <si>
    <t>매출총이익</t>
  </si>
  <si>
    <t>销售及一般行政费用</t>
  </si>
  <si>
    <t>銷售及一般行政費用</t>
  </si>
  <si>
    <t>Vente Frais généraux et administratifs</t>
  </si>
  <si>
    <t>Vertriebs-, Verwaltungs- und allgemeine Kosten</t>
  </si>
  <si>
    <t>Vendita generale e spese di amministrazione</t>
  </si>
  <si>
    <t>販売費及び一般管理費</t>
  </si>
  <si>
    <t xml:space="preserve">Коммерческие, общие и административные расходы </t>
  </si>
  <si>
    <t>Gastos generales de ventas y administrativos</t>
  </si>
  <si>
    <t xml:space="preserve">판매비와 관리비 </t>
  </si>
  <si>
    <t>折旧及摊销</t>
  </si>
  <si>
    <t>折舊及攤銷</t>
  </si>
  <si>
    <t>Amortissements et dépréciations</t>
  </si>
  <si>
    <t>Abschreibungen</t>
  </si>
  <si>
    <t>Ammortamenti e accantonamenti</t>
  </si>
  <si>
    <t>減価償却費</t>
  </si>
  <si>
    <t>Износ и амортизация</t>
  </si>
  <si>
    <t>Depreciación y amortización</t>
  </si>
  <si>
    <t>감가상각 및 상환</t>
  </si>
  <si>
    <t>DDM</t>
  </si>
  <si>
    <t>Letzte 12 Monate</t>
  </si>
  <si>
    <t>Последние 12 месяцев</t>
  </si>
  <si>
    <t>Ultimos doce meses</t>
  </si>
  <si>
    <t>최근 12개월 (LTM)</t>
  </si>
  <si>
    <t>财务年度</t>
  </si>
  <si>
    <t>財務年度</t>
  </si>
  <si>
    <t>Anno fiscale</t>
  </si>
  <si>
    <t>会計年度</t>
  </si>
  <si>
    <t>Отчетный год</t>
  </si>
  <si>
    <t>Ejercicio fiscal</t>
  </si>
  <si>
    <t xml:space="preserve">회계연도 </t>
  </si>
  <si>
    <t>年初至今</t>
  </si>
  <si>
    <t>Année à ce jour</t>
  </si>
  <si>
    <t>Im bisherigen Jahresverlauf</t>
  </si>
  <si>
    <t>Dall’inizio dell’anno</t>
  </si>
  <si>
    <t>利回り: 貸出金総額 (%)</t>
  </si>
  <si>
    <t>С начала года на дату</t>
  </si>
  <si>
    <t>Año a la fecha</t>
  </si>
  <si>
    <t>연초부터 현재까지</t>
  </si>
  <si>
    <t>日历年度</t>
  </si>
  <si>
    <t>日曆年度</t>
  </si>
  <si>
    <t>Année civile</t>
  </si>
  <si>
    <t>Kalenderjahr</t>
  </si>
  <si>
    <t>Anno civile</t>
  </si>
  <si>
    <t>暦年</t>
  </si>
  <si>
    <t>Календарный год</t>
  </si>
  <si>
    <t>Año natural</t>
  </si>
  <si>
    <t xml:space="preserve">달력연도 </t>
  </si>
  <si>
    <t>右边开始</t>
  </si>
  <si>
    <t>右邊開始</t>
  </si>
  <si>
    <t>A droite</t>
  </si>
  <si>
    <t>Rechts</t>
  </si>
  <si>
    <t>Destra</t>
  </si>
  <si>
    <t>右</t>
  </si>
  <si>
    <t>Направо</t>
  </si>
  <si>
    <t>Derecho</t>
  </si>
  <si>
    <t>오른쪽</t>
  </si>
  <si>
    <t>左边开始</t>
  </si>
  <si>
    <t>左邊開始</t>
  </si>
  <si>
    <t>A gauche</t>
  </si>
  <si>
    <t>Links</t>
  </si>
  <si>
    <t>Sinistra</t>
  </si>
  <si>
    <t>左</t>
  </si>
  <si>
    <t>Налево</t>
  </si>
  <si>
    <t>Izquierda</t>
  </si>
  <si>
    <t>왼쪽</t>
  </si>
  <si>
    <t>当前数据</t>
  </si>
  <si>
    <t>當前數據</t>
  </si>
  <si>
    <t>Actuelle</t>
  </si>
  <si>
    <t>Aktuell</t>
  </si>
  <si>
    <t>Attuale</t>
  </si>
  <si>
    <t>カレント</t>
  </si>
  <si>
    <t>Текущ.</t>
  </si>
  <si>
    <t>Actual</t>
  </si>
  <si>
    <t>현재 환율</t>
  </si>
  <si>
    <t>现金流量表</t>
  </si>
  <si>
    <t>現金流量表</t>
  </si>
  <si>
    <t>Tableau des flux de trésorerie</t>
  </si>
  <si>
    <t>Geldflussrechnung</t>
  </si>
  <si>
    <t>Rendiconto finanziario</t>
  </si>
  <si>
    <t>キャッシュフロー(C/F)計算書</t>
  </si>
  <si>
    <t>Отчет о движении денежных средства</t>
  </si>
  <si>
    <t>Estado do flujos de efectivo</t>
  </si>
  <si>
    <t>현금흐름표</t>
  </si>
  <si>
    <t>资产负债表</t>
  </si>
  <si>
    <t>資産負債表</t>
  </si>
  <si>
    <t>Bilan</t>
  </si>
  <si>
    <t>Bilanz</t>
  </si>
  <si>
    <t>Situazione patrimoniale</t>
  </si>
  <si>
    <t>貸借対照表</t>
  </si>
  <si>
    <t>Бухгалтерский баланс</t>
  </si>
  <si>
    <t>hoja de balance</t>
  </si>
  <si>
    <t>재무상태표</t>
  </si>
  <si>
    <t>财务部收入</t>
  </si>
  <si>
    <t>財務部收入</t>
  </si>
  <si>
    <t>Revenus de la division financière</t>
  </si>
  <si>
    <t>保险部收入</t>
  </si>
  <si>
    <t>保險部收入</t>
  </si>
  <si>
    <t>Revenus de la division assurance</t>
  </si>
  <si>
    <t>金融部門に帰属する売上高</t>
  </si>
  <si>
    <t>Финансовый отдел -- Выручка</t>
  </si>
  <si>
    <t>Ingresos de la División de Finanzas</t>
  </si>
  <si>
    <t>保険部門に帰属する売上高</t>
  </si>
  <si>
    <t>Страховой отдел -- Выручка</t>
  </si>
  <si>
    <t>Ingresos de la División de Seguros</t>
  </si>
  <si>
    <t>Finanzen, div. Erlöse</t>
  </si>
  <si>
    <t>Ricavi divisione finanza</t>
  </si>
  <si>
    <t>Versicherung, div. Erlöse</t>
  </si>
  <si>
    <t>Ricavi divisione assicurativa</t>
  </si>
  <si>
    <t>금융분과 수입</t>
  </si>
  <si>
    <t>보험분과 수입</t>
  </si>
  <si>
    <t>利息及投资收益（收入）</t>
  </si>
  <si>
    <t>利息及投資收益（收入）</t>
  </si>
  <si>
    <t>Intérêts et revenus d'investissement ( produits)</t>
  </si>
  <si>
    <t>営業内- 受取利息配当金</t>
  </si>
  <si>
    <t>Процентный и инвестиционный доход (Выручка)</t>
  </si>
  <si>
    <t xml:space="preserve"> Ingresos de Intereses e inversiones</t>
  </si>
  <si>
    <t>Zins- und Investmenterträge (Erlös)</t>
  </si>
  <si>
    <t>Interessi attivi e reddito da investim. (riv.)</t>
  </si>
  <si>
    <t>이자 및 투자 수익(수입)</t>
  </si>
  <si>
    <t>财务部营业费用</t>
  </si>
  <si>
    <t>財務部營業費用</t>
  </si>
  <si>
    <t>Dépenses d'exploitation de la division financière</t>
  </si>
  <si>
    <t>保险部营业费用</t>
  </si>
  <si>
    <t>保險部營業費用</t>
  </si>
  <si>
    <t>Dépenses d'exploitation de la division assurance</t>
  </si>
  <si>
    <t>利息费用-财务部</t>
  </si>
  <si>
    <t>利息費用-財務部</t>
  </si>
  <si>
    <t>Frais d'intérêt - Division financière</t>
  </si>
  <si>
    <t>金融部門に帰属する営業費用</t>
  </si>
  <si>
    <t>Финансовый отдел -- Операционные расходы</t>
  </si>
  <si>
    <t>Gastos Operativos de la División de Finanzas</t>
  </si>
  <si>
    <t>保険部門に帰属する営業費用</t>
  </si>
  <si>
    <t>Страховой отдел -- Операционные расходы</t>
  </si>
  <si>
    <t>Gastos Operativos de la División de Seguros</t>
  </si>
  <si>
    <t>金融部門に帰属する支払利息</t>
  </si>
  <si>
    <t>Процентные расходы - Финансовый отдел</t>
  </si>
  <si>
    <t>Gastos por intereses - División de Finanzas</t>
  </si>
  <si>
    <t>Finanzen, div. Betriebsaufwendungen</t>
  </si>
  <si>
    <t>Spese operative divisione finanza</t>
  </si>
  <si>
    <t>Versicherung, div. Betriebsaufwendungen</t>
  </si>
  <si>
    <t>Spese operative divisione assicurativa</t>
  </si>
  <si>
    <t>Zinsaufwand – Finanzabteilung</t>
  </si>
  <si>
    <t>Interessi passivi - Divisione finanza</t>
  </si>
  <si>
    <t>금융분과 운영비</t>
  </si>
  <si>
    <t>보험분과 운영비</t>
  </si>
  <si>
    <t>이자 비용 - 금융분과</t>
  </si>
  <si>
    <t>Coûts d'exploration et de forage</t>
  </si>
  <si>
    <t>备抵坏账</t>
  </si>
  <si>
    <t>備抵壞賬</t>
  </si>
  <si>
    <t>Provision pour créances douteuses</t>
  </si>
  <si>
    <t>Затраты на разведку / бурение</t>
  </si>
  <si>
    <t>Costos de exploración y perforación</t>
  </si>
  <si>
    <t>貸倒引当金繰入額</t>
  </si>
  <si>
    <t>Резерв по безнадежным долгам</t>
  </si>
  <si>
    <t>Provisión para deudas incobrables</t>
  </si>
  <si>
    <t>Explorations-/Bohrkosten</t>
  </si>
  <si>
    <t>Costi di esplorazione/trivellazione</t>
  </si>
  <si>
    <t>Rückstellung für uneinbringliche Forderungen</t>
  </si>
  <si>
    <t>Accantonamento per debiti insoluti</t>
  </si>
  <si>
    <t>대손충당금</t>
  </si>
  <si>
    <t>开市前费用</t>
  </si>
  <si>
    <t>開市前費用</t>
  </si>
  <si>
    <t>Coûts de préouverture</t>
  </si>
  <si>
    <t>創立準備費</t>
  </si>
  <si>
    <t>Предварительные расходы</t>
  </si>
  <si>
    <t>Costos de preapertura</t>
  </si>
  <si>
    <t>Vorlaufkosten der Eröffnung</t>
  </si>
  <si>
    <t>Costi pre-apertura</t>
  </si>
  <si>
    <t>개업비</t>
  </si>
  <si>
    <t>商誉和无形资产的摊销</t>
  </si>
  <si>
    <t>商譽和無形資產的攤銷</t>
  </si>
  <si>
    <t>Amort. de fonds de commerce et d'actifs incorporels</t>
  </si>
  <si>
    <t>石油，天然气和矿产属性的损害</t>
  </si>
  <si>
    <t>石油，天然氣和礦產屬性的損害</t>
  </si>
  <si>
    <t>Dépréciation des biens pétroliers, gaziers et minéraux</t>
  </si>
  <si>
    <t>のれん償却費及び無形固定資産償却費</t>
  </si>
  <si>
    <t>Амортизация гудвилла и нематериальных активов</t>
  </si>
  <si>
    <t>Amortización de Bienes de uso e Intangibles</t>
  </si>
  <si>
    <t>石油/ガス/鉱業権に掛かる減損費用</t>
  </si>
  <si>
    <t>Обесценение нефтяных, газовых и минеральных активов</t>
  </si>
  <si>
    <t>Deterioro de la Propiedad de Petróleo, Gas y Minerales.</t>
  </si>
  <si>
    <t>Abschreibung auf ideellen Unternehmenswert und Immaterialvermögen</t>
  </si>
  <si>
    <t>Ammort. avviamento e beni immateriali</t>
  </si>
  <si>
    <t>Wertminderung von Öl-, Gas- und Mineralieneigentum</t>
  </si>
  <si>
    <t>Rettif. di valore di proprietà del settore petrolio, gas e minerario</t>
  </si>
  <si>
    <t>영업권 및 무형 자산 상각</t>
  </si>
  <si>
    <t>오일, 가스 및 광물권 손실</t>
  </si>
  <si>
    <t>外汇兑换损益</t>
  </si>
  <si>
    <t>外匯兌換損益</t>
  </si>
  <si>
    <t>Bénéfices (pertes) de change</t>
  </si>
  <si>
    <t>為替差損益</t>
  </si>
  <si>
    <t>Прибыль (Убыток) от операций обмена иностранной валюты</t>
  </si>
  <si>
    <t>Ganancias (pérdidas) de cambio de divisas</t>
  </si>
  <si>
    <t>Gewinn (Verlust) aus Währungsumrechnung</t>
  </si>
  <si>
    <t>Utili/(perdita) su cambio</t>
  </si>
  <si>
    <t>환율 이익(손실)</t>
  </si>
  <si>
    <t>重组费用</t>
  </si>
  <si>
    <t>重組費用</t>
  </si>
  <si>
    <t>Frais de restructuration</t>
  </si>
  <si>
    <t>合并及相关重组费用</t>
  </si>
  <si>
    <t>合併及相關重組費用</t>
  </si>
  <si>
    <t>Frais de fusion et de restructuration connexes</t>
  </si>
  <si>
    <t>構造改革費用</t>
  </si>
  <si>
    <t>Расходы по реструктуризации</t>
  </si>
  <si>
    <t>Cargos de reestructuración</t>
  </si>
  <si>
    <t>組織再編費用</t>
  </si>
  <si>
    <t>Расходы по слиянию и связанные расходы по реструктуризации</t>
  </si>
  <si>
    <t>Fusión y Cargos de reestructuración relacionada</t>
  </si>
  <si>
    <t>Sanierungskosten</t>
  </si>
  <si>
    <t>Costi di ristrutturazione</t>
  </si>
  <si>
    <t>Fusions- und damit verbundene Sanierungskosten</t>
  </si>
  <si>
    <t>Costi di fusione e relative ristrutturazioni</t>
  </si>
  <si>
    <t>구조조정 비용</t>
  </si>
  <si>
    <t>합병 및 관련 구조조정 비용</t>
  </si>
  <si>
    <t>商誉减损</t>
  </si>
  <si>
    <t>商譽減損</t>
  </si>
  <si>
    <t>Dépréciation du fonds de commerce</t>
  </si>
  <si>
    <t xml:space="preserve">处分投资损益 </t>
  </si>
  <si>
    <t>處分投資損益</t>
  </si>
  <si>
    <t>Bénéfice (perte) sur la vente de l'investissement</t>
  </si>
  <si>
    <t>出售资产损益</t>
  </si>
  <si>
    <t>出售資產損益</t>
  </si>
  <si>
    <t>Bénéfice (perte) sur la vente d'actifs</t>
  </si>
  <si>
    <t>Обесценение гудвилла</t>
  </si>
  <si>
    <t>Deterioro de Bienes de Uso</t>
  </si>
  <si>
    <t>有価証券運用損益</t>
  </si>
  <si>
    <t xml:space="preserve">Прибыль (Убыток) от продажи инвестиций </t>
  </si>
  <si>
    <t>Ganancia (pérdida) en la venta de inversiones</t>
  </si>
  <si>
    <t>固定資産の売却による収入（損失）</t>
  </si>
  <si>
    <t>Прибыль (Убыток) от продажи активов</t>
  </si>
  <si>
    <t>Ganancia (pérdida) en la venta de activos</t>
  </si>
  <si>
    <t>Minderung des ideellen Unternehmenswerts</t>
  </si>
  <si>
    <t>Rettif. di valore dell'avviamento</t>
  </si>
  <si>
    <t>Gewinn (Verlust) aus dem Verkauf von Investments</t>
  </si>
  <si>
    <t>Utile (perdita) su vendita di investim.</t>
  </si>
  <si>
    <t>Gewinn (Verlust) aus dem Verkauf von Vermögenswerten</t>
  </si>
  <si>
    <t>Utile (perdita) su vendita di attività</t>
  </si>
  <si>
    <t>영업권 손실</t>
  </si>
  <si>
    <t>투자 매각의 이익(손실)</t>
  </si>
  <si>
    <t>자산 매각의 이익(손실)</t>
  </si>
  <si>
    <t>进行中的研发费用</t>
  </si>
  <si>
    <t>進行中的研發費用</t>
  </si>
  <si>
    <t>Dépenses de R &amp; D en cours</t>
  </si>
  <si>
    <t>保险结算</t>
  </si>
  <si>
    <t>保險結算</t>
  </si>
  <si>
    <t>Règlements d'assurance</t>
  </si>
  <si>
    <t>法律和解</t>
  </si>
  <si>
    <t>Règlements juridiques</t>
  </si>
  <si>
    <t>営業外- 研究開発費</t>
  </si>
  <si>
    <t>Расходы по незавершенным научно-исследовательским и опытно-конструкторским работам (НИОКР)</t>
  </si>
  <si>
    <t>Investigación y Desarrollo en proceso</t>
  </si>
  <si>
    <t>保険差損益</t>
  </si>
  <si>
    <t xml:space="preserve">Страховые урегулирования </t>
  </si>
  <si>
    <t>Liquidaciones de seguros</t>
  </si>
  <si>
    <t>法務費用</t>
  </si>
  <si>
    <t xml:space="preserve">Мировые соглашения </t>
  </si>
  <si>
    <t>Liquidaciones legales</t>
  </si>
  <si>
    <t>Laufender F&amp;E-Aufwand</t>
  </si>
  <si>
    <t>Spese per ricerca e sviluppo in corso</t>
  </si>
  <si>
    <t>Versicherungsabrechnungen</t>
  </si>
  <si>
    <t>Indennizzi assicurativi</t>
  </si>
  <si>
    <t>Vergleiche</t>
  </si>
  <si>
    <t>Indennizzi legali</t>
  </si>
  <si>
    <t>진행 중인 연구개발비</t>
  </si>
  <si>
    <t>보험 결산</t>
  </si>
  <si>
    <t>법적 결산</t>
  </si>
  <si>
    <t>存货变更</t>
  </si>
  <si>
    <t>存貨變更</t>
  </si>
  <si>
    <t>Variation des stocks</t>
  </si>
  <si>
    <t>棚卸資産の増減</t>
  </si>
  <si>
    <t>Изменение в запасах</t>
  </si>
  <si>
    <t>Cambio en los inventarios</t>
  </si>
  <si>
    <t>Bestandsveränderungen</t>
  </si>
  <si>
    <t>Variazione scorte</t>
  </si>
  <si>
    <t>재고 변동</t>
  </si>
  <si>
    <t>出售房产， 厂房及设备</t>
  </si>
  <si>
    <t>出售房產， 廠房及設備</t>
  </si>
  <si>
    <t>Vente de biens, d'installations et d'équipements</t>
  </si>
  <si>
    <t>现金收购</t>
  </si>
  <si>
    <t>現金收購</t>
  </si>
  <si>
    <t>Acquisitions en espèces</t>
  </si>
  <si>
    <t>资产剥离</t>
  </si>
  <si>
    <t>資產剝離</t>
  </si>
  <si>
    <t>Désinvestissements</t>
  </si>
  <si>
    <t>有形固定資産の売却による収入</t>
  </si>
  <si>
    <t>Продажа основных средств</t>
  </si>
  <si>
    <t>Venta de propiedad, planta y equipo</t>
  </si>
  <si>
    <t>貸付金(借入金)に伴う純増減</t>
  </si>
  <si>
    <t>Приобретение наличными</t>
  </si>
  <si>
    <t>Adquisiciones en efectivo</t>
  </si>
  <si>
    <t>構造改革に掛かる収入(支出)</t>
  </si>
  <si>
    <t>Продажа активов</t>
  </si>
  <si>
    <t>Desinversiones</t>
  </si>
  <si>
    <t>Verkauf von Immobilien, Anlagen und Ausrüstungen</t>
  </si>
  <si>
    <t>Vendita di immobili, impianti e macchinari</t>
  </si>
  <si>
    <t>Bar-Akquisitionen</t>
  </si>
  <si>
    <t>Acquisizioni in contanti</t>
  </si>
  <si>
    <t>Veräußerungen</t>
  </si>
  <si>
    <t>Disinvestimenti</t>
  </si>
  <si>
    <t>유형자산 매도</t>
  </si>
  <si>
    <t>현금 인수</t>
  </si>
  <si>
    <t>투자 철수</t>
  </si>
  <si>
    <t>出售/（购买）房地产</t>
  </si>
  <si>
    <t>出售/（購買）房地產</t>
  </si>
  <si>
    <t>Vente (achat) de biens immobiliers</t>
  </si>
  <si>
    <t>出售/（购买）无形资产</t>
  </si>
  <si>
    <t>出售/（購買）無形資產</t>
  </si>
  <si>
    <t>Vente (achat) d'actifs incorporels</t>
  </si>
  <si>
    <t>有价和股权证券投资</t>
  </si>
  <si>
    <t>有價和股權證券投資</t>
  </si>
  <si>
    <t>Investissements en titres négociables et en actions</t>
  </si>
  <si>
    <t>发放/出售的贷款净（增加）减少</t>
  </si>
  <si>
    <t>發放/出售的貸款淨（增加）減少</t>
  </si>
  <si>
    <t>Diminution (augmentation) nette des prêts accordés/vendus</t>
  </si>
  <si>
    <t>其他投资活动</t>
  </si>
  <si>
    <t>其他投資活動</t>
  </si>
  <si>
    <t>Autres activités d'investissement</t>
  </si>
  <si>
    <t>不動産の売却/取得による収入（支出）</t>
  </si>
  <si>
    <t>Продажа (Покупка) объектов недвижимости</t>
  </si>
  <si>
    <t>Venta (compra) de propiedades inmobiliarias</t>
  </si>
  <si>
    <t>無形固定資産の売却/取得による収入（支出）</t>
  </si>
  <si>
    <t>Продажа (Покупка) нематериальных активов</t>
  </si>
  <si>
    <t>Venta (compra) de activos intangibles</t>
  </si>
  <si>
    <t>有価証券の売却/取得による収入(支出)</t>
  </si>
  <si>
    <t>Инвестиции в рыночные и акционерные ценные бумаги</t>
  </si>
  <si>
    <t>Inversión en valores de marketing y capital</t>
  </si>
  <si>
    <t>売却予定の営業貸付金の増減</t>
  </si>
  <si>
    <t>Чистое (Увеличение) Уменьшение выданных/проданных кредитов</t>
  </si>
  <si>
    <t>Aumento/Descenso Neto en Préstamos Originados/Vendidos</t>
  </si>
  <si>
    <t>その他投資活動によるキャッシュフロー</t>
  </si>
  <si>
    <t>Прочая инвестиционная деятельность</t>
  </si>
  <si>
    <t>Otras actividades de inversión</t>
  </si>
  <si>
    <t>Verkauf (Kauf) von Immobilien</t>
  </si>
  <si>
    <t>Vendita (acquisto) di proprietà immobiliari</t>
  </si>
  <si>
    <t>Verkauf (Kauf) von immateriellen Vermögenswerten</t>
  </si>
  <si>
    <t>Vendita (acquisto) di attività immateriali</t>
  </si>
  <si>
    <t>Investments in marktgängige Wertpapiere u. Aktienpapiere</t>
  </si>
  <si>
    <t>Investim. in titoli azionari e commerciab.</t>
  </si>
  <si>
    <t>Netto (Inc.) Abschreibung auf originierte/veräußerte Darlehen</t>
  </si>
  <si>
    <t>Decr (incr.) netto crediti originati/venduti</t>
  </si>
  <si>
    <t>Andere Investitionstätigkeiten</t>
  </si>
  <si>
    <t>Altre attività d'investimento</t>
  </si>
  <si>
    <t>부동산 자산 매도(매입)</t>
  </si>
  <si>
    <t>무형자산 매도(매입)</t>
  </si>
  <si>
    <t>시장성 유가증권 및 지분 증권 투자</t>
  </si>
  <si>
    <t>생성/매도된 순 대출 (증가) 감소</t>
  </si>
  <si>
    <t>기타 투자 활동</t>
  </si>
  <si>
    <t>短期债务发行</t>
  </si>
  <si>
    <t>短期債務發行</t>
  </si>
  <si>
    <t>Dette à court terme émise</t>
  </si>
  <si>
    <t>长期债务发行</t>
  </si>
  <si>
    <t>長期債務發行</t>
  </si>
  <si>
    <t>Dette à long terme émise</t>
  </si>
  <si>
    <t>短期借入金の借入による収入</t>
  </si>
  <si>
    <t>Краткосрочные долговые обязательства, выпущенные</t>
  </si>
  <si>
    <t>Emisión de deuda a corto plazo</t>
  </si>
  <si>
    <t>長期借入金の借入による収入</t>
  </si>
  <si>
    <t>Долгосрочные долговые обязательства, выпущенные</t>
  </si>
  <si>
    <t>Emisión de deuda a largo plazo</t>
  </si>
  <si>
    <t>Ausgegebene kurzfristige Anleihen</t>
  </si>
  <si>
    <t>Debito a breve termine emesso</t>
  </si>
  <si>
    <t>Ausgegebene langfristige Anleihen</t>
  </si>
  <si>
    <t>Debito a lungo termine emesso</t>
  </si>
  <si>
    <t>발행 단기부채</t>
  </si>
  <si>
    <t>발행 장기부채</t>
  </si>
  <si>
    <t>短期债务偿还</t>
  </si>
  <si>
    <t>短期債務償還</t>
  </si>
  <si>
    <t>Remboursement de la dette à court terme</t>
  </si>
  <si>
    <t>长期债务偿还</t>
  </si>
  <si>
    <t>長期債務償還</t>
  </si>
  <si>
    <t>Remboursement de la dette à long terme</t>
  </si>
  <si>
    <t>短期借入金の返済による支出</t>
  </si>
  <si>
    <t>Краткосрочные долговые обязательства, погашенные</t>
  </si>
  <si>
    <t>Deuda a corto plazo Pagada</t>
  </si>
  <si>
    <t>長期借入金の返済による支出</t>
  </si>
  <si>
    <t>Долгосрочные долговые обязательства, погашенные</t>
  </si>
  <si>
    <t>Deuda a largo plazo Pagada</t>
  </si>
  <si>
    <t>Zurückgezahlte kurzfristige Anleihen</t>
  </si>
  <si>
    <t>Debito rimborsato a breve termine</t>
  </si>
  <si>
    <t>Zurückgezahlte langfristige Anleihen</t>
  </si>
  <si>
    <t>Debito a lungo termine rimborsato</t>
  </si>
  <si>
    <t>상환 단기부채</t>
  </si>
  <si>
    <t>상환 장기부채</t>
  </si>
  <si>
    <t>普通股息支付</t>
  </si>
  <si>
    <t>Dividendes communs versés</t>
  </si>
  <si>
    <t>优先股息支付</t>
  </si>
  <si>
    <t>優先股息支付</t>
  </si>
  <si>
    <t>Dividendes privilégiés versés</t>
  </si>
  <si>
    <t>普通股和/或优先股股息支付</t>
  </si>
  <si>
    <t>普通股和/或優先股股息支付</t>
  </si>
  <si>
    <t>Dividendes versés sur les actions ordinaires et/ou privilégiées</t>
  </si>
  <si>
    <t>普通株式にかかる配当金による支出</t>
  </si>
  <si>
    <t>Выплаченные дивиденды по обыкновенным акциям</t>
  </si>
  <si>
    <t>Dividendos comunes pagados</t>
  </si>
  <si>
    <t>優先株式にかかる配当金による支出</t>
  </si>
  <si>
    <t>Выплаченные дивиденды по привилегированным акциям</t>
  </si>
  <si>
    <t>Dividendos preferidos pagados</t>
  </si>
  <si>
    <t>支払われる普通株および/または優先株の配当</t>
  </si>
  <si>
    <t>Выплаченные дивиденды по обыкновенным и/или привилегированным акциям</t>
  </si>
  <si>
    <t>Dividendos de acciones ordinarias y/o preferidas pagadas</t>
  </si>
  <si>
    <t>Auf Stammmaktien gezahlte Dividenden</t>
  </si>
  <si>
    <t>Dividendi ordinari pagati</t>
  </si>
  <si>
    <t>Gezahlte Vorzugsdividenden</t>
  </si>
  <si>
    <t>Dividendi preferiti pagati</t>
  </si>
  <si>
    <t>Gezahlte Stamm- bzw. Vorzugsdividenden</t>
  </si>
  <si>
    <t>Dividendi ordinari e/o privilegiati pagati</t>
  </si>
  <si>
    <t>지급 보통 배당금</t>
  </si>
  <si>
    <t>지급 선호 배당금</t>
  </si>
  <si>
    <t>지급 보통주 및/또는 우선주 배당금</t>
  </si>
  <si>
    <t>已付特别股息</t>
  </si>
  <si>
    <t>已付特別股息</t>
  </si>
  <si>
    <t>Dividende spécial payé</t>
  </si>
  <si>
    <t>其他筹资活动</t>
  </si>
  <si>
    <t>其他籌資活動</t>
  </si>
  <si>
    <t>Autres activités de financement</t>
  </si>
  <si>
    <t>特別配当金による支出</t>
  </si>
  <si>
    <t>Специальный дивиденд, выплаченный</t>
  </si>
  <si>
    <t>Dividendo especial pagado</t>
  </si>
  <si>
    <t>その他財務活動によるキャッシュフロー</t>
  </si>
  <si>
    <t>Прочая финансовая деятельность</t>
  </si>
  <si>
    <t>Otras actividades de financiación</t>
  </si>
  <si>
    <t>Gezahlte Sonderdividenden</t>
  </si>
  <si>
    <t>Dividendi straordinari pagati</t>
  </si>
  <si>
    <t>Andere Finanzierungsaktivitäten</t>
  </si>
  <si>
    <t>Altre attività di finanziamento</t>
  </si>
  <si>
    <t>지급 특별 배당금</t>
  </si>
  <si>
    <t>기타 재무 활동</t>
  </si>
  <si>
    <t>杂项现金流量调整</t>
  </si>
  <si>
    <t>雜項現金流量調整</t>
  </si>
  <si>
    <t>Ajustements divers des flux de trésorerie</t>
  </si>
  <si>
    <t>現金及び現金同等物に係る換算差額</t>
  </si>
  <si>
    <t>Корректировки ставок обменного курса</t>
  </si>
  <si>
    <t>Ajustes de los tipos de cambio</t>
  </si>
  <si>
    <t>その他のキャッシュフロー調整</t>
  </si>
  <si>
    <t>Прочие корректировки денежных потоков</t>
  </si>
  <si>
    <t>Miscelaneos Ajustes del flujo de efectivo</t>
  </si>
  <si>
    <t>Sonstige Cashflow-Anpassungen</t>
  </si>
  <si>
    <t>Varie rettifiche flussi di cassa</t>
  </si>
  <si>
    <t>기타 현금흐름 조정</t>
  </si>
  <si>
    <t>现金及约当现金</t>
  </si>
  <si>
    <t>現金及約當現金</t>
  </si>
  <si>
    <t>Trésorerie et équivalents de trésorerie</t>
  </si>
  <si>
    <t>Bargelt und Zahlungsmitteläquivalente</t>
  </si>
  <si>
    <t>Disponibilità liquide e mezzi equivalenti</t>
  </si>
  <si>
    <t>現金同等物</t>
  </si>
  <si>
    <t>Денежные средства и их эквиваленты</t>
  </si>
  <si>
    <t>Efectivo y equivalentes al efectivo</t>
  </si>
  <si>
    <t>현금 및 현금성자산</t>
  </si>
  <si>
    <t>应收账款总额 </t>
  </si>
  <si>
    <t>應收賬款總額 </t>
  </si>
  <si>
    <t>Total Créances</t>
  </si>
  <si>
    <t>Forderungen insgesamt</t>
  </si>
  <si>
    <t>Totale crediti</t>
  </si>
  <si>
    <t>未収金合計</t>
  </si>
  <si>
    <t>Всего дебиторской задолженности</t>
  </si>
  <si>
    <t>Total de cuentas por cobrar</t>
  </si>
  <si>
    <t>미수금합계</t>
  </si>
  <si>
    <t>其他流动资产</t>
  </si>
  <si>
    <t>其他流動資産</t>
  </si>
  <si>
    <t>Autres actifs courants</t>
  </si>
  <si>
    <t>Sonstige kurzfristige Vermögenswerte</t>
  </si>
  <si>
    <t>Altre attività correnti</t>
  </si>
  <si>
    <t>その他の流動資産</t>
  </si>
  <si>
    <t>Другие текущие активы</t>
  </si>
  <si>
    <t>Otros activos corrientes</t>
  </si>
  <si>
    <t>기타 유동자산</t>
  </si>
  <si>
    <t>流动资产总额</t>
  </si>
  <si>
    <t>流動資産總額</t>
  </si>
  <si>
    <t>TOTAL DE L’ACTIF COURANT</t>
  </si>
  <si>
    <t>Kurzfristige Vermögenswerte insgesamt</t>
  </si>
  <si>
    <t>Totale attività correnti</t>
  </si>
  <si>
    <t>流動資産合計</t>
  </si>
  <si>
    <t>Всего текущих активов</t>
  </si>
  <si>
    <t>Total de activos corrientes</t>
  </si>
  <si>
    <t>총 유동자산</t>
  </si>
  <si>
    <t xml:space="preserve"> 房产, 厂房及设备净值</t>
  </si>
  <si>
    <t xml:space="preserve"> 房産, 廠房及設備淨值</t>
  </si>
  <si>
    <t>Immobilisations corporelles nettes</t>
  </si>
  <si>
    <t>Netto Sachanlagen</t>
  </si>
  <si>
    <t>Immobili, impianti e attrezzature netti</t>
  </si>
  <si>
    <t>純有形固定資産</t>
  </si>
  <si>
    <t>Чистые основные средства</t>
  </si>
  <si>
    <t>Propiedad, Planta y Equipo, neto</t>
  </si>
  <si>
    <t>순 고정자산</t>
  </si>
  <si>
    <t>Total de l'actif</t>
  </si>
  <si>
    <t>Gesamte Vermögenswerte</t>
  </si>
  <si>
    <t>Totale attività</t>
  </si>
  <si>
    <t>資産合計</t>
  </si>
  <si>
    <t>Всего активов</t>
  </si>
  <si>
    <t>Total de activos</t>
  </si>
  <si>
    <t>총 자산</t>
  </si>
  <si>
    <t>应付账款</t>
  </si>
  <si>
    <t>應付賬款</t>
  </si>
  <si>
    <t>Comptes fournisseurs</t>
  </si>
  <si>
    <t>Abbrechnungsverbindlichkeiten</t>
  </si>
  <si>
    <t>Conti debitori</t>
  </si>
  <si>
    <t>仕入債務</t>
  </si>
  <si>
    <t>Кредиторская задолженность</t>
  </si>
  <si>
    <t>Cuentas por pagar</t>
  </si>
  <si>
    <t xml:space="preserve">미지급금 </t>
  </si>
  <si>
    <t>长期债务(当期)</t>
  </si>
  <si>
    <t>長期債務(當期)</t>
  </si>
  <si>
    <t>Tranche à court terme de la dette à long terme</t>
  </si>
  <si>
    <t>Derzeitiger Teil der langfristigen Schulden</t>
  </si>
  <si>
    <t>Parte corrente del debito a lungo termine</t>
  </si>
  <si>
    <t>一年内償還予定の長期有利子負債</t>
  </si>
  <si>
    <t>Текущая часть долгосрочной задолженности</t>
  </si>
  <si>
    <t>Porción corriente de la deuda a largo plazo</t>
  </si>
  <si>
    <t>유동 장기부채</t>
  </si>
  <si>
    <t>其他流动负债</t>
  </si>
  <si>
    <t>其他流動負債</t>
  </si>
  <si>
    <t>Autres passifs à court terme</t>
  </si>
  <si>
    <t>Sonstige kurzfristige Verbindlichkeiten</t>
  </si>
  <si>
    <t>Altre passività correnti</t>
  </si>
  <si>
    <t>その他の流動負債</t>
  </si>
  <si>
    <t>Прочие текущие обязательства</t>
  </si>
  <si>
    <t>Otros pasivos corrientes</t>
  </si>
  <si>
    <t>기타 유동 부채</t>
  </si>
  <si>
    <t> 流动负债总额 </t>
  </si>
  <si>
    <t> 流動負債總額 </t>
  </si>
  <si>
    <t>Total des passifs à court terme</t>
  </si>
  <si>
    <t>Kurzfristige Verbindlichkeiten insgesamt</t>
  </si>
  <si>
    <t>Totale passività correnti</t>
  </si>
  <si>
    <t>流動負債合計</t>
  </si>
  <si>
    <t>Всего текущих обязательств</t>
  </si>
  <si>
    <t>Total pasivos corrientes</t>
  </si>
  <si>
    <t>총 유동 부채</t>
  </si>
  <si>
    <t>长期债务</t>
  </si>
  <si>
    <t>長期債務</t>
  </si>
  <si>
    <t>Dette à long terme</t>
  </si>
  <si>
    <t>Langfristige Schulden</t>
  </si>
  <si>
    <t>Debito a lungo termine</t>
  </si>
  <si>
    <t>長期有利子負債</t>
  </si>
  <si>
    <t>Долгосрочные обязательств</t>
  </si>
  <si>
    <t>Deuda a largo plazo</t>
  </si>
  <si>
    <t>长期租赁</t>
  </si>
  <si>
    <t>長期租賃</t>
  </si>
  <si>
    <t>Baux à long terme</t>
  </si>
  <si>
    <t>Langfristige Mietverträge</t>
  </si>
  <si>
    <t>Locazioni a lungo termine</t>
  </si>
  <si>
    <t>長期リース</t>
  </si>
  <si>
    <t>Долгосрочный лизинг</t>
  </si>
  <si>
    <t>Arrendamientos a largo plazo</t>
  </si>
  <si>
    <t>장기 리스</t>
  </si>
  <si>
    <t>其他非流动负债</t>
  </si>
  <si>
    <t>其他非流動負債</t>
  </si>
  <si>
    <t>AUTRES PASSIFS NON COURANTS</t>
  </si>
  <si>
    <t>Andere langfristige Verbindlichkeiten</t>
  </si>
  <si>
    <t>Altre passività non correnti</t>
  </si>
  <si>
    <t>その他固定負債</t>
  </si>
  <si>
    <t>Прочие внеоборотные обязательства</t>
  </si>
  <si>
    <t>Otros pasivos no corrientes</t>
  </si>
  <si>
    <t>기타 비유동부채</t>
  </si>
  <si>
    <t> 总负债 </t>
  </si>
  <si>
    <t> 總負債 </t>
  </si>
  <si>
    <t>Total Du Passif Avoir</t>
  </si>
  <si>
    <t>Verbindlichkeiten insgesamt</t>
  </si>
  <si>
    <t>Totale passività</t>
  </si>
  <si>
    <t>負債合計</t>
  </si>
  <si>
    <t>Всего обязательств</t>
  </si>
  <si>
    <t>Total de pasivos</t>
  </si>
  <si>
    <t>총 부채</t>
  </si>
  <si>
    <t>所得税费用</t>
  </si>
  <si>
    <t>所得稅費用</t>
  </si>
  <si>
    <t>Charge d'impôts sur les bénéfices</t>
  </si>
  <si>
    <t>Ertragsteueraufwand</t>
  </si>
  <si>
    <t>Imposte sul reddito</t>
  </si>
  <si>
    <t>税金費用（法人税等調整額含む）</t>
  </si>
  <si>
    <t>Расходы по подоходному налогу</t>
  </si>
  <si>
    <t>Gasto por impuesto a las ganancias</t>
  </si>
  <si>
    <t>법인세비용</t>
  </si>
  <si>
    <t>持续经营收入</t>
  </si>
  <si>
    <t>持續經營收入</t>
  </si>
  <si>
    <t>Bénéfice provenant des activités poursuivies</t>
  </si>
  <si>
    <t>Ergebnis aus fortgeführten Aktivitäten</t>
  </si>
  <si>
    <t>Risultato delle attività in funzionamento</t>
  </si>
  <si>
    <t>継続事業に掛かる当期純利益</t>
  </si>
  <si>
    <t>ПРИБЫЛЬ от продолжающейся деятельности</t>
  </si>
  <si>
    <t>Ingresos de operaciones continuadas</t>
  </si>
  <si>
    <t xml:space="preserve">계속사업이익 </t>
  </si>
  <si>
    <t xml:space="preserve">税前收益(包括非经常性项目) </t>
  </si>
  <si>
    <t xml:space="preserve">稅前收益(包括非經常性項目) </t>
  </si>
  <si>
    <t>EBT y compris élément exceptionnel</t>
  </si>
  <si>
    <t>EBT inklusive Ungewöhnliche Posten</t>
  </si>
  <si>
    <t>EBT (al lordo delle voci non ricorrenti)</t>
  </si>
  <si>
    <t>税引前当期純利益（特別損益調整後）</t>
  </si>
  <si>
    <t>EBT до вычета чрезвычайных статей</t>
  </si>
  <si>
    <t>Ganancias antes de impuestos, incluyendo partidas no recurrentes</t>
  </si>
  <si>
    <t>비정상적 항목을 포함한 EBT</t>
  </si>
  <si>
    <t>其他非经常性项目</t>
  </si>
  <si>
    <t>其他非經常性項目</t>
  </si>
  <si>
    <t>Autres éléments inhabituels</t>
  </si>
  <si>
    <t>Sonstige ungewöhnliche Posten</t>
  </si>
  <si>
    <t>Altre componenti non usuali</t>
  </si>
  <si>
    <t>その他営業外費用/特別損失</t>
  </si>
  <si>
    <t>Другие неординарные статьиДоля миноритариев в прибыли</t>
  </si>
  <si>
    <t>Otros artículos no habituales</t>
  </si>
  <si>
    <t>기타 특이 항목</t>
  </si>
  <si>
    <t>非经常项目和会计政策变更</t>
  </si>
  <si>
    <t>非經常項目和會計政策變化</t>
  </si>
  <si>
    <t>Postes extraordinaires et changement de comptabilité</t>
  </si>
  <si>
    <t>Außerordentliche Posten &amp; Buchführungsänderung</t>
  </si>
  <si>
    <t>Variazione componenti straordin. e conti</t>
  </si>
  <si>
    <t>その他異常損益項目</t>
  </si>
  <si>
    <t>Прочие расходы, включая налоги</t>
  </si>
  <si>
    <t>Artículos Extraordinarios y Modificaciones Contables</t>
  </si>
  <si>
    <t>특별 항목 및 계정 변경</t>
  </si>
  <si>
    <t>优先股股利及其他调整</t>
  </si>
  <si>
    <t>優先股股利及其他調整</t>
  </si>
  <si>
    <t>Dividendes préférentiels et autres ajustements</t>
  </si>
  <si>
    <t>Vorzugsdividenden und sonstige Bereinigungen</t>
  </si>
  <si>
    <t>Dividendi privil. e altre rettif.</t>
  </si>
  <si>
    <t>優先株式に対して支払う配当金額</t>
  </si>
  <si>
    <t xml:space="preserve">ОТЧЁТ О ДОХОДАХ </t>
  </si>
  <si>
    <t>Dividendos preferentes y otros ajustes</t>
  </si>
  <si>
    <t>우선 배당금 및 기타 조정</t>
  </si>
  <si>
    <t>普通股本净收入(包括非经常性项目)  </t>
  </si>
  <si>
    <t>普通股本淨收入(包括非經常性項目)  </t>
  </si>
  <si>
    <t>Bénéfice net pour les actions ordinaires y compris éléments supplémentaires</t>
  </si>
  <si>
    <t>Stammaktionären zur Verfügung stehendes Jahresergebnis Inklusive Sonderposten</t>
  </si>
  <si>
    <t>NI a ordinarie (al lordo delle voci non ricorrenti)</t>
  </si>
  <si>
    <t>当期純利益 (非継続事業からの損益等の異常項目を含む)</t>
  </si>
  <si>
    <t>Чистый доход к обыкновенным акциям, до вычета чрезвычайных статей</t>
  </si>
  <si>
    <t>Ingresos netos disponibles para los accionistas comunes incluyendo partidas extraordinarias</t>
  </si>
  <si>
    <t xml:space="preserve">보통주 귀속 당기순이익 (특별손익 포함) </t>
  </si>
  <si>
    <t>普通股本净收入(不包括非经常性项目) </t>
  </si>
  <si>
    <t>普通股本淨收入(不包括非經常性項目) </t>
  </si>
  <si>
    <t>Bénéfice net pour les actions ordinaires hors éléments supplémentaires</t>
  </si>
  <si>
    <t>Stammaktionären zur Verfügung stehendes Jahresergebnis ohne Sonderposten</t>
  </si>
  <si>
    <t>NI a ordinarie (al netto delle voci non ricorrenti)</t>
  </si>
  <si>
    <t>当期純利益 (非継続事業からの損益等の異常項目を除く)</t>
  </si>
  <si>
    <t>Чистый доход к обыкновенным акциям, за вычетом чрезвычайных статей</t>
  </si>
  <si>
    <t>Ingresos netos disponibles para los accionistas comunes excluyendo partidas extraordinarias</t>
  </si>
  <si>
    <t>보통주 귀속 당기순이익 (특별손익 제외)</t>
  </si>
  <si>
    <t>补充项目</t>
  </si>
  <si>
    <t>補充項目</t>
  </si>
  <si>
    <t>Points supplémentaires</t>
  </si>
  <si>
    <t>Zusätzliche Abrechnungsposten</t>
  </si>
  <si>
    <t>Componenti integrative</t>
  </si>
  <si>
    <t>注記項目</t>
  </si>
  <si>
    <t>Дополнительные статьи</t>
  </si>
  <si>
    <t>Artículos suplementarios</t>
  </si>
  <si>
    <t>보충 항목</t>
  </si>
  <si>
    <t>资产</t>
  </si>
  <si>
    <t>資產</t>
  </si>
  <si>
    <t>Actifs</t>
  </si>
  <si>
    <t>Aktiva</t>
  </si>
  <si>
    <t>Attività</t>
  </si>
  <si>
    <t>資産</t>
  </si>
  <si>
    <t>Активы</t>
  </si>
  <si>
    <t>Activos</t>
  </si>
  <si>
    <t>자산</t>
  </si>
  <si>
    <t>短期投资</t>
  </si>
  <si>
    <t>短期投資</t>
  </si>
  <si>
    <t>Investissements à court terme</t>
  </si>
  <si>
    <t>Kurzfristige Investitionen</t>
  </si>
  <si>
    <t>Investimenti a breve termine</t>
  </si>
  <si>
    <t>有価証券</t>
  </si>
  <si>
    <t>Краткосрочные инвестиции</t>
  </si>
  <si>
    <t>Inversiones a corto plazo</t>
  </si>
  <si>
    <t>단기 투자</t>
  </si>
  <si>
    <t>总现金及短期投资</t>
  </si>
  <si>
    <t>總現金及短期投資</t>
  </si>
  <si>
    <t>Total Cash &amp; ST Investissements</t>
  </si>
  <si>
    <t>Bargeld &amp; ST-Investitionen insgesamt</t>
  </si>
  <si>
    <t>Totale cassa ed investimenti a breve termine</t>
  </si>
  <si>
    <t>現金及び短期投資</t>
  </si>
  <si>
    <t>Всего Денежных средств и краткосрочных вложений</t>
  </si>
  <si>
    <t>Total efectivo e inversiones a corto plazo</t>
  </si>
  <si>
    <t>총 현금 및 단기 금융상품</t>
  </si>
  <si>
    <t>应收账款</t>
  </si>
  <si>
    <t>應收賬款</t>
  </si>
  <si>
    <t>Comptes d'encaissement créditeurs</t>
  </si>
  <si>
    <t>Forderungen</t>
  </si>
  <si>
    <t>Crediti verso clienti</t>
  </si>
  <si>
    <t>売掛金</t>
  </si>
  <si>
    <t>Дебиторская задолженность</t>
  </si>
  <si>
    <t>Cuentas por cobrar</t>
  </si>
  <si>
    <t>매출채권</t>
  </si>
  <si>
    <t>其他应收账款</t>
  </si>
  <si>
    <t>其他應收款</t>
  </si>
  <si>
    <t>Autres créances</t>
  </si>
  <si>
    <t>Sonstige Forderungen</t>
  </si>
  <si>
    <t>Altri crediti</t>
  </si>
  <si>
    <t>その他手形</t>
  </si>
  <si>
    <t>Прочая дебиторская задолженность</t>
  </si>
  <si>
    <t>Otras cuentas por cobrar</t>
  </si>
  <si>
    <t>기타 미수금</t>
  </si>
  <si>
    <t>应收票据</t>
  </si>
  <si>
    <t>應收票據</t>
  </si>
  <si>
    <t>Effets à recevoir</t>
  </si>
  <si>
    <t>Wechselforderungen</t>
  </si>
  <si>
    <t>Titoli da ricevere</t>
  </si>
  <si>
    <t>受取手形</t>
  </si>
  <si>
    <t>Дебиторские векселя</t>
  </si>
  <si>
    <t>Notas por cobrar</t>
  </si>
  <si>
    <t>수취어음</t>
  </si>
  <si>
    <t>存货</t>
  </si>
  <si>
    <t>存貨</t>
  </si>
  <si>
    <t>État des stocks</t>
  </si>
  <si>
    <t>Lagerbestand</t>
  </si>
  <si>
    <t>Inventario</t>
  </si>
  <si>
    <t>棚卸資産</t>
  </si>
  <si>
    <t>Запасы</t>
  </si>
  <si>
    <t>재고자산</t>
  </si>
  <si>
    <t>预付费用</t>
  </si>
  <si>
    <t>預付費用</t>
  </si>
  <si>
    <t>Frais payés d'avance</t>
  </si>
  <si>
    <t>Rechnungsabgrenzungsposten</t>
  </si>
  <si>
    <t>Risconti attivi</t>
  </si>
  <si>
    <t>前払費用</t>
  </si>
  <si>
    <t>Предоплаченные расходы</t>
  </si>
  <si>
    <t>Gastos prepagados</t>
  </si>
  <si>
    <t>선불 비용</t>
  </si>
  <si>
    <t>房地产, 厂房及设备总值</t>
  </si>
  <si>
    <t>總地產,工廠及設備</t>
  </si>
  <si>
    <t>Immobilisations corporelles brutes</t>
  </si>
  <si>
    <t>Anlagevermögen</t>
  </si>
  <si>
    <t>Immobili, impianti e macchinari, lordi</t>
  </si>
  <si>
    <t>有形固定資産（総額）</t>
  </si>
  <si>
    <t>Валовые основные средства</t>
  </si>
  <si>
    <t>Propiedad, planta y equipo brutos</t>
  </si>
  <si>
    <t>총 부동산, 플랜트 및 장비</t>
  </si>
  <si>
    <t>累积折旧</t>
  </si>
  <si>
    <t>累積折舊</t>
  </si>
  <si>
    <t>Amortissement cumulé</t>
  </si>
  <si>
    <t>Aufgelaufene Abschreibungen</t>
  </si>
  <si>
    <t>Fondo ammortamenti</t>
  </si>
  <si>
    <t>減価償却費累計額</t>
  </si>
  <si>
    <t>Накопленная амортизация</t>
  </si>
  <si>
    <t>Depreciación acumulada</t>
  </si>
  <si>
    <t>감가상각누계</t>
  </si>
  <si>
    <t>长期投资</t>
  </si>
  <si>
    <t>長期投資</t>
  </si>
  <si>
    <t>Investissement à long terme</t>
  </si>
  <si>
    <t>Langfristige Beteiligungen</t>
  </si>
  <si>
    <t>Investimenti a lungo termine</t>
  </si>
  <si>
    <t xml:space="preserve">Долгосрочные вложения </t>
  </si>
  <si>
    <t>Inversiones a largo plazo</t>
  </si>
  <si>
    <t xml:space="preserve">장기 금융상품 </t>
  </si>
  <si>
    <t>商誉</t>
  </si>
  <si>
    <t>商譽</t>
  </si>
  <si>
    <t>Fonds de commerce</t>
  </si>
  <si>
    <t>Avviamento</t>
  </si>
  <si>
    <t>のれん</t>
  </si>
  <si>
    <t xml:space="preserve">Гудвилл </t>
  </si>
  <si>
    <t>Fondo de Comercio</t>
  </si>
  <si>
    <t>영업권</t>
  </si>
  <si>
    <t>其他无形资产</t>
  </si>
  <si>
    <t>其他無形資產</t>
  </si>
  <si>
    <t>Autres actifs incorporels</t>
  </si>
  <si>
    <t>Sonstige Immaterielle Anlagewerte</t>
  </si>
  <si>
    <t>Altre attività immateriali</t>
  </si>
  <si>
    <t>その他無形固定資産</t>
  </si>
  <si>
    <t>Другие нематериальные активы</t>
  </si>
  <si>
    <t>Otros intangibles</t>
  </si>
  <si>
    <t>기타 무형자산</t>
  </si>
  <si>
    <t>长期递延所得税资产</t>
  </si>
  <si>
    <t>長期遞延所得稅資產</t>
  </si>
  <si>
    <t>Actifs d'impôt différé, à long terme</t>
  </si>
  <si>
    <t>Latente Steuerforderungen, langfristig</t>
  </si>
  <si>
    <t>Imposte differite attive, lungo termine</t>
  </si>
  <si>
    <t>繰延税金資産（長期）</t>
  </si>
  <si>
    <t>Отложенные налоговые активы, долгосрочные</t>
  </si>
  <si>
    <t>Activos de impuestos diferidos, a largo plazo</t>
  </si>
  <si>
    <t>이연세금 자산, LT</t>
  </si>
  <si>
    <t>长期递延费用</t>
  </si>
  <si>
    <t>長期遞延費用</t>
  </si>
  <si>
    <t>Charges différées, à long terme</t>
  </si>
  <si>
    <t>Abgrenzungsposten, langfristig</t>
  </si>
  <si>
    <t>Costi differiti, lungo termine</t>
  </si>
  <si>
    <t>繰延資産</t>
  </si>
  <si>
    <t>Отложенные платежи, долгосрочные</t>
  </si>
  <si>
    <t>Cargos diferidos, a largo plazo</t>
  </si>
  <si>
    <t>거치비용, LT</t>
  </si>
  <si>
    <t>其他长期资产</t>
  </si>
  <si>
    <t>其他長期資産</t>
  </si>
  <si>
    <t>Autres actifs à long terme</t>
  </si>
  <si>
    <t>Sonstige Langfristige Beteiligungen</t>
  </si>
  <si>
    <t>Altre attività a lungo termine</t>
  </si>
  <si>
    <t>その他固定資産</t>
  </si>
  <si>
    <t>Прочие долгосрочные активы</t>
  </si>
  <si>
    <t>Otros activos a largo plazo</t>
  </si>
  <si>
    <t>기타장기자산</t>
  </si>
  <si>
    <t>负债</t>
  </si>
  <si>
    <t>負債</t>
  </si>
  <si>
    <t>Passifs</t>
  </si>
  <si>
    <t>Passiva</t>
  </si>
  <si>
    <t>Passività</t>
  </si>
  <si>
    <t>Обязательства</t>
  </si>
  <si>
    <t>Pasivos</t>
  </si>
  <si>
    <t>부채</t>
  </si>
  <si>
    <t>应计费用</t>
  </si>
  <si>
    <t>應計費用</t>
  </si>
  <si>
    <t>Frais courus</t>
  </si>
  <si>
    <t>Angefallene Kosten</t>
  </si>
  <si>
    <t>Ratei passivi</t>
  </si>
  <si>
    <t>未払費用</t>
  </si>
  <si>
    <t>Начисленные расходы</t>
  </si>
  <si>
    <t>Gastos acumulados</t>
  </si>
  <si>
    <t>누적 비용</t>
  </si>
  <si>
    <t>短期借贷</t>
  </si>
  <si>
    <t>短期借貸</t>
  </si>
  <si>
    <t>Emprunts à court terme</t>
  </si>
  <si>
    <t>Kurzfristige Darlehen</t>
  </si>
  <si>
    <t>Finanziamenti a breve termine</t>
  </si>
  <si>
    <t>短期借入金</t>
  </si>
  <si>
    <t>Краткосрочные кредиты</t>
  </si>
  <si>
    <t>Préstamos a corto plazo</t>
  </si>
  <si>
    <t>단기차입금</t>
  </si>
  <si>
    <t>应付所得税(当期)</t>
  </si>
  <si>
    <t>應付所得稅(當期)</t>
  </si>
  <si>
    <t>Impôts courants sur le revenu à payer</t>
  </si>
  <si>
    <t>Kurzfristige Ertragssteuerverbindlichkeiten</t>
  </si>
  <si>
    <t>Imposte sul reddito corr. dovute</t>
  </si>
  <si>
    <t>短期未払法人税・住民税・事業税等</t>
  </si>
  <si>
    <t>Текущий подоходный налог подлежащий уплате</t>
  </si>
  <si>
    <t>Impuestos actuales sobre la renta a pagar</t>
  </si>
  <si>
    <t>LT 채무/리스의 미지급소득세</t>
  </si>
  <si>
    <t>预收收入(当期)</t>
  </si>
  <si>
    <t>預收收入(當期)</t>
  </si>
  <si>
    <t>Recettes non acquises, courant</t>
  </si>
  <si>
    <t>Nicht geleisteter Umsatz, kurzfristig</t>
  </si>
  <si>
    <t>Ricavi non acquisti, correnti</t>
  </si>
  <si>
    <t>短期前受収益</t>
  </si>
  <si>
    <t>Незаработанный доход, текущий</t>
  </si>
  <si>
    <t>Ingresos no devengados, actuales</t>
  </si>
  <si>
    <t>선수수익, 현재</t>
  </si>
  <si>
    <t>退休金及其他退休后利益</t>
  </si>
  <si>
    <t>退休金及其他退休後利益</t>
  </si>
  <si>
    <t>Pensions et autres bénéfices post-retraite</t>
  </si>
  <si>
    <t>Pensionen und sonstige Ruhestandsvereinbarungen</t>
  </si>
  <si>
    <t>Benefici pensionistici e altri benefici post-pensionamento</t>
  </si>
  <si>
    <t>退職給付引当金</t>
  </si>
  <si>
    <t>Пенсионные и другие послепенсионные пособия</t>
  </si>
  <si>
    <t>Pensión y otras prestaciones posteriores a la jubilación</t>
  </si>
  <si>
    <t>연금 및 기타 퇴직후 혜택</t>
  </si>
  <si>
    <t>非短期递延所得税负债</t>
  </si>
  <si>
    <t>非短期遞延所得稅負債</t>
  </si>
  <si>
    <t>Obligation fiscale différée, non courante.</t>
  </si>
  <si>
    <t>Latente Steuerverpflichtung, langfristig</t>
  </si>
  <si>
    <t>Passiv. fiscali differite, non corr.</t>
  </si>
  <si>
    <t>繰延税金負債（長期）</t>
  </si>
  <si>
    <t>Обязательства по отсроченному налогообложению, долгосрочные.</t>
  </si>
  <si>
    <t>Responsabilidad fiscal diferida, no corriente.</t>
  </si>
  <si>
    <t>이연세금 책임, 비유동</t>
  </si>
  <si>
    <t>普通股</t>
  </si>
  <si>
    <t>Actions ordinaires</t>
  </si>
  <si>
    <t>Stammaktien</t>
  </si>
  <si>
    <t>Azioni ordinarie</t>
  </si>
  <si>
    <t>普通株</t>
  </si>
  <si>
    <t>Обыкновенные акции</t>
  </si>
  <si>
    <t>Acciones Comunes</t>
  </si>
  <si>
    <t>보통주</t>
  </si>
  <si>
    <t>额外实收资本</t>
  </si>
  <si>
    <t>額外實收資本</t>
  </si>
  <si>
    <t>Capital supplémentaire versé</t>
  </si>
  <si>
    <t>Zusätzlich eingezahltes Kapital</t>
  </si>
  <si>
    <t>Capitale versato aggiuntivo</t>
  </si>
  <si>
    <t>資本剰余金</t>
  </si>
  <si>
    <t>Дополнительный оплачиваемый капитал</t>
  </si>
  <si>
    <t>Capital adicional pagado</t>
  </si>
  <si>
    <t>추가 납입자본</t>
  </si>
  <si>
    <t>保留盈利</t>
  </si>
  <si>
    <t>Bénéfices non distribués</t>
  </si>
  <si>
    <t>Einbehaltene Gewinne</t>
  </si>
  <si>
    <t>Utili non distribuiti</t>
  </si>
  <si>
    <t>自己留保</t>
  </si>
  <si>
    <t>Нераспределенная прибыль</t>
  </si>
  <si>
    <t>Ganancias retenidas</t>
  </si>
  <si>
    <t>유보 이익</t>
  </si>
  <si>
    <t>综合收益和其他</t>
  </si>
  <si>
    <t>綜合收益和其他</t>
  </si>
  <si>
    <t>Résultat global et autres</t>
  </si>
  <si>
    <t>Konzerngesamtergebnis und Sonstige</t>
  </si>
  <si>
    <t>Altre componenti reddituali</t>
  </si>
  <si>
    <t>その他株主資本</t>
  </si>
  <si>
    <t>Полный доход и прочие</t>
  </si>
  <si>
    <t>Ingresos comprensivos y otros</t>
  </si>
  <si>
    <t>종합 Inc. 및 기타</t>
  </si>
  <si>
    <t> 普通股总数</t>
  </si>
  <si>
    <t> 普通股總數</t>
  </si>
  <si>
    <t>Total des capitaux propres ordinaires</t>
  </si>
  <si>
    <t>Eigenkapital insgesamt</t>
  </si>
  <si>
    <t>Totale capitale primario</t>
  </si>
  <si>
    <t>株主資本</t>
  </si>
  <si>
    <t>Всего обыкновенных акций</t>
  </si>
  <si>
    <t>Total de acciones comunes</t>
  </si>
  <si>
    <t>총 보통주</t>
  </si>
  <si>
    <t>总权益</t>
  </si>
  <si>
    <t>總權益</t>
  </si>
  <si>
    <t>Total des capitaux propres</t>
  </si>
  <si>
    <t>Gesamtes Eigenmittel</t>
  </si>
  <si>
    <t>Totale patrimonio</t>
  </si>
  <si>
    <t>純資産</t>
  </si>
  <si>
    <t>Всего собственного капитала</t>
  </si>
  <si>
    <t>Total de patrimonio</t>
  </si>
  <si>
    <t>자본총계</t>
  </si>
  <si>
    <t>总负债和总权益 </t>
  </si>
  <si>
    <t>總負債和總權益 </t>
  </si>
  <si>
    <t>TOTAL DU PASSIF ET DE L'AVOIR</t>
  </si>
  <si>
    <t>Gesamtverbindlichkeiten und Eigenkapital</t>
  </si>
  <si>
    <t>Totale passività e equity</t>
  </si>
  <si>
    <t>総負債及び資本合計</t>
  </si>
  <si>
    <t>Всего обязательств и собственного капитала</t>
  </si>
  <si>
    <t>Total de pasivos y patrimonio</t>
  </si>
  <si>
    <t>총 부채 및 자본</t>
  </si>
  <si>
    <t>原材料存货</t>
  </si>
  <si>
    <t>原材料存貨</t>
  </si>
  <si>
    <t>Inventaire des matières premières</t>
  </si>
  <si>
    <t>Rohstoffbestand</t>
  </si>
  <si>
    <t>Scorte materie prime</t>
  </si>
  <si>
    <t>原材料</t>
  </si>
  <si>
    <t xml:space="preserve">Инвентаризация сырья </t>
  </si>
  <si>
    <t>Inventario de materias primas</t>
  </si>
  <si>
    <t>원자재 재고자산</t>
  </si>
  <si>
    <t>在产品存货</t>
  </si>
  <si>
    <t>在製品存貨</t>
  </si>
  <si>
    <t>Inventaire des travaux en cours</t>
  </si>
  <si>
    <t>Umlaufbestand</t>
  </si>
  <si>
    <t>Scorte prodotti in corso di lavorazione</t>
  </si>
  <si>
    <t>仕掛品</t>
  </si>
  <si>
    <t>Инвентаризация незавершенного производства</t>
  </si>
  <si>
    <t>Inventario de trabajos en curso</t>
  </si>
  <si>
    <t>재공품 재고자산</t>
  </si>
  <si>
    <t>制成品存货</t>
  </si>
  <si>
    <t>製成品存貨</t>
  </si>
  <si>
    <t>Inventaire des produits finis</t>
  </si>
  <si>
    <t>Fertigwarenlager</t>
  </si>
  <si>
    <t>Scorte prodotti finiti</t>
  </si>
  <si>
    <t>製品・商品</t>
  </si>
  <si>
    <t>Инвентаризация готовой продукции</t>
  </si>
  <si>
    <t>Inventario de productos terminados</t>
  </si>
  <si>
    <t>완제품 재고자산</t>
  </si>
  <si>
    <t>其他存货户口</t>
  </si>
  <si>
    <t>其他存貨戶口</t>
  </si>
  <si>
    <t>Autres comptes d'inventaire</t>
  </si>
  <si>
    <t>Sonstige Bestandskonten</t>
  </si>
  <si>
    <t>Altri conti di inventario</t>
  </si>
  <si>
    <t>その他棚卸資産</t>
  </si>
  <si>
    <t>Прочие инвентарные счета</t>
  </si>
  <si>
    <t>Otras cuentas de inventario</t>
  </si>
  <si>
    <t>기타 재고 계정</t>
  </si>
  <si>
    <t>土地</t>
  </si>
  <si>
    <t>Terrain</t>
  </si>
  <si>
    <t>Terreni</t>
  </si>
  <si>
    <t>Земля</t>
  </si>
  <si>
    <t>Tierra</t>
  </si>
  <si>
    <t>토지</t>
  </si>
  <si>
    <t>建筑物</t>
  </si>
  <si>
    <t>建築物</t>
  </si>
  <si>
    <t>Bâtiments</t>
  </si>
  <si>
    <t>Gebäude</t>
  </si>
  <si>
    <t>Fabbricati</t>
  </si>
  <si>
    <t>建物</t>
  </si>
  <si>
    <t>Здания</t>
  </si>
  <si>
    <t>Edificios</t>
  </si>
  <si>
    <t>건물</t>
  </si>
  <si>
    <t>机器</t>
  </si>
  <si>
    <t>機器</t>
  </si>
  <si>
    <t>Machines</t>
  </si>
  <si>
    <t>Ausrüstung</t>
  </si>
  <si>
    <t>Macchinari</t>
  </si>
  <si>
    <t>機械</t>
  </si>
  <si>
    <t>Оборудование</t>
  </si>
  <si>
    <t>Maquinaria</t>
  </si>
  <si>
    <t>기계</t>
  </si>
  <si>
    <t>全职员工人数</t>
  </si>
  <si>
    <t>全職員工人數</t>
  </si>
  <si>
    <t>Employés à plein temps</t>
  </si>
  <si>
    <t>Vollzeitbeschäftigte</t>
  </si>
  <si>
    <t>Dipendenti a tempo pieno</t>
  </si>
  <si>
    <t>正規の従業員数</t>
  </si>
  <si>
    <t>Постоянные сотрудники</t>
  </si>
  <si>
    <t>Empleados a tiempo completo</t>
  </si>
  <si>
    <t>정규직 종업원</t>
  </si>
  <si>
    <t>KENNZAHLEN</t>
  </si>
  <si>
    <t>COEFFICIENTI</t>
  </si>
  <si>
    <t>財務レシオ</t>
  </si>
  <si>
    <t>КОЭФФИЦИЕНТЫ</t>
  </si>
  <si>
    <t>利润分析</t>
  </si>
  <si>
    <t>利潤分析</t>
  </si>
  <si>
    <t>Analyse de marge</t>
  </si>
  <si>
    <t>Margenanalyse</t>
  </si>
  <si>
    <t>Analisi del margine</t>
  </si>
  <si>
    <t>マージン分析</t>
  </si>
  <si>
    <t>Анализ маржи</t>
  </si>
  <si>
    <t>Análisis de margen</t>
  </si>
  <si>
    <t>마진 분석</t>
  </si>
  <si>
    <t>毛利率 (%)</t>
  </si>
  <si>
    <t>Marge brute (%)</t>
  </si>
  <si>
    <t>Brutto-Marge (%)</t>
  </si>
  <si>
    <t>Margine lordo (%)</t>
  </si>
  <si>
    <t>売上総利益率 (%)</t>
  </si>
  <si>
    <t>Валовая маржа (%)</t>
  </si>
  <si>
    <t>Margen bruto (%)</t>
  </si>
  <si>
    <t>매출총이익(%)</t>
  </si>
  <si>
    <t>净收益率 (%)</t>
  </si>
  <si>
    <t>淨收益率 (%)</t>
  </si>
  <si>
    <t>Marge de bénéfice net (%)</t>
  </si>
  <si>
    <t>Marge auf das Nettoergebnis (%)</t>
  </si>
  <si>
    <t>Margine risultato netto (%)</t>
  </si>
  <si>
    <t>純利益率 (%)</t>
  </si>
  <si>
    <t>Маржа чистой прибыли (%)</t>
  </si>
  <si>
    <t>Margen de beneficios netos (%)</t>
  </si>
  <si>
    <t>순 소득 마진(%)</t>
  </si>
  <si>
    <t>资产周转率</t>
  </si>
  <si>
    <t>資產周轉率</t>
  </si>
  <si>
    <t>Rotation des actifs</t>
  </si>
  <si>
    <t>Kapitalumschlag</t>
  </si>
  <si>
    <t>Indice di rotazione dell'attivo</t>
  </si>
  <si>
    <t>資産回転率</t>
  </si>
  <si>
    <t xml:space="preserve">Оборот активов </t>
  </si>
  <si>
    <t>Rotación de activos</t>
  </si>
  <si>
    <t>자산회전율</t>
  </si>
  <si>
    <t>总资产周转率</t>
  </si>
  <si>
    <t>總資産周轉率</t>
  </si>
  <si>
    <t>Chiffre d'affaires total</t>
  </si>
  <si>
    <t>Umsatz von Gesamtvermögen</t>
  </si>
  <si>
    <t>Fatturato totale delle attività</t>
  </si>
  <si>
    <t>総資産回転率</t>
  </si>
  <si>
    <t>Всего оборот активов</t>
  </si>
  <si>
    <t>Rotación total de activos</t>
  </si>
  <si>
    <t>총자산회전율</t>
  </si>
  <si>
    <t>固定资产周转率</t>
  </si>
  <si>
    <t>固定資産周轉率</t>
  </si>
  <si>
    <t>Chiffre d'affaires des immobilisations</t>
  </si>
  <si>
    <t>Umsatz von Anlagevermögen</t>
  </si>
  <si>
    <t>Fatturato delle immobilizzazioni</t>
  </si>
  <si>
    <t>固定資産回転率</t>
  </si>
  <si>
    <t>Оборот основных активов</t>
  </si>
  <si>
    <t>Rotación de activos fijos</t>
  </si>
  <si>
    <t>고정자산회전율</t>
  </si>
  <si>
    <t>存货周转率</t>
  </si>
  <si>
    <t>存貨周轉率</t>
  </si>
  <si>
    <t>Chiffre d'affaires des stocks</t>
  </si>
  <si>
    <t>Umsatz von Vorratsbestand</t>
  </si>
  <si>
    <t>Fatturato di inventario</t>
  </si>
  <si>
    <t>棚卸資産回転率</t>
  </si>
  <si>
    <t>Оборачиваемость запасов</t>
  </si>
  <si>
    <t>Rotación del inventario</t>
  </si>
  <si>
    <t>재고자산회전율</t>
  </si>
  <si>
    <t>短期流动性</t>
  </si>
  <si>
    <t>短期流動性</t>
  </si>
  <si>
    <t>Liquidité à court terme</t>
  </si>
  <si>
    <t>Kurzfristige Liquidität</t>
  </si>
  <si>
    <t>Disponibilità finanziarie a breve termine</t>
  </si>
  <si>
    <t>Краткосрочная ликвидность</t>
  </si>
  <si>
    <t>Liquidez a corto plazo</t>
  </si>
  <si>
    <t>단기 유동성 지표</t>
  </si>
  <si>
    <t>流动比率</t>
  </si>
  <si>
    <t>流動比率</t>
  </si>
  <si>
    <t>Ratio actuel</t>
  </si>
  <si>
    <t>Aktuelles Kennzahl</t>
  </si>
  <si>
    <t>Rapporto attuale</t>
  </si>
  <si>
    <t>Коэффициент текущей ликвидности</t>
  </si>
  <si>
    <t>Ratio corriente</t>
  </si>
  <si>
    <t>유동비율</t>
  </si>
  <si>
    <t>速动比率</t>
  </si>
  <si>
    <t>速動比率</t>
  </si>
  <si>
    <t>Ratio de liquidité</t>
  </si>
  <si>
    <t>Liquiditätskennzahl</t>
  </si>
  <si>
    <t>Rapporto rapido</t>
  </si>
  <si>
    <t>当座比率</t>
  </si>
  <si>
    <t>Коэффициент быстрой ликвидности</t>
  </si>
  <si>
    <t>Prueba ácida</t>
  </si>
  <si>
    <t>당좌 비율</t>
  </si>
  <si>
    <t>长期偿付能力</t>
  </si>
  <si>
    <t>長期償付能力</t>
  </si>
  <si>
    <t>Solvabilité à long terme</t>
  </si>
  <si>
    <t>Langfristige Zahlungsfähigkeit</t>
  </si>
  <si>
    <t>Solvenza a lungo termine</t>
  </si>
  <si>
    <t>長期ソルベンシー</t>
  </si>
  <si>
    <t>Долгосрочная платежеспособность</t>
  </si>
  <si>
    <t>Solvencia a largo plazo</t>
  </si>
  <si>
    <t>장기 유동성  지표</t>
  </si>
  <si>
    <t>平均销售周转天数</t>
  </si>
  <si>
    <t>平均銷售周轉天數</t>
  </si>
  <si>
    <t>Délai moyen de recouvrement des créances</t>
  </si>
  <si>
    <t>Durchschnittliche Anzahl der ausstehenden Verkaufstage</t>
  </si>
  <si>
    <t>Giorni medi di vendite in essere</t>
  </si>
  <si>
    <t>売上債権　回転日数</t>
  </si>
  <si>
    <t>Среднее количество дней оборачиваемости продаж.</t>
  </si>
  <si>
    <t>Período medio de cobro en días</t>
  </si>
  <si>
    <t>평균 매출채권회수기간</t>
  </si>
  <si>
    <t>平均存货周转天数</t>
  </si>
  <si>
    <t>平均存貨周轉天數</t>
  </si>
  <si>
    <t>Nombre moyen de jours d'inventaire en suspens</t>
  </si>
  <si>
    <t>Durchschnittliche Anzahl der ausstehenden Lagerbestände</t>
  </si>
  <si>
    <t>Giorni medi di inventario in essere</t>
  </si>
  <si>
    <t>棚卸資産　回転日数</t>
  </si>
  <si>
    <t xml:space="preserve">Среднее количество дней оборачиваемости товарных запасов </t>
  </si>
  <si>
    <t>Periodo medio de rotación del inventario en días</t>
  </si>
  <si>
    <t xml:space="preserve">평균 재고자산 회전기간 </t>
  </si>
  <si>
    <t>平均应付账款周转天数</t>
  </si>
  <si>
    <t>平均應付賬款周轉天數</t>
  </si>
  <si>
    <t>Nombre moyen de jours de retard de paiement</t>
  </si>
  <si>
    <t>Durchschnittliche Tage ausstehender Verbindlichkeiten</t>
  </si>
  <si>
    <t>Media giorni debiti in essere</t>
  </si>
  <si>
    <t>平均買掛金回転日数</t>
  </si>
  <si>
    <t>Среднее количество дней к оплате</t>
  </si>
  <si>
    <t>Promedio de días de pago pendientes</t>
  </si>
  <si>
    <t>평균 매입 채무 회전일</t>
  </si>
  <si>
    <t>平均现金循环周期</t>
  </si>
  <si>
    <t>平均現金循環周期</t>
  </si>
  <si>
    <t>Cycle moyen de conversion des espèces</t>
  </si>
  <si>
    <t>Durchschnittlicher Barumwandlungszyklus</t>
  </si>
  <si>
    <t>Ciclo medio di conversione di cassa</t>
  </si>
  <si>
    <t>Средний цикл конверсии наличных денежных средств</t>
  </si>
  <si>
    <t>Ciclo de conversión del efectivo promedio</t>
  </si>
  <si>
    <t xml:space="preserve">평균 현금전환주기 </t>
  </si>
  <si>
    <t>同比增长</t>
  </si>
  <si>
    <t>同比增長</t>
  </si>
  <si>
    <t>Croissance par rapport à l'année précédente</t>
  </si>
  <si>
    <t>Wachstum gegenüber dem Vorjahr</t>
  </si>
  <si>
    <t>Crescita rispetto all'anno precedente</t>
  </si>
  <si>
    <t>成長率(前年同期比較)</t>
  </si>
  <si>
    <t>Рост за предыдущий год</t>
  </si>
  <si>
    <t>Crecimiento con respecto al año anterior</t>
  </si>
  <si>
    <t xml:space="preserve">전년도 대비 성장률 </t>
  </si>
  <si>
    <t>总收入 (%)</t>
  </si>
  <si>
    <t>總收入 (%)</t>
  </si>
  <si>
    <t>Revenus totaux (%)</t>
  </si>
  <si>
    <t>Gesamtumsatz (%)</t>
  </si>
  <si>
    <t>Totale ricavi (%)</t>
  </si>
  <si>
    <t>売上高 (%)</t>
  </si>
  <si>
    <t>Общая выручка (%)</t>
  </si>
  <si>
    <t>Ingresos totales (%)</t>
  </si>
  <si>
    <t>총수입(%)</t>
  </si>
  <si>
    <t>毛利 (%)</t>
  </si>
  <si>
    <t>Rohgewinn (%)</t>
  </si>
  <si>
    <t>Utile lordo (%)</t>
  </si>
  <si>
    <t>売上総利益 (%)</t>
  </si>
  <si>
    <t>Валовая прибыль (%)</t>
  </si>
  <si>
    <t>Ganancia bruta (%)</t>
  </si>
  <si>
    <t>净收入 (%)</t>
  </si>
  <si>
    <t>淨收入 (%)</t>
  </si>
  <si>
    <t>Revenu net (%)</t>
  </si>
  <si>
    <t>Nettoergebnis (%)</t>
  </si>
  <si>
    <t>Risultato netto (%)</t>
  </si>
  <si>
    <t>当期純利益 (%)</t>
  </si>
  <si>
    <t>Чистая прибыль (%)</t>
  </si>
  <si>
    <t>Ingresos netos (%)</t>
  </si>
  <si>
    <t>순 소득(%)</t>
  </si>
  <si>
    <t>复合年均增长率 CAGR (3年)</t>
  </si>
  <si>
    <t>複合年均增長率 CAGR (3年)</t>
  </si>
  <si>
    <t>TCAM (3 ANS)</t>
  </si>
  <si>
    <t>CAGR (3 JAHRE)</t>
  </si>
  <si>
    <t>Tasso crescita annuale composto (3 ESER.)</t>
  </si>
  <si>
    <t>平均年間成長率 (3年)</t>
  </si>
  <si>
    <t>среднегодовой темп роста (3 ГОДА)</t>
  </si>
  <si>
    <t>Tasa de crecimiento compuesto (3 AÑOS)</t>
  </si>
  <si>
    <t>연평균 성장률(CAGR)(3년)</t>
  </si>
  <si>
    <t>资料来源: S&amp;P Capital IQ</t>
  </si>
  <si>
    <t>資料來源: S&amp;P Capital IQ</t>
  </si>
  <si>
    <t>Source : S&amp;P Capital IQ</t>
  </si>
  <si>
    <t>Quelle: S&amp;P Capital IQ</t>
  </si>
  <si>
    <t>Fonte: S&amp;P Capital IQ</t>
  </si>
  <si>
    <t>出所：S&amp;P Capital IQ</t>
  </si>
  <si>
    <t>Источник: S&amp;P Capital IQ</t>
  </si>
  <si>
    <t>Fuente: S&amp;P Capital IQ</t>
  </si>
  <si>
    <t>출처: S&amp;P Capital IQ</t>
  </si>
  <si>
    <t>版权所有 © 2019 S&amp;P Global Market Intelligence LLC（及其附属公司，如适用） - 保留所有权利。本模型和/或其中的任何数据均是依据 S&amp;P Global Market Intelligence LLC 就本模型应用的订阅服务签订的书面协议而提供。</t>
  </si>
  <si>
    <t>著作權 © 2019 S&amp;P Global Market Intelligence LLC（當可適用時，包括其關係企業） – 保留所有權利。  此模型及 / 或其內所含任何資料之提供，係依據 S&amp;P Global Market Intelligence LLC 針對此模型所應用訂閱服務而簽訂之書面協議為之。</t>
  </si>
  <si>
    <t>Droit d'auteur © 2019 S&amp;P Global Market Intelligence LLC (et ses filiales, le cas échéant) - Tous droits réservés.  Ce modèle et / ou toutes les données qu'il contient sont fournis sous réserve de l'accord écrit de S&amp;P Global Market Intelligence LLC régissant le service d'abonnement auquel ce modèle est appliqué.</t>
  </si>
  <si>
    <t>Urheberrecht © 2019 S&amp;P Global Market Intelligence LLC (und seine verbundenen Unternehmen, falls zutreffend) - Alle Rechte vorbehalten. Dieses Modell und/oder alle darin enthaltenen Daten werden vorbehaltlich der schriftlichen Vereinbarung von S&amp;P Global Market Intelligence LLC über den Abonnementdienst, auf den dieses Modell angewendet wird, bereitgestellt.</t>
  </si>
  <si>
    <t>Diritto d’autore © 2019 S&amp;P Global Market Intelligence LLC (e le sue affiliate a seconda dei casi) - Tutti i diritti riservati.  Questo modello e/o qualsiasi dato in esso contenuto sono forniti previo accordo scritto di S&amp;P Global Market Intelligence LLC che disciplina il servizio di abbonamento a cui questo modello è applicato.</t>
  </si>
  <si>
    <t>著作権 © 2019 S&amp;P Global Market Intelligence LLC (および該当する場合はその関連会社) – 無断複写・転載を禁じます。   このモデルおよび/またはそのデータは、このモデルが適用されるサブスクリプションサービスを管理するS&amp;P Global Market Intelligence LLCの書面による合意に従って提供されます。</t>
  </si>
  <si>
    <t>Авторские права © 2019 S&amp;P Global Market Intelligence LLC (и его ассоциированные общества, если применимо) - Все права защищены. Эта модель и/или любые данные в ней предоставляются с письменного соглашения S&amp;P Global Market Intelligence LLC, управляющего службой подписки, к которой прилагается эта модель.</t>
  </si>
  <si>
    <t>Derechos de autor © 2019 S&amp;P Global Market Intelligence LLC (y sus afiliados, según corresponda): todos los derechos reservados.  Este modelo y/o cualquier dato que contenga están sujetos al acuerdo por escrito de S&amp;P Global Market Intelligence LLC que rige el servicio de suscripción al que se aplica este modelo.</t>
  </si>
  <si>
    <t>해당 데이터의 모든 저작권은  2019 S&amp;P Global Market Intelligence LLC (및 계열사) 가 소유하고 있습니다. 해당 모형 및 모형에 사용된 데이터는  S&amp;P Global Market Intelligence LLC와 맺은 서면 계약에 따라 제공됩니다.</t>
  </si>
  <si>
    <t>估值</t>
  </si>
  <si>
    <t>ÉVALUATION</t>
  </si>
  <si>
    <t>BEWERTUNG</t>
  </si>
  <si>
    <t>VALUTAZIONE</t>
  </si>
  <si>
    <t>バリュエーション</t>
  </si>
  <si>
    <t xml:space="preserve">ОЦЕНКА </t>
  </si>
  <si>
    <t>VALUACIÓN</t>
  </si>
  <si>
    <t>밸류에이션</t>
  </si>
  <si>
    <t>単位: 百万, 一株当たり指標除く</t>
  </si>
  <si>
    <t>市值</t>
  </si>
  <si>
    <t>Cap. Marché</t>
  </si>
  <si>
    <t>Marktkapitalisierung</t>
  </si>
  <si>
    <t>Capitalizzazione di mercato</t>
  </si>
  <si>
    <t>時価総額</t>
  </si>
  <si>
    <t>Рыночная капитализация</t>
  </si>
  <si>
    <t>Capitalización de Mercado</t>
  </si>
  <si>
    <t>시가총액</t>
  </si>
  <si>
    <t>总企业价值</t>
  </si>
  <si>
    <t>總企業價值</t>
  </si>
  <si>
    <t>Valeur d'entreprise</t>
  </si>
  <si>
    <t>Gesamtunternehmenswert</t>
  </si>
  <si>
    <t>Valore aziendale totale</t>
  </si>
  <si>
    <t>企業価値</t>
  </si>
  <si>
    <t>Общая стоимость предприятия</t>
  </si>
  <si>
    <t>Valor total de la Empresa</t>
  </si>
  <si>
    <t>기업가치 (TEV)</t>
  </si>
  <si>
    <t>总企业价值/税息折旧及摊销前利润</t>
  </si>
  <si>
    <t>總企業價值/稅息折舊及攤銷前利潤</t>
  </si>
  <si>
    <t>Valeur de l'entreprise/EBITDA</t>
  </si>
  <si>
    <t>Gesamtunternehmenswert / EBITDA</t>
  </si>
  <si>
    <t>Valore aziendale totale / EBITDA</t>
  </si>
  <si>
    <t>企業価値/EBITDA（倍）</t>
  </si>
  <si>
    <t>Общая стоимость предприятия / EBITDA</t>
  </si>
  <si>
    <t>Valor total de la empresa / EBITDA</t>
  </si>
  <si>
    <t>市盈率</t>
  </si>
  <si>
    <t>Ratio Cours/Bénéfice</t>
  </si>
  <si>
    <t>Kurs-/Gewinn-Verhältnis</t>
  </si>
  <si>
    <t>Prezzo / Utile</t>
  </si>
  <si>
    <t>PER（倍）</t>
  </si>
  <si>
    <t>Цена / прибыль (P/E)</t>
  </si>
  <si>
    <t>Ratio precio/ganancias</t>
  </si>
  <si>
    <t xml:space="preserve">PER </t>
  </si>
  <si>
    <t>税息折旧及摊销前利润</t>
  </si>
  <si>
    <t>稅息折舊及攤銷前利潤</t>
  </si>
  <si>
    <t>息稅前利潤</t>
  </si>
  <si>
    <t>研究与开发费用</t>
  </si>
  <si>
    <t>研究與開發費用</t>
  </si>
  <si>
    <t>Dépenses de R &amp; D</t>
  </si>
  <si>
    <t>F&amp;E-Aufwendungen</t>
  </si>
  <si>
    <t>Spese ricerca e sviluppo</t>
  </si>
  <si>
    <t>研究開発費</t>
  </si>
  <si>
    <t>Расходы по Научно-исследовательским и опытно-конструкторским работам  (НИОКР)</t>
  </si>
  <si>
    <t>Gastos de investigación y desarrollo</t>
  </si>
  <si>
    <t>연구개발비</t>
  </si>
  <si>
    <t>其他经营费用/(收入)</t>
  </si>
  <si>
    <t>其他經營費用/(收入)</t>
  </si>
  <si>
    <t>Autres dépenses/(revenus) d'exploitation</t>
  </si>
  <si>
    <t>Sonstige Betriebskosten/(Gewinn)</t>
  </si>
  <si>
    <t>Altri oneri/(proventi) operativi</t>
  </si>
  <si>
    <t>その他販売費及び一般管理費</t>
  </si>
  <si>
    <t>Прочие операционные расходы/(доходы)</t>
  </si>
  <si>
    <t>Otros gastos/(ingresos) operativos</t>
  </si>
  <si>
    <t>기타 영업 이익/(소득)</t>
  </si>
  <si>
    <t>其他经营费用 - 总计</t>
  </si>
  <si>
    <t>其他經營費用 - 總計</t>
  </si>
  <si>
    <t>Autres dépenses opérationnelles, total</t>
  </si>
  <si>
    <t>Sonstige betriebliche Aufwendungen, Summe</t>
  </si>
  <si>
    <t>Altre spese operative, totale</t>
  </si>
  <si>
    <t>Прочие операционные расходы, всего</t>
  </si>
  <si>
    <t>Otros gastos operativos, total</t>
  </si>
  <si>
    <t>기타 운영 지출, 총계</t>
  </si>
  <si>
    <t>营业收入</t>
  </si>
  <si>
    <t xml:space="preserve">營業收入 </t>
  </si>
  <si>
    <t>Bénéfice d'exploitation</t>
  </si>
  <si>
    <t>Operatives Ergebnis</t>
  </si>
  <si>
    <t>Proventi operativi</t>
  </si>
  <si>
    <t xml:space="preserve">営業収益 </t>
  </si>
  <si>
    <t>Операционный доход</t>
  </si>
  <si>
    <t>Ingresos Operativos</t>
  </si>
  <si>
    <t xml:space="preserve">영업이익 </t>
  </si>
  <si>
    <t>利息费用</t>
  </si>
  <si>
    <t>利息費用</t>
  </si>
  <si>
    <t>Charge d'intérêts</t>
  </si>
  <si>
    <t>Zinsaufwand</t>
  </si>
  <si>
    <t>Interessi passivi</t>
  </si>
  <si>
    <t>Процентные расходы</t>
  </si>
  <si>
    <t>Gastos por intereses</t>
  </si>
  <si>
    <t>이자비용</t>
  </si>
  <si>
    <t>利息及投资收入</t>
  </si>
  <si>
    <t>利息及投資收入</t>
  </si>
  <si>
    <t>Intérêts et revenus d'investissement</t>
  </si>
  <si>
    <t>Zins- und Kapitalerträge</t>
  </si>
  <si>
    <t>Interessi attivi e reddito da investim.</t>
  </si>
  <si>
    <t>受取利息配当金</t>
  </si>
  <si>
    <t>Проценты и инвестиционный доход</t>
  </si>
  <si>
    <t>Intereses e ingresos por inversiones</t>
  </si>
  <si>
    <t>이자 및 투자 수익</t>
  </si>
  <si>
    <t>净利息费用</t>
  </si>
  <si>
    <t>淨利息費用</t>
  </si>
  <si>
    <t>Frais d'intérêts nets</t>
  </si>
  <si>
    <t>Nettozinsaufwendungen</t>
  </si>
  <si>
    <t>Interessi passivi netti</t>
  </si>
  <si>
    <t>純支払利息</t>
  </si>
  <si>
    <t>Чистые процентные расходы</t>
  </si>
  <si>
    <t>Gastos de intereses netos</t>
  </si>
  <si>
    <t>순이자비용</t>
  </si>
  <si>
    <t>附属企业损益</t>
  </si>
  <si>
    <t>附屬企業損益</t>
  </si>
  <si>
    <t>Revenus / (Pertes) des affiliés</t>
  </si>
  <si>
    <t>Gewinn/(Verlust) aus verbundenen Unternehmen</t>
  </si>
  <si>
    <t>Utile/ (perdita) da affiliate</t>
  </si>
  <si>
    <t>持分法による投資利益</t>
  </si>
  <si>
    <t>Доходы / (Убытки) от филиалов</t>
  </si>
  <si>
    <t>Ingresos / ( Pérdidas) de los afiliados</t>
  </si>
  <si>
    <t>계열사 소득 / (손실)</t>
  </si>
  <si>
    <t>其他非经营收入/(费用)</t>
  </si>
  <si>
    <t>其他非經營收入/(費用)</t>
  </si>
  <si>
    <t>Autres revenus (dépenses) hors exploitation</t>
  </si>
  <si>
    <t>Sonstige nicht betriebliche Erträge (Kosten)</t>
  </si>
  <si>
    <t>Altri proventi (oneri) non operativi</t>
  </si>
  <si>
    <t>その他営業外収益(費用)</t>
  </si>
  <si>
    <t>Прочие неоперационные доходы (расходы)</t>
  </si>
  <si>
    <t>Otros ingresos (gastos) no operacionales</t>
  </si>
  <si>
    <t>기타 비영업 이익(경비)</t>
  </si>
  <si>
    <t xml:space="preserve">税前收益(扣除非经常性项目) </t>
  </si>
  <si>
    <t xml:space="preserve">稅前收益(扣除非經常性項目) </t>
  </si>
  <si>
    <t>EBT Hors élément exceptionnel</t>
  </si>
  <si>
    <t>EBT Exklusive Sonderposten</t>
  </si>
  <si>
    <t>EBT (al netto delle voci non ricorrenti)</t>
  </si>
  <si>
    <t>税引前当期純利益（特別損益調整前）</t>
  </si>
  <si>
    <t>EBT за вычетом чрезвычайных статей</t>
  </si>
  <si>
    <t>Ganancias antes de impuestos, excluyendo partidas no recurrentes</t>
  </si>
  <si>
    <t>비정상적 항목을 제외한 EBT</t>
  </si>
  <si>
    <t xml:space="preserve">净收入 </t>
  </si>
  <si>
    <t xml:space="preserve">淨收入 </t>
  </si>
  <si>
    <t>Revenu net</t>
  </si>
  <si>
    <t>Nettogewinn</t>
  </si>
  <si>
    <t>Proventi netti</t>
  </si>
  <si>
    <t>Чистый доход</t>
  </si>
  <si>
    <t>Ingreso Neto</t>
  </si>
  <si>
    <t>당기 순이익 (손실)</t>
  </si>
  <si>
    <t>(Gain) perte résultant de la vente d'un actif</t>
  </si>
  <si>
    <t>(Gain) perte sur la vente de l'investissement.</t>
  </si>
  <si>
    <t>资产减值和重组费用</t>
  </si>
  <si>
    <t>資產減值和重組費用</t>
  </si>
  <si>
    <t>Dépréciation d'actifs et coûts de restructuration</t>
  </si>
  <si>
    <t>发放/出售贷款的净（增加）减少</t>
  </si>
  <si>
    <t>發放/出售貸款的淨（增加）減少</t>
  </si>
  <si>
    <t>Réduction (augmentation) nette des prêts accordés/vendus</t>
  </si>
  <si>
    <t>信贷损失准备金</t>
  </si>
  <si>
    <t>信貸損失準備金</t>
  </si>
  <si>
    <t>Provision pour pertes de crédit</t>
  </si>
  <si>
    <t>股权投资（收益）损失</t>
  </si>
  <si>
    <t>股權投資（收益）損失</t>
  </si>
  <si>
    <t>(Revenu) perte sur les investissements en capital</t>
  </si>
  <si>
    <t>(Прибыль) Убыток от продажи активов</t>
  </si>
  <si>
    <t>(Ganancia) Pérdida por la venta de activos</t>
  </si>
  <si>
    <t xml:space="preserve">(Прибыль) Убыток от продажи инвестиций </t>
  </si>
  <si>
    <t>(Ganancia) Pérdida en la venta de inversiones</t>
  </si>
  <si>
    <t>減損損失及び構造改革費用</t>
  </si>
  <si>
    <t>Расходы по уценке активов и реструктуризации</t>
  </si>
  <si>
    <t>Amortización de activos y costos de reestructuración</t>
  </si>
  <si>
    <t>売却予定の営業貸付金の減少（増加）</t>
  </si>
  <si>
    <t>Чистое (Увеличение) / Уменьшение займов выданных /проданных</t>
  </si>
  <si>
    <t>Disminución (aumento) neto de los préstamos originados/vendidos</t>
  </si>
  <si>
    <t>貸倒損失及び貸倒引当金の繰り入れ(金融業界のみ使用)</t>
  </si>
  <si>
    <t>Резерв на кредитные убытки</t>
  </si>
  <si>
    <t>Provisión para pérdidas de crédito</t>
  </si>
  <si>
    <t>(Доход) Убыток от вложений в акционерный капитал</t>
  </si>
  <si>
    <t>(Ingresos) Pérdida en inversiones de capital</t>
  </si>
  <si>
    <t>(Gewinn) Verlust aus dem Verkauf von Vermögenswerten</t>
  </si>
  <si>
    <t>(Utile) Perdita su vendita di attività</t>
  </si>
  <si>
    <t>(Gewinn) Verlust aus dem Verkauf von Investments</t>
  </si>
  <si>
    <t>(Utile) Perdita su vendita di investim.</t>
  </si>
  <si>
    <t>Abschreibung von Vermögenswerten und Sanierungskosten</t>
  </si>
  <si>
    <t>Svalutazione di attività e costi di ristrutturazione</t>
  </si>
  <si>
    <t>Saldo der (Zunahme)/Abnahme der ursprünglichen/veräußerten Darlehen</t>
  </si>
  <si>
    <t>(Aumento)/Decremento netto dei crediti originati/venduti</t>
  </si>
  <si>
    <t>Rückstellung für Kreditverluste</t>
  </si>
  <si>
    <t>Fondo per perdite su crediti</t>
  </si>
  <si>
    <t>(Ertrag) Verlust aus Aktieninvestitionen</t>
  </si>
  <si>
    <t>(Utile) Perdita su investimenti azionari</t>
  </si>
  <si>
    <t>자산 매각을 통한 (이익) 손실</t>
  </si>
  <si>
    <t>투자 매각의 (이익) 손실</t>
  </si>
  <si>
    <t>자산 상계약 및 구조조정 비용</t>
  </si>
  <si>
    <t>신용 손실 충당금</t>
  </si>
  <si>
    <t>주식투자의 (수익) 손실</t>
  </si>
  <si>
    <t>股票期权的税收利益</t>
  </si>
  <si>
    <t>股票期權的稅收利益</t>
  </si>
  <si>
    <t>Avantage fiscal lié aux options d'achat d'actions</t>
  </si>
  <si>
    <t>计提和冲销坏账</t>
  </si>
  <si>
    <t>計提和沖銷壞賬</t>
  </si>
  <si>
    <t>Provision et annulation des créances douteuses</t>
  </si>
  <si>
    <t>株式報酬費用に掛かる税控除</t>
  </si>
  <si>
    <t>Налоговая льгота от опционов на приобретение акций</t>
  </si>
  <si>
    <t>Beneficio fiscal de las opciones de compra de acciones</t>
  </si>
  <si>
    <t>貸倒損失及び貸倒引当金の繰り入れ</t>
  </si>
  <si>
    <t>Резервирование и списание безнадежных долгов</t>
  </si>
  <si>
    <t>Provisión y cancelación de deudas incobrables</t>
  </si>
  <si>
    <t>Steuervergünstigung durch Aktienoptionen</t>
  </si>
  <si>
    <t>Benefici fiscali da opzioni su azioni</t>
  </si>
  <si>
    <t>Rückstellung &amp; Abschreibung von uneinbringlichen Forderungen</t>
  </si>
  <si>
    <t>Accantonamenti e cancellazioni di debiti insoluti</t>
  </si>
  <si>
    <t>스톡옵션을 통한 세제혜택</t>
  </si>
  <si>
    <t>대손충당금 및 대손상각</t>
  </si>
  <si>
    <t>终止经营项目净现金收入</t>
  </si>
  <si>
    <t>終止經營項目淨現金收入</t>
  </si>
  <si>
    <t>Liquidités nettes provenant des activités abandonnées</t>
  </si>
  <si>
    <t>其他经营活动</t>
  </si>
  <si>
    <t>其他經營活動</t>
  </si>
  <si>
    <t>Autres activités opérationnelles</t>
  </si>
  <si>
    <t>非継続事業に掛かる純現金収入</t>
  </si>
  <si>
    <t>Чистая сумма денежных средств от прекращенной деятельности</t>
  </si>
  <si>
    <t>Efectivo neto de operaciones discontinuadas</t>
  </si>
  <si>
    <t>その他営業活動によるキャッシュフロー</t>
  </si>
  <si>
    <t>Прочая операционная деятельность</t>
  </si>
  <si>
    <t>Otras actividades operativas</t>
  </si>
  <si>
    <t>Nettobarerlöse aus aufgegebenen Geschäftsbetrieben</t>
  </si>
  <si>
    <t>Liquidità netta da attività cessate</t>
  </si>
  <si>
    <t>Sonstige betriebliche Aktivitäten</t>
  </si>
  <si>
    <t>Altre attività operative</t>
  </si>
  <si>
    <t>중단 영업의 순현금</t>
  </si>
  <si>
    <t>기타 운영 활동</t>
  </si>
  <si>
    <t>基于股票补偿</t>
  </si>
  <si>
    <t>基於股票補償</t>
  </si>
  <si>
    <t>Rémunération à base d'actions</t>
  </si>
  <si>
    <t>株式報酬費用</t>
  </si>
  <si>
    <t>Вознаграждение сотрудников компании акциями или опционами на приобретение акций</t>
  </si>
  <si>
    <t>Compensación basada en acciones</t>
  </si>
  <si>
    <t>Aktienbasierte Vergütung</t>
  </si>
  <si>
    <t>Retribuzione basata su azioni</t>
  </si>
  <si>
    <t>배당금수익</t>
  </si>
  <si>
    <t>终止业务收益</t>
  </si>
  <si>
    <t>終止業務收益</t>
  </si>
  <si>
    <t>Résultat des activités abandonnées</t>
  </si>
  <si>
    <t>非継続事業からの損益（税効果控除後）</t>
  </si>
  <si>
    <t xml:space="preserve">Прибыль от прекращенной деятельности </t>
  </si>
  <si>
    <t>Ganancias de operaciones discontinuadas</t>
  </si>
  <si>
    <t>Gewinn aus aufgegebenen Geschäftsbereichen</t>
  </si>
  <si>
    <t>Utili da attività operative cessate</t>
  </si>
  <si>
    <t>중단 영업 이익</t>
  </si>
  <si>
    <t>公司净收入</t>
  </si>
  <si>
    <t>公司淨收入</t>
  </si>
  <si>
    <t>Bénéfice net de l'entreprise</t>
  </si>
  <si>
    <t>少数株主利益控除前　当期純利益</t>
  </si>
  <si>
    <t>Чистый доход компании</t>
  </si>
  <si>
    <t>Ingresos netos de la empresa</t>
  </si>
  <si>
    <t>Nettogewinn für das Unternehmen</t>
  </si>
  <si>
    <t>Risultato netto della Società</t>
  </si>
  <si>
    <t>회사의 순이익</t>
  </si>
  <si>
    <t>少数股东权益利润</t>
  </si>
  <si>
    <t>少數股東權益利潤</t>
  </si>
  <si>
    <t>Intérêts minoritaires dans les revenus</t>
  </si>
  <si>
    <t>Minderheitsanteile in Gewinnen</t>
  </si>
  <si>
    <t>Partecip. di minor. negli utili</t>
  </si>
  <si>
    <t>少数株主利益</t>
  </si>
  <si>
    <t>Чрезвычайные статьи и изменения в бухгалтерском учете</t>
  </si>
  <si>
    <t>Interés minoritario en las ganancias</t>
  </si>
  <si>
    <t>소득 소수주주 지분</t>
  </si>
  <si>
    <t>基本每股盈利</t>
  </si>
  <si>
    <t>résultat de base par action</t>
  </si>
  <si>
    <t>EPS, unverwässert</t>
  </si>
  <si>
    <t>EPS di base</t>
  </si>
  <si>
    <t>一株当たり当期純利益</t>
  </si>
  <si>
    <t>Базовая Прибыль на одну акцию (EPS)</t>
  </si>
  <si>
    <t>Ganancias por acción básicas</t>
  </si>
  <si>
    <t>기본주당이익</t>
  </si>
  <si>
    <t>基本每股盈利(不包括非经常性项目)</t>
  </si>
  <si>
    <t>基本每股盈利(不包括非經常性項目)</t>
  </si>
  <si>
    <t>Résultat de base par action hors éléments supplémentaires</t>
  </si>
  <si>
    <t>EPS, unverwässert ohne Sonderposten</t>
  </si>
  <si>
    <t>EPS di base (al netto delle voci non ricorrenti)</t>
  </si>
  <si>
    <t>一株当たり当期純利益 (非継続事業からの損益等の異常項目を除く)</t>
  </si>
  <si>
    <t>Базовая Прибыль на одну акцию (EPS) за вычетом чрезвычайных статей</t>
  </si>
  <si>
    <t>Ganancias por acción básicas, excluyendo partidas extraordinarias</t>
  </si>
  <si>
    <t>기본주당이익 (특별손익 제외)</t>
  </si>
  <si>
    <t>摊薄每股盈利(不包括非经常性项目)</t>
  </si>
  <si>
    <t>攤薄每股盈利(不包括非經常性項目)</t>
  </si>
  <si>
    <t>bénéfices dilués par action hors éléments supplémentaires</t>
  </si>
  <si>
    <t>Verwässertes EPS ohne Extraposten</t>
  </si>
  <si>
    <t>EPS diluito (al netto delle voci non ricorrenti)</t>
  </si>
  <si>
    <t>潜在株式調整後　一株当たり当期純利益 (非継続事業からの損益等の異常項目を除く)</t>
  </si>
  <si>
    <t>Разводненная прибыль на одну акцию за вычетом чрезвычайных статей</t>
  </si>
  <si>
    <t>Ganancias por acción diluidas, excluyendo partidas extraordinarias</t>
  </si>
  <si>
    <t>희석주당이익(특별손익 제외)</t>
  </si>
  <si>
    <t>摊薄每股盈利</t>
  </si>
  <si>
    <t>攤薄每股盈利</t>
  </si>
  <si>
    <t>RPA dilué</t>
  </si>
  <si>
    <t>Verwässerte EPS</t>
  </si>
  <si>
    <t>Utile diluito per azione</t>
  </si>
  <si>
    <t>潜在株式調整後　一株当たり当期純利益</t>
  </si>
  <si>
    <t xml:space="preserve">Разводненная прибыль на одну акцию (EPS) </t>
  </si>
  <si>
    <t>Ganancia por acción diluida</t>
  </si>
  <si>
    <t>희석주당이익 (손실)</t>
  </si>
  <si>
    <t>利息、税项、折旧、摊销及重组租金成本前利润</t>
  </si>
  <si>
    <t>利息、稅項、折舊、攤銷及重組租金成本前利潤</t>
  </si>
  <si>
    <t>利息收入</t>
  </si>
  <si>
    <t xml:space="preserve">利息收入 </t>
  </si>
  <si>
    <t>Revenu d'intérêts</t>
  </si>
  <si>
    <t>Zinsergebnis</t>
  </si>
  <si>
    <t>Interessi attivi</t>
  </si>
  <si>
    <t xml:space="preserve">資金運用収益 </t>
  </si>
  <si>
    <t>Процентный доход</t>
  </si>
  <si>
    <t>Ingresos por Intereses</t>
  </si>
  <si>
    <t xml:space="preserve">이자 수익 </t>
  </si>
  <si>
    <t>有效税率 (%)</t>
  </si>
  <si>
    <t>有效稅率 (%)</t>
  </si>
  <si>
    <t>Taux d'imposition effectif (%)</t>
  </si>
  <si>
    <t>Effektivsteuersatz (%)</t>
  </si>
  <si>
    <t>Aliquota fiscale effettiva (%)</t>
  </si>
  <si>
    <t>実効税率 (%)</t>
  </si>
  <si>
    <t>Эффективная налоговая ставка (%)</t>
  </si>
  <si>
    <t>Tasa Efectiva de Impuestos (%)</t>
  </si>
  <si>
    <t>실효세율(%)</t>
  </si>
  <si>
    <t>广告费用</t>
  </si>
  <si>
    <t>廣告費用</t>
  </si>
  <si>
    <t>Frais de publicité</t>
  </si>
  <si>
    <t>Werbekosten</t>
  </si>
  <si>
    <t>Spese di pubblicità</t>
  </si>
  <si>
    <t>広告宣伝費</t>
  </si>
  <si>
    <t>Расходы на рекламу</t>
  </si>
  <si>
    <t>Gastos de publicidad</t>
  </si>
  <si>
    <t>광고비</t>
  </si>
  <si>
    <t>一般及行政费用</t>
  </si>
  <si>
    <t>一般及行政費用</t>
  </si>
  <si>
    <t>Frais généraux et administratifs</t>
  </si>
  <si>
    <t>Gemeinkosten</t>
  </si>
  <si>
    <t>Spese generali e amministrative</t>
  </si>
  <si>
    <t>一般管理費</t>
  </si>
  <si>
    <t>Общие и административные расходы</t>
  </si>
  <si>
    <t>Gastos generales y administrativos</t>
  </si>
  <si>
    <t>일반 관리비</t>
  </si>
  <si>
    <t xml:space="preserve">折旧及摊销(总和) </t>
  </si>
  <si>
    <t xml:space="preserve">折舊及攤銷(總和) </t>
  </si>
  <si>
    <t>Amortissements et dépréciations, Total</t>
  </si>
  <si>
    <t>Abschreibung, insgesamt</t>
  </si>
  <si>
    <t>Ammortamento e svalutazione, Totale</t>
  </si>
  <si>
    <t>Износ и амортизация, всего</t>
  </si>
  <si>
    <t>Total Depreciación y Amortización</t>
  </si>
  <si>
    <t>총 감가상각 및 상각비</t>
  </si>
  <si>
    <t>其他摊销</t>
  </si>
  <si>
    <t>其他攤銷</t>
  </si>
  <si>
    <t>Autres amortissements</t>
  </si>
  <si>
    <t>その他償却費</t>
  </si>
  <si>
    <t>Другая амортизация</t>
  </si>
  <si>
    <t>Otras amortizaciones</t>
  </si>
  <si>
    <t>Sonstige Abschreibungen</t>
  </si>
  <si>
    <t>Altri accantonamenti</t>
  </si>
  <si>
    <t>기타 상각비</t>
  </si>
  <si>
    <t>经营活动产生的现金流量</t>
  </si>
  <si>
    <t>經營活動產生的現金流量</t>
  </si>
  <si>
    <t>Flux de trésorerie liés à l'exploitation</t>
  </si>
  <si>
    <t>Geldfluss aus Betriebstätigkeit</t>
  </si>
  <si>
    <t>Flusso finanziario dell’attività operative</t>
  </si>
  <si>
    <t>営業活動によるキャッシュフロー</t>
  </si>
  <si>
    <t>Денежные средства от операционной деятельности</t>
  </si>
  <si>
    <t>Efectivo generado de las operaciones</t>
  </si>
  <si>
    <t xml:space="preserve">영업활동 현금흐름 </t>
  </si>
  <si>
    <t>资本支出</t>
  </si>
  <si>
    <t>資本支出</t>
  </si>
  <si>
    <t>Dépense d'immobilisations</t>
  </si>
  <si>
    <t>Investitionen in Sachanlagen</t>
  </si>
  <si>
    <t>Spese in conto capitale</t>
  </si>
  <si>
    <t>有形固定資産の取得による支出</t>
  </si>
  <si>
    <t>Капитальные затраты</t>
  </si>
  <si>
    <t>Gastos de capital</t>
  </si>
  <si>
    <t>자본지출</t>
  </si>
  <si>
    <t>投资活动产生的现金流量</t>
  </si>
  <si>
    <t>投資活動產生的現金流量</t>
  </si>
  <si>
    <t>Flux de trésorerie des activités d’investissement</t>
  </si>
  <si>
    <t>Geldfluss aus Investitionstätigkeit</t>
  </si>
  <si>
    <t>Flusso finanziario dell'attività di investimento</t>
  </si>
  <si>
    <t>投資活動によるキャッシュフロー</t>
  </si>
  <si>
    <t>Денежные средства от инвестиционной деятельности</t>
  </si>
  <si>
    <t>Efectivo generado de las inversiones</t>
  </si>
  <si>
    <t>투자활동 현금흐름</t>
  </si>
  <si>
    <t>已发行债务</t>
  </si>
  <si>
    <t>已發行債務</t>
  </si>
  <si>
    <t>Total de la dette émise</t>
  </si>
  <si>
    <t>Ausgegebene Schuldtitel insgesamt</t>
  </si>
  <si>
    <t>Totale debiti emessi</t>
  </si>
  <si>
    <t>有利子負債の借入による収入</t>
  </si>
  <si>
    <t>Всего выпущенных долговых обязательств</t>
  </si>
  <si>
    <t>Total de la deuda emitida</t>
  </si>
  <si>
    <t>총 발행 부채</t>
  </si>
  <si>
    <t>巳偿还债务</t>
  </si>
  <si>
    <t>巳償還債務</t>
  </si>
  <si>
    <t>Total de la dette remboursé</t>
  </si>
  <si>
    <t>Zurückgezahlten Schulden insgesamt</t>
  </si>
  <si>
    <t>Totale debiti estinti</t>
  </si>
  <si>
    <t>有利子負債の返済による支出</t>
  </si>
  <si>
    <t>Всего погашенных долговых обязательств</t>
  </si>
  <si>
    <t>Total de la deuda cancelada</t>
  </si>
  <si>
    <t>총 상환 부채</t>
  </si>
  <si>
    <t>普通股发行</t>
  </si>
  <si>
    <t>普通股發行</t>
  </si>
  <si>
    <t>Émission d'actions ordinaires</t>
  </si>
  <si>
    <t>Ausgabe von Stammaktien</t>
  </si>
  <si>
    <t>Emissione di azioni ordinarie</t>
  </si>
  <si>
    <t>普通株式の発行による収入</t>
  </si>
  <si>
    <t>Выпуск обыкновенных акций</t>
  </si>
  <si>
    <t>Emisión de Acciones Comunes</t>
  </si>
  <si>
    <t>보통주 발행</t>
  </si>
  <si>
    <t>普通股回购</t>
  </si>
  <si>
    <t>普通股回購</t>
  </si>
  <si>
    <t>Rachat d'actions ordinaires</t>
  </si>
  <si>
    <t>Rückkauf von Stammaktien</t>
  </si>
  <si>
    <t>Riacquisto di azioni ordinarie</t>
  </si>
  <si>
    <t>普通株式の買戻による支出</t>
  </si>
  <si>
    <t>Выкуп обыкновенных акций</t>
  </si>
  <si>
    <t>Recompra de acciones comunes</t>
  </si>
  <si>
    <t>보통주 재매입</t>
  </si>
  <si>
    <t>优先股发行</t>
  </si>
  <si>
    <t>優先股發行</t>
  </si>
  <si>
    <t>Emission de Preférénce Stock</t>
  </si>
  <si>
    <t>Ausgabe von Vorzugsaktien</t>
  </si>
  <si>
    <t>Emissione di azioni privilegiate</t>
  </si>
  <si>
    <t>優先株式の発行による収入</t>
  </si>
  <si>
    <t>Выпуск привилегированных акций</t>
  </si>
  <si>
    <t>Emisión de acciones preferentes</t>
  </si>
  <si>
    <t>우선주 발행</t>
  </si>
  <si>
    <t>优先股回购</t>
  </si>
  <si>
    <t>優先股回購</t>
  </si>
  <si>
    <t>Rachat des actions de préférence</t>
  </si>
  <si>
    <t>Rückkauf von Vorzugsaktien</t>
  </si>
  <si>
    <t>Riacquisto di azioni privilegiate</t>
  </si>
  <si>
    <t>優先株式の買戻による支出</t>
  </si>
  <si>
    <t>Выкуп привилегированных акций</t>
  </si>
  <si>
    <t>Recompra de acciones preferentes</t>
  </si>
  <si>
    <t>우선주 재매입</t>
  </si>
  <si>
    <t>总股息</t>
  </si>
  <si>
    <t>總股息</t>
  </si>
  <si>
    <t>Total dividendes versés</t>
  </si>
  <si>
    <t>Gezahlte dividenden insgesamt</t>
  </si>
  <si>
    <t>Totale dividendi pagati</t>
  </si>
  <si>
    <t>配当金による支出</t>
  </si>
  <si>
    <t>Всего выплачено дивидендов</t>
  </si>
  <si>
    <t>Dividendos totales pagados</t>
  </si>
  <si>
    <t xml:space="preserve">배당금의 지급 </t>
  </si>
  <si>
    <t>筹资活动产生的现金流量</t>
  </si>
  <si>
    <t>籌資活動產生的現金流量</t>
  </si>
  <si>
    <t>Flux de trésorerie des activités de financement</t>
  </si>
  <si>
    <t>Geldfluss aus Finanzierungstätigkeit</t>
  </si>
  <si>
    <t>Flusso finanziario dell’attività finanziaria</t>
  </si>
  <si>
    <t>財務活動によるキャッシュフロー</t>
  </si>
  <si>
    <t>Денежные средства от финансовой деятельности</t>
  </si>
  <si>
    <t>Efectivo generado en la financiación</t>
  </si>
  <si>
    <t>재무활동 현금흐름</t>
  </si>
  <si>
    <t>净现金变化</t>
  </si>
  <si>
    <t>淨現金變化</t>
  </si>
  <si>
    <t>Variation nette de la trésorerie</t>
  </si>
  <si>
    <t>Nettoveränderung in Bargeld</t>
  </si>
  <si>
    <t>Variazione netta di cassa</t>
  </si>
  <si>
    <t>現金の増減</t>
  </si>
  <si>
    <t>Чистое изменение денежных средств</t>
  </si>
  <si>
    <t>Cambio neto en el efectivo</t>
  </si>
  <si>
    <t>현금의 증감</t>
  </si>
  <si>
    <t>已支付现金利息</t>
  </si>
  <si>
    <t>已支付現金利息</t>
  </si>
  <si>
    <t>Intérêts en espèces versés</t>
  </si>
  <si>
    <t>Gezahlte Zinsen in Bargeld</t>
  </si>
  <si>
    <t>Interessi monetari pagati</t>
  </si>
  <si>
    <t>支払現金利息</t>
  </si>
  <si>
    <t>Проценты выплаченные наличными денежными средствами</t>
  </si>
  <si>
    <t>Intereses pagados en efectivo</t>
  </si>
  <si>
    <t xml:space="preserve">이자비용 현금지급액 </t>
  </si>
  <si>
    <t>已支付现金税项</t>
  </si>
  <si>
    <t>已支付現金稅項</t>
  </si>
  <si>
    <t>Impôts en espèces payés</t>
  </si>
  <si>
    <t>Gezahlte Steuern in Bargeld</t>
  </si>
  <si>
    <t>Imposte di cassa pagate</t>
  </si>
  <si>
    <t>支払現金税金</t>
  </si>
  <si>
    <t>Налоги оплаченные наличными денежными средствами</t>
  </si>
  <si>
    <t xml:space="preserve">Impuestos pagados en efectivo </t>
  </si>
  <si>
    <t xml:space="preserve">법인세 현금 납부액 </t>
  </si>
  <si>
    <t>非杠杆自由现金流</t>
  </si>
  <si>
    <t>非槓桿自由現金流</t>
  </si>
  <si>
    <t>Flux de trésorerie disponible sans désendettement</t>
  </si>
  <si>
    <t>Verfügbarer Geldfluss ohne Schulden</t>
  </si>
  <si>
    <t>Flusso di cassa libero unlevered</t>
  </si>
  <si>
    <t>アンレバードフリーキャッシュフロー</t>
  </si>
  <si>
    <t>Свободный денежный поток без учета финансовых обязательств</t>
  </si>
  <si>
    <t>Flujo de efectivo libre excluyendo pago de intereses</t>
  </si>
  <si>
    <t>기업잉여현금흐름 (Unlevered)</t>
  </si>
  <si>
    <t>交易资产证券</t>
  </si>
  <si>
    <t>交易資產證券</t>
  </si>
  <si>
    <t>Titres d'actifs négociables</t>
  </si>
  <si>
    <t>売買目的有価証券</t>
  </si>
  <si>
    <t>Спекулятивные ценные бумаги</t>
  </si>
  <si>
    <t>Negociación de valores de activos</t>
  </si>
  <si>
    <t>Handel mit Wertpapieren</t>
  </si>
  <si>
    <t>Titoli di negoziazione</t>
  </si>
  <si>
    <t>거래 자산 증권</t>
  </si>
  <si>
    <t>待售贷款</t>
  </si>
  <si>
    <t>待售貸款</t>
  </si>
  <si>
    <t>Prêts à la vente</t>
  </si>
  <si>
    <t>递延所得税资产</t>
  </si>
  <si>
    <t>遞延所得稅資產</t>
  </si>
  <si>
    <t>Actifs d'impôt différé courant</t>
  </si>
  <si>
    <t>限定用途的现金</t>
  </si>
  <si>
    <t>限定用途的現金</t>
  </si>
  <si>
    <t>Argent liquide restreint</t>
  </si>
  <si>
    <t>売却予定の営業貸付金</t>
  </si>
  <si>
    <t>Займы, предназначенные для продажи</t>
  </si>
  <si>
    <t>Préstamos retenidos para la venta</t>
  </si>
  <si>
    <t>繰延税金資産（短期）</t>
  </si>
  <si>
    <t xml:space="preserve">Текущие активы по отложенному налогу </t>
  </si>
  <si>
    <t>Activos de impuestos diferidos actuales</t>
  </si>
  <si>
    <t>拘束預金</t>
  </si>
  <si>
    <t>Денежные средства, ограниченные в использовании</t>
  </si>
  <si>
    <t>Efectivo restringido</t>
  </si>
  <si>
    <t>Zum Verkauf gehaltene Darlehen</t>
  </si>
  <si>
    <t>Crediti detenuti a scopo di vendita</t>
  </si>
  <si>
    <t>Latente Steuerforderungen, kurzfristig</t>
  </si>
  <si>
    <t>Imposte differite attive, correnti</t>
  </si>
  <si>
    <t>Gebundene Barmittel</t>
  </si>
  <si>
    <t>Liquidità vincolata</t>
  </si>
  <si>
    <t>매도 대상 보유 대출</t>
  </si>
  <si>
    <t>유동 이연법인세자산</t>
  </si>
  <si>
    <t>특정 현금</t>
  </si>
  <si>
    <t>权益</t>
  </si>
  <si>
    <t>權益</t>
  </si>
  <si>
    <t>Capital</t>
  </si>
  <si>
    <t>Eigenkapital</t>
  </si>
  <si>
    <t>Capitale</t>
  </si>
  <si>
    <t>자본</t>
  </si>
  <si>
    <t>其他优先股</t>
  </si>
  <si>
    <t>其他優先股</t>
  </si>
  <si>
    <t>Actions privilégiées, autres</t>
  </si>
  <si>
    <t>Pref. lager, andere</t>
  </si>
  <si>
    <t>Azioni privileg., altro</t>
  </si>
  <si>
    <t>優先株式- その他</t>
  </si>
  <si>
    <t>Привилегированные акции, другое</t>
  </si>
  <si>
    <t>Acciones preferentes, otros</t>
  </si>
  <si>
    <t>우선주, 기타</t>
  </si>
  <si>
    <t>库存股</t>
  </si>
  <si>
    <t>庫存股</t>
  </si>
  <si>
    <t>Actions du Trésor</t>
  </si>
  <si>
    <t>自己株式</t>
  </si>
  <si>
    <t>Собственные выкупленные акции (доли)</t>
  </si>
  <si>
    <t>Acciones del Tesoro</t>
  </si>
  <si>
    <t>Eigene Aktien</t>
  </si>
  <si>
    <t>Azioni proprie</t>
  </si>
  <si>
    <t>자사주</t>
  </si>
  <si>
    <t>少数权益</t>
  </si>
  <si>
    <t>少數權益</t>
  </si>
  <si>
    <t>Intérêt minoritaire</t>
  </si>
  <si>
    <t>Minderheitsanteile</t>
  </si>
  <si>
    <t>Partecipazione minoritaria</t>
  </si>
  <si>
    <t>Доля меньшинства</t>
  </si>
  <si>
    <t>Participación del interés minoritario</t>
  </si>
  <si>
    <t>비지배지분</t>
  </si>
  <si>
    <t>总租赁</t>
  </si>
  <si>
    <t>總租賃</t>
  </si>
  <si>
    <t>Total des baux</t>
  </si>
  <si>
    <t>Summe der Mietverträge</t>
  </si>
  <si>
    <t>リース総額</t>
  </si>
  <si>
    <t>Всего аренда</t>
  </si>
  <si>
    <t>Total de arrendamientos</t>
  </si>
  <si>
    <t>총 리스</t>
  </si>
  <si>
    <t>总无形资产</t>
  </si>
  <si>
    <t>總無形資產</t>
  </si>
  <si>
    <t>Total des actifs incorporels</t>
  </si>
  <si>
    <t>無形固定資産</t>
  </si>
  <si>
    <t>Всего нематериальных активов</t>
  </si>
  <si>
    <t>Intangibles totales</t>
  </si>
  <si>
    <t>Immaterialvermögen, Summe</t>
  </si>
  <si>
    <t>Totale attività immateriali</t>
  </si>
  <si>
    <t>总债务</t>
  </si>
  <si>
    <t>總債務</t>
  </si>
  <si>
    <t>Dette totale</t>
  </si>
  <si>
    <t>Gesamtverschuldung</t>
  </si>
  <si>
    <t>Indebitamento totale</t>
  </si>
  <si>
    <t>有利子負債合計</t>
  </si>
  <si>
    <t>Общая задолженность</t>
  </si>
  <si>
    <t>Deuda total</t>
  </si>
  <si>
    <t>并购目标净债务</t>
  </si>
  <si>
    <t>併購目標淨債務</t>
  </si>
  <si>
    <t>Dette nette</t>
  </si>
  <si>
    <t>Debito netto</t>
  </si>
  <si>
    <t>純有利子負債</t>
  </si>
  <si>
    <t>Чистая Задолженность</t>
  </si>
  <si>
    <t>Deuda Neta</t>
  </si>
  <si>
    <t>순부채</t>
  </si>
  <si>
    <t>总资本化</t>
  </si>
  <si>
    <t>總資本化</t>
  </si>
  <si>
    <t>Capitalisation totale</t>
  </si>
  <si>
    <t>Gesamtkapitalisierung</t>
  </si>
  <si>
    <t>Capitalizzazione totale</t>
  </si>
  <si>
    <t>総資本化</t>
  </si>
  <si>
    <t>Общая капитализация</t>
  </si>
  <si>
    <t>Capitalización Total</t>
  </si>
  <si>
    <t>총 자본금</t>
  </si>
  <si>
    <t>累计备抵坏账</t>
  </si>
  <si>
    <t>累計備抵壞帳</t>
  </si>
  <si>
    <t>Provision cumulée pour comptes douteux</t>
  </si>
  <si>
    <t>Aufgelaufene Einzelwertberichtigung auf zweifelhafte Forderungen</t>
  </si>
  <si>
    <t>Fondo accumulato per svalutazione crediti</t>
  </si>
  <si>
    <t>不良債権に対する貸倒引当金総額</t>
  </si>
  <si>
    <t>Накопленная резервная сумма для сомнительных счетов</t>
  </si>
  <si>
    <t>Reserva acumulada para cuentas dudosas</t>
  </si>
  <si>
    <t>대손 충당금 누계액</t>
  </si>
  <si>
    <t>权益法下的投资</t>
  </si>
  <si>
    <t>權益法下的投資</t>
  </si>
  <si>
    <t>Investissements dans la méthode de mise en équivalence</t>
  </si>
  <si>
    <t>Finanzanlagen nach der Equity-Methode</t>
  </si>
  <si>
    <t>Investimenti con metodo del patrimonio netto</t>
  </si>
  <si>
    <t>関係会社株式</t>
  </si>
  <si>
    <t>Инвестиции по методу долевого участия</t>
  </si>
  <si>
    <t>Inversiones con método de equidad</t>
  </si>
  <si>
    <t>지분법 투자금</t>
  </si>
  <si>
    <t>或有负债</t>
  </si>
  <si>
    <t>或有負債</t>
  </si>
  <si>
    <t>Passifs éventuels</t>
  </si>
  <si>
    <t>Eventualverbindlichkeiten</t>
  </si>
  <si>
    <t>Sopravvenienze passive</t>
  </si>
  <si>
    <t>偶発債務</t>
  </si>
  <si>
    <t>Потенциальные обязательства</t>
  </si>
  <si>
    <t>Pasivos contingentes</t>
  </si>
  <si>
    <t>우발 채무</t>
  </si>
  <si>
    <t>利润表(续)</t>
  </si>
  <si>
    <t>损益表 (續)</t>
  </si>
  <si>
    <t xml:space="preserve">COMPTE DE RÉSULTAT </t>
  </si>
  <si>
    <t>GEWINN-UND-VELUST-RECHNUNG (Fortsetzung)</t>
  </si>
  <si>
    <t>CONTO ECONOMICO (segue)</t>
  </si>
  <si>
    <t>損益計算書(注記)</t>
  </si>
  <si>
    <t xml:space="preserve">DECLARACIÓN DE INGRESOS </t>
  </si>
  <si>
    <t>손익 계산서(계속)</t>
  </si>
  <si>
    <t>Année civile + 1</t>
  </si>
  <si>
    <t>KJ+1</t>
  </si>
  <si>
    <t>AC+1</t>
  </si>
  <si>
    <t>CY + 1</t>
  </si>
  <si>
    <t>Календарный год + 1</t>
  </si>
  <si>
    <t>Año natural + 1</t>
  </si>
  <si>
    <t>Année civile + 2</t>
  </si>
  <si>
    <t>KJ+2</t>
  </si>
  <si>
    <t>AC+2</t>
  </si>
  <si>
    <t>CY + 2</t>
  </si>
  <si>
    <t>Календарный год + 2</t>
  </si>
  <si>
    <t>Año natural + 2</t>
  </si>
  <si>
    <t>Chiffre d'Affaires</t>
  </si>
  <si>
    <t>Выручка</t>
  </si>
  <si>
    <t>수익</t>
  </si>
  <si>
    <t>总企业价值/总收入</t>
  </si>
  <si>
    <t>總企業價值/總收入</t>
  </si>
  <si>
    <t>Valeur de l'entreprise / Revenu</t>
  </si>
  <si>
    <t>Unternehmenswert/Umsatz</t>
  </si>
  <si>
    <t>Valore aziendale totale/Ricavi</t>
  </si>
  <si>
    <t>企業価値/売上高</t>
  </si>
  <si>
    <t>Общая стоимость предприятия (TEV)/ Выручка</t>
  </si>
  <si>
    <t>Valor de la empresa total / Ingresos</t>
  </si>
  <si>
    <t>기업가치 / 매출총액</t>
  </si>
  <si>
    <t>固定资产</t>
  </si>
  <si>
    <t xml:space="preserve">固定資產 </t>
  </si>
  <si>
    <t>Immobilisations</t>
  </si>
  <si>
    <t>Sachanlagen</t>
  </si>
  <si>
    <t>Immobilizzazioni</t>
  </si>
  <si>
    <t xml:space="preserve">固定資産 </t>
  </si>
  <si>
    <t>Основные активы</t>
  </si>
  <si>
    <t>Activos Fijos</t>
  </si>
  <si>
    <t xml:space="preserve">고정 자산 </t>
  </si>
  <si>
    <t>最多</t>
  </si>
  <si>
    <t>最大</t>
  </si>
  <si>
    <t>Макс</t>
  </si>
  <si>
    <t>최대</t>
  </si>
  <si>
    <t>中位数</t>
  </si>
  <si>
    <t>中位數</t>
  </si>
  <si>
    <t>Médiane</t>
  </si>
  <si>
    <t>Mediana</t>
  </si>
  <si>
    <t>中央値</t>
  </si>
  <si>
    <t>Медиан</t>
  </si>
  <si>
    <t>중앙값</t>
  </si>
  <si>
    <t>交易数据和规模</t>
  </si>
  <si>
    <t>交易數據和規模</t>
  </si>
  <si>
    <t>Données et taille des échanges</t>
  </si>
  <si>
    <t>现有价格占52周的百分比（％）</t>
  </si>
  <si>
    <t>現有價格佔52週的百分比（％）</t>
  </si>
  <si>
    <t>Actuel en % de 52 semaines (%)</t>
  </si>
  <si>
    <t>取引データ・規模</t>
  </si>
  <si>
    <t>Торговые данные и размер</t>
  </si>
  <si>
    <t>Datos comerciales y tamaño</t>
  </si>
  <si>
    <t>現在値(%)の52週間価値の割合(%)</t>
  </si>
  <si>
    <t>Текущий как % 52-недельного (%)</t>
  </si>
  <si>
    <t>Actual como% de 52 semanas (%)</t>
  </si>
  <si>
    <t>Handelsdaten und Größe</t>
  </si>
  <si>
    <t>Dimensione e dati trading</t>
  </si>
  <si>
    <t>Kurzfristigkeit als % von 52-Wochen (%)</t>
  </si>
  <si>
    <t>Corrente come % di 52-settimane (%)</t>
  </si>
  <si>
    <t>거래 데이터 및 크기</t>
  </si>
  <si>
    <t>52주 % 기준 현재(%)</t>
  </si>
  <si>
    <t>应收帳款</t>
  </si>
  <si>
    <t>應收帳款</t>
  </si>
  <si>
    <t>Comptes à recevoir</t>
  </si>
  <si>
    <t>Задолженность на счетах</t>
  </si>
  <si>
    <t>LL-Forderungen</t>
  </si>
  <si>
    <t>已发行</t>
  </si>
  <si>
    <t>已發行</t>
  </si>
  <si>
    <t>En cours</t>
  </si>
  <si>
    <t>市</t>
  </si>
  <si>
    <t>Marché</t>
  </si>
  <si>
    <t>值</t>
  </si>
  <si>
    <t>Capitalisation</t>
  </si>
  <si>
    <t>企业</t>
  </si>
  <si>
    <t>企業</t>
  </si>
  <si>
    <t>Entreprise</t>
  </si>
  <si>
    <t>発行済みの</t>
  </si>
  <si>
    <t>В обращении</t>
  </si>
  <si>
    <t>En cicrulacion</t>
  </si>
  <si>
    <t>時価</t>
  </si>
  <si>
    <t>Рынок</t>
  </si>
  <si>
    <t>Mercado</t>
  </si>
  <si>
    <t>総額</t>
  </si>
  <si>
    <t>Капитализация</t>
  </si>
  <si>
    <t>Capitalización</t>
  </si>
  <si>
    <t>Предприятие</t>
  </si>
  <si>
    <t>Empresa</t>
  </si>
  <si>
    <t>Umlaufend</t>
  </si>
  <si>
    <t>In circ.</t>
  </si>
  <si>
    <t>Markt</t>
  </si>
  <si>
    <t>Mercato</t>
  </si>
  <si>
    <t>Kap.</t>
  </si>
  <si>
    <t>Capitalizz.</t>
  </si>
  <si>
    <t>Unternehmen</t>
  </si>
  <si>
    <t>유출</t>
  </si>
  <si>
    <t>시장</t>
  </si>
  <si>
    <t>기업</t>
  </si>
  <si>
    <t>价值型</t>
  </si>
  <si>
    <t>價值型</t>
  </si>
  <si>
    <t>Valeur</t>
  </si>
  <si>
    <t>Wert</t>
  </si>
  <si>
    <t>Valore</t>
  </si>
  <si>
    <t>バリュー</t>
  </si>
  <si>
    <t>Стоимостное инвестирование</t>
  </si>
  <si>
    <t>Valor</t>
  </si>
  <si>
    <t>가치</t>
  </si>
  <si>
    <t>高</t>
  </si>
  <si>
    <t>Haute</t>
  </si>
  <si>
    <t>Hoch</t>
  </si>
  <si>
    <t>Alto</t>
  </si>
  <si>
    <t>Высокий</t>
  </si>
  <si>
    <t>높음</t>
  </si>
  <si>
    <t>股份</t>
  </si>
  <si>
    <t>Actions</t>
  </si>
  <si>
    <t>Aktien</t>
  </si>
  <si>
    <t>Azioni</t>
  </si>
  <si>
    <t>Акции</t>
  </si>
  <si>
    <t>Acciones</t>
  </si>
  <si>
    <t xml:space="preserve">주식 수 </t>
  </si>
  <si>
    <t>最低</t>
  </si>
  <si>
    <t>Minimum</t>
  </si>
  <si>
    <t>Moyenne</t>
  </si>
  <si>
    <t>最小値</t>
  </si>
  <si>
    <t>Минимальный</t>
  </si>
  <si>
    <t xml:space="preserve">Mínimo </t>
  </si>
  <si>
    <t>平均値</t>
  </si>
  <si>
    <t>Среднее значение</t>
  </si>
  <si>
    <t xml:space="preserve">Media </t>
  </si>
  <si>
    <t>Mittel</t>
  </si>
  <si>
    <t>Medio</t>
  </si>
  <si>
    <t>최소</t>
  </si>
  <si>
    <t>可比公司分析</t>
  </si>
  <si>
    <t>ANALYSE COMPARABLE DE L'ENTREPRISE</t>
  </si>
  <si>
    <t>VERGLEICHBARE UNTERNEHMENSANALYSE</t>
  </si>
  <si>
    <t>ANALISI AZIENDALE COMPARABILE</t>
  </si>
  <si>
    <t>類似企業分析</t>
  </si>
  <si>
    <t>СРАВНИТЕЛЬНЫЙ АНАЛИЗ КОМПАНИИ</t>
  </si>
  <si>
    <t>ANALISIS COMPARABLE DE EMPRESA</t>
  </si>
  <si>
    <t>비교기업 (Peer Comps) 분석</t>
  </si>
  <si>
    <t>Total de la dette/</t>
  </si>
  <si>
    <t xml:space="preserve">有利子負債 / </t>
  </si>
  <si>
    <t>Общий долг/</t>
  </si>
  <si>
    <t>Deuda total /</t>
  </si>
  <si>
    <t>Summe der Schulden/</t>
  </si>
  <si>
    <t>Totale debito/</t>
  </si>
  <si>
    <t>총 부채/</t>
  </si>
  <si>
    <t>过去十二个月息税折旧摊销前利润</t>
  </si>
  <si>
    <t>過去十二個月息稅折舊攤銷前利潤</t>
  </si>
  <si>
    <t>EBITDA de 12 Derniers Mois</t>
  </si>
  <si>
    <t>Letzte zwölf Monate - Ergebnis vor Zinsen, Steuern und Abschreibungen</t>
  </si>
  <si>
    <t>EBITDA За Последние 12 Месяцев</t>
  </si>
  <si>
    <t>EBITDA de los Últimos 12 Meses</t>
  </si>
  <si>
    <t>毛利率</t>
  </si>
  <si>
    <t>Marge brute</t>
  </si>
  <si>
    <t>Bruttomarge</t>
  </si>
  <si>
    <t>Margine lordo</t>
  </si>
  <si>
    <t>Валовая маржа</t>
  </si>
  <si>
    <t>Margen bruto</t>
  </si>
  <si>
    <t>매출총이익률 (%)</t>
  </si>
  <si>
    <t>EBITDA利润率</t>
  </si>
  <si>
    <t>EBITDA利潤率</t>
  </si>
  <si>
    <t>EBITDA Marge</t>
  </si>
  <si>
    <t>EBITDA-Marge</t>
  </si>
  <si>
    <t>Margine EBITDA</t>
  </si>
  <si>
    <t>EBITDA利益率 (%)</t>
  </si>
  <si>
    <t>Маржа по EBITDA</t>
  </si>
  <si>
    <t xml:space="preserve">Margen de EBITDA </t>
  </si>
  <si>
    <t>EBITDA이익률 (%)</t>
  </si>
  <si>
    <t>净收入率</t>
  </si>
  <si>
    <t>淨收入率</t>
  </si>
  <si>
    <t>Marge de revenu net</t>
  </si>
  <si>
    <t>Nettogewinnmarge</t>
  </si>
  <si>
    <t>Margine di reddito netto</t>
  </si>
  <si>
    <t>Маржа чистой прибыли</t>
  </si>
  <si>
    <t>Margen de ingreso neto</t>
  </si>
  <si>
    <t>당기순이익률 (%)</t>
  </si>
  <si>
    <t>利润分析(%)</t>
  </si>
  <si>
    <t>利潤分析(%)</t>
  </si>
  <si>
    <t>Analyse des marges (%)</t>
  </si>
  <si>
    <t>マージン分析（％）</t>
  </si>
  <si>
    <t>Анализ маржи (%)</t>
  </si>
  <si>
    <t>Análisis de margen (%)</t>
  </si>
  <si>
    <t>Margenanalyse (%)</t>
  </si>
  <si>
    <t>Analisi del margine (%)</t>
  </si>
  <si>
    <t>마진 분석(%)</t>
  </si>
  <si>
    <t>过去十二个月增长率(%)</t>
  </si>
  <si>
    <t>過去十二個月增長率(%)</t>
  </si>
  <si>
    <t>Taux de croissance des douze derniers mois (%)</t>
  </si>
  <si>
    <t>LTMの成長率（％）</t>
  </si>
  <si>
    <t>Темпы роста за последние 12 месяцев (%)</t>
  </si>
  <si>
    <t>Tasas de crecimiento de los últimos doce meses (%)</t>
  </si>
  <si>
    <t>Wachstumsrate in den letzten 12 Monaten (%)</t>
  </si>
  <si>
    <t>Tassi crescita LTM</t>
  </si>
  <si>
    <t>LTM 성장률(%)</t>
  </si>
  <si>
    <t>每股盈利</t>
  </si>
  <si>
    <t>Résultat net par action (RPA)</t>
  </si>
  <si>
    <t>Utile per azione</t>
  </si>
  <si>
    <t>１株当たり利益</t>
  </si>
  <si>
    <t xml:space="preserve">Прибыль на одну акцию (EPS) </t>
  </si>
  <si>
    <t>Ganancia por acción</t>
  </si>
  <si>
    <t>주당 이익 (손실)</t>
  </si>
  <si>
    <t>股价/</t>
  </si>
  <si>
    <t>股價/</t>
  </si>
  <si>
    <t>Prix /</t>
  </si>
  <si>
    <t>账面价值</t>
  </si>
  <si>
    <t>賬面價值</t>
  </si>
  <si>
    <t>Valeur comptable</t>
  </si>
  <si>
    <t>価格/</t>
  </si>
  <si>
    <t>Цена /</t>
  </si>
  <si>
    <t>Precio /</t>
  </si>
  <si>
    <t>有形固定資産</t>
  </si>
  <si>
    <t>балансовая стоимость</t>
  </si>
  <si>
    <t>Valor en libros</t>
  </si>
  <si>
    <t>Valor contable tangible</t>
  </si>
  <si>
    <t>Preis /</t>
  </si>
  <si>
    <t>BV des Materialvermögens</t>
  </si>
  <si>
    <t>BV tangibile</t>
  </si>
  <si>
    <t>가격 /</t>
  </si>
  <si>
    <t>유형 BV</t>
  </si>
  <si>
    <t>估值倍数</t>
  </si>
  <si>
    <t>估值倍數</t>
  </si>
  <si>
    <t>Multiples d'échanges</t>
  </si>
  <si>
    <t>取引倍数</t>
  </si>
  <si>
    <t>Торговые мультипликаторы</t>
  </si>
  <si>
    <t>Múltiplos de Negociación</t>
  </si>
  <si>
    <t>Kursvielfache</t>
  </si>
  <si>
    <t>Multipli di mercato</t>
  </si>
  <si>
    <t>거래 배수</t>
  </si>
  <si>
    <t>现金</t>
  </si>
  <si>
    <t>現金</t>
  </si>
  <si>
    <t>优先股</t>
  </si>
  <si>
    <t>優先股</t>
  </si>
  <si>
    <t>stock préféré</t>
  </si>
  <si>
    <t>Intérêts minoritaires</t>
  </si>
  <si>
    <t>Денежные средства</t>
  </si>
  <si>
    <t>Efectivo</t>
  </si>
  <si>
    <t>優先株式</t>
  </si>
  <si>
    <t>Привилегированные акции</t>
  </si>
  <si>
    <t>Acción preferente</t>
  </si>
  <si>
    <t>Интересы меньшинства</t>
  </si>
  <si>
    <t>Interés minoritario</t>
  </si>
  <si>
    <t>Barmittel</t>
  </si>
  <si>
    <t>Contanti</t>
  </si>
  <si>
    <t>Vorzugsaktien</t>
  </si>
  <si>
    <t>Azioni privileg.</t>
  </si>
  <si>
    <t>Minderheitsbeteiligung</t>
  </si>
  <si>
    <t>Partecipazione min.</t>
  </si>
  <si>
    <t>현금</t>
  </si>
  <si>
    <t>우선주</t>
  </si>
  <si>
    <t>소수주주 지분</t>
  </si>
  <si>
    <t>Total chiffre d'affaires</t>
  </si>
  <si>
    <t>Gesamtumsatz</t>
  </si>
  <si>
    <t xml:space="preserve">Общая выручка </t>
  </si>
  <si>
    <t>Total de ingresos</t>
  </si>
  <si>
    <t>총 매출</t>
  </si>
  <si>
    <t>Valeur de l'entreprise / Total des revenus</t>
  </si>
  <si>
    <t>Unternehmenswert/Gesamtumsatz</t>
  </si>
  <si>
    <t>Valore aziendale totale/Ricavi totali</t>
  </si>
  <si>
    <t xml:space="preserve">Общая стоимость предприятия (TEV) /Общая выручка </t>
  </si>
  <si>
    <t>Valor de la empresa total/ Ingresos totales</t>
  </si>
  <si>
    <t>TEV/총 수익</t>
  </si>
  <si>
    <t>财务数据</t>
  </si>
  <si>
    <t>財務數據</t>
  </si>
  <si>
    <t>DONNÉES FINANCIÈRES</t>
  </si>
  <si>
    <t>FINANZDATEN</t>
  </si>
  <si>
    <t>DATI FINANZIARI</t>
  </si>
  <si>
    <t>財務データ</t>
  </si>
  <si>
    <t>ФИНАНСОВЫЕ ДАННЫЕ</t>
  </si>
  <si>
    <t>DATOS FINANCIEROS</t>
  </si>
  <si>
    <t>재무 데이터</t>
  </si>
  <si>
    <t>股价</t>
  </si>
  <si>
    <t>股價</t>
  </si>
  <si>
    <t>Cours de l'action</t>
  </si>
  <si>
    <t>Aktienkurs</t>
  </si>
  <si>
    <t>Prezzo delle azioni</t>
  </si>
  <si>
    <t>株価</t>
  </si>
  <si>
    <t>Цена акций</t>
  </si>
  <si>
    <t>Precio de la acción</t>
  </si>
  <si>
    <t>주가</t>
  </si>
  <si>
    <t>52 周</t>
  </si>
  <si>
    <t>52 週</t>
  </si>
  <si>
    <t>52 semaines</t>
  </si>
  <si>
    <t>52週</t>
  </si>
  <si>
    <t>52-недельный</t>
  </si>
  <si>
    <t>52 semanas</t>
  </si>
  <si>
    <t>52-Wochen</t>
  </si>
  <si>
    <t>52-settimane</t>
  </si>
  <si>
    <t>52주</t>
  </si>
  <si>
    <t>公司名称</t>
  </si>
  <si>
    <t>公司名稱</t>
  </si>
  <si>
    <t>Dénomination</t>
  </si>
  <si>
    <t>Nome</t>
  </si>
  <si>
    <t>企業名</t>
  </si>
  <si>
    <t>Наименование</t>
  </si>
  <si>
    <t>Nombre</t>
  </si>
  <si>
    <t>회사명</t>
  </si>
  <si>
    <t>复合年均增长率 (五年)</t>
  </si>
  <si>
    <t>複合年均增長率 (五年)</t>
  </si>
  <si>
    <t>CAGR [taux de croissance annuel composé] (5 ans)</t>
  </si>
  <si>
    <t>Durchschnittliche jährliche Wachstumsrate (5 Jahre)</t>
  </si>
  <si>
    <t>CAGR (5 anni)</t>
  </si>
  <si>
    <t>平均年間成長率 (5年)</t>
  </si>
  <si>
    <t>Совокупный среднегодовой темп роста (CAGR) (5 лет)</t>
  </si>
  <si>
    <t>Tasa de crecimiento anual compuesto (5 años)</t>
  </si>
  <si>
    <t>CAGR (5년)</t>
  </si>
  <si>
    <t>摊薄每股盈利(不包括非经常性项目) %</t>
  </si>
  <si>
    <t>攤薄每股盈利(不包括非經常性項目) %</t>
  </si>
  <si>
    <t>BPA dilué avant Extra (%)</t>
  </si>
  <si>
    <t>潜在株式調整後一株当たり利益 (%)</t>
  </si>
  <si>
    <t>Разбавленный EPS перед дополнительными элементами (%)</t>
  </si>
  <si>
    <t>BPA diluido antes de Extra (%)</t>
  </si>
  <si>
    <t>Verwässerter EPS vor Extra (%)</t>
  </si>
  <si>
    <t>EPS diluito al lordo dell'Extra (%)</t>
  </si>
  <si>
    <t>추가항목 이전 희석 EPS(%)</t>
  </si>
  <si>
    <t>总负债  / 总资产 (%)</t>
  </si>
  <si>
    <t>總負債  / 總資產 (%)</t>
  </si>
  <si>
    <t>Passif total / Actif total (%)</t>
  </si>
  <si>
    <t>Gesamtschulden/Gesamtvermögen (%)</t>
  </si>
  <si>
    <t>Totale passività/ Totale attività (%)</t>
  </si>
  <si>
    <t>総負債 / 総資産(%)</t>
  </si>
  <si>
    <t>Итого Обязательства / Итого Активы (%)</t>
  </si>
  <si>
    <t>Total de Pasivos / Total de Activos (%)</t>
  </si>
  <si>
    <t>총 부채 / 총 자산(%)</t>
  </si>
  <si>
    <t>息稅前利潤/利息费用</t>
  </si>
  <si>
    <t>息稅前利潤/利息費用</t>
  </si>
  <si>
    <t>EBIT / Frais d'intérêt</t>
  </si>
  <si>
    <t>EBIT/支払利息</t>
  </si>
  <si>
    <t>EBIT / Процентные расходы</t>
  </si>
  <si>
    <t>EBIT / Gastos por intereses</t>
  </si>
  <si>
    <t>EBIT/Zinsaufwand</t>
  </si>
  <si>
    <t>EBIT/Interesse passivo</t>
  </si>
  <si>
    <t>EBIT/이자비용</t>
  </si>
  <si>
    <t>总收入/员工</t>
  </si>
  <si>
    <t>總收入/員工</t>
  </si>
  <si>
    <t>Total des recettes/ Employé</t>
  </si>
  <si>
    <t>Score Altman Z</t>
  </si>
  <si>
    <t>総収入/従業員</t>
  </si>
  <si>
    <t>Общий доход/работник</t>
  </si>
  <si>
    <t>Ingresos totales / empleado</t>
  </si>
  <si>
    <t xml:space="preserve"> アルトマンのZ値</t>
  </si>
  <si>
    <t>Альтман Z Оценка</t>
  </si>
  <si>
    <t>Puntuación Altman Z</t>
  </si>
  <si>
    <t>Summe der Erlöse/Mitarbeiter</t>
  </si>
  <si>
    <t>Totale ricavi/dipendente</t>
  </si>
  <si>
    <t>Z-Score nach Altman</t>
  </si>
  <si>
    <t>Altman punteggio zeta</t>
  </si>
  <si>
    <t>총 수익/직원</t>
  </si>
  <si>
    <t>알트만 Z 스코어</t>
  </si>
  <si>
    <t>税息折旧及摊销前利润 /利息费用</t>
  </si>
  <si>
    <t>稅息折舊及攤銷前利潤 /利息費用</t>
  </si>
  <si>
    <t>EBITDA / charge d’intérêt</t>
  </si>
  <si>
    <t>EBITDA/Zinsaufwand</t>
  </si>
  <si>
    <t>EBITDA/Interessi passivi</t>
  </si>
  <si>
    <t>EBITDA/支払利息</t>
  </si>
  <si>
    <t>EBITDA / процентные расходы</t>
  </si>
  <si>
    <t>EBITDA / Gastos por Intereses</t>
  </si>
  <si>
    <t>EBITDA/이자비용</t>
  </si>
  <si>
    <t>(税息折旧及摊销前利润-资本支出)/利息费用</t>
  </si>
  <si>
    <t>(稅息折舊及攤銷前利潤-資本支出)/利息費用</t>
  </si>
  <si>
    <t>(EBITDA-CAPEX) / charge d’intérêt</t>
  </si>
  <si>
    <t>(EBITDA-CAPEX)/Zinsaufwand</t>
  </si>
  <si>
    <t>(EBITDA-CAPEX)/Interessi passivi</t>
  </si>
  <si>
    <t>(EBITDA-設備投資)/支払利息</t>
  </si>
  <si>
    <t>(EBITDA-CAPEX) / Процентные расходы</t>
  </si>
  <si>
    <t>(EBITDA-Gastos de capital) / Gastos por intereses</t>
  </si>
  <si>
    <t>(EBITDA-CAPEX)/이자비용</t>
  </si>
  <si>
    <t>总债务/税息折旧及摊销前利润</t>
  </si>
  <si>
    <t>總債務/稅息折舊及攤銷前利潤</t>
  </si>
  <si>
    <t>Dette totale / EBITDA</t>
  </si>
  <si>
    <t>Gesamtverschuldung/EBITDA</t>
  </si>
  <si>
    <t>Indebitamento totale/EBITDA</t>
  </si>
  <si>
    <t>有利子負債/EBITDA</t>
  </si>
  <si>
    <t>Общая задолженность / EBITDA</t>
  </si>
  <si>
    <t>Deuda Total / EBITDA</t>
  </si>
  <si>
    <t>총부채/EBITDA</t>
  </si>
  <si>
    <t>净债务 / 税息折旧及摊销前利润</t>
  </si>
  <si>
    <t>淨債務 / 稅息折舊及攤銷前利潤</t>
  </si>
  <si>
    <t>Dette nette / EBITDA</t>
  </si>
  <si>
    <t>Nettoverschuldung/EBITDA</t>
  </si>
  <si>
    <t>Indebitamento netto/EBITDA</t>
  </si>
  <si>
    <t>純有利子負債 / EBITDA</t>
  </si>
  <si>
    <t>Чистая задолженность / EBITDA</t>
  </si>
  <si>
    <t>Deuda Neta / EBITDA</t>
  </si>
  <si>
    <t>순부채 / EBITDA</t>
  </si>
  <si>
    <t>总债务 / （息税折旧摊销前利润 - 资本支出）</t>
  </si>
  <si>
    <t xml:space="preserve">總債務 / （息稅折舊攤銷前利潤 - 資本支出） </t>
  </si>
  <si>
    <t>Dette totale / (EBITDA-Dépenses en immobilisations)</t>
  </si>
  <si>
    <t>Gesamtverschuldung/(EBITDA-CAPEX)</t>
  </si>
  <si>
    <t>Debito totale/(EBITDA-CAPEX)</t>
  </si>
  <si>
    <t>総負債 / (EBITDA-設備投資)</t>
  </si>
  <si>
    <t>Общая задолженность / (EBITDA-CAPEX)</t>
  </si>
  <si>
    <t>Deuda total / (EBITDA-Gastos de capital)</t>
  </si>
  <si>
    <t>총부채/(EBITDA-CAPEX)</t>
  </si>
  <si>
    <t>净债务 / （息税折旧摊销前利润 - 资本支出）</t>
  </si>
  <si>
    <t xml:space="preserve">淨債務 /（息稅折舊攤銷前利潤 - 資本支出） </t>
  </si>
  <si>
    <t>Dette net / (EBITDA-Dépenses en immobilisations)</t>
  </si>
  <si>
    <t>Nettoverschuldung/(EBITDA-CAPEX)</t>
  </si>
  <si>
    <t>Debito netto/(EBITDA-CAPEX)</t>
  </si>
  <si>
    <t>純負債 / (EBITDA-設備投資)</t>
  </si>
  <si>
    <t>Чистый долг / (EBITDA-CAPEX)</t>
  </si>
  <si>
    <t>Deuda neta / (EBITDA-Gastos de capital)</t>
  </si>
  <si>
    <t>순부채/(EBITDA-CAPEX)</t>
  </si>
  <si>
    <t>经营现金流量与流动负债比率</t>
  </si>
  <si>
    <t>經營現金流量與流動負債比率</t>
  </si>
  <si>
    <t>Flux de trésorerie provenant des opérations au passif courant</t>
  </si>
  <si>
    <t>営業活動によるキャッシュ/流動負債</t>
  </si>
  <si>
    <t>Денежные средства от операционной деятельности к кредитным обязательствам</t>
  </si>
  <si>
    <t>Efectivo de operaciones a pasivos corrientes</t>
  </si>
  <si>
    <t>Betriebliche Barerlöse zu kurzfristigen Verbindlichkeiten</t>
  </si>
  <si>
    <t>Contante da attività a passività correnti</t>
  </si>
  <si>
    <t>운용에서 유동 부채로의 현금</t>
  </si>
  <si>
    <t>应收账款周转率</t>
  </si>
  <si>
    <t>應收賬款周轉率</t>
  </si>
  <si>
    <t>Chiffre d'affaires des comptes débiteurs</t>
  </si>
  <si>
    <t>Umsatz von Forderungen</t>
  </si>
  <si>
    <t>Fatturato di crediti verso clienti</t>
  </si>
  <si>
    <t>売上債権回転率</t>
  </si>
  <si>
    <t>Оборачиваемость дебиторской задолженности</t>
  </si>
  <si>
    <t>Rotación de cuentas por cobrar</t>
  </si>
  <si>
    <t>매출채권회전율</t>
  </si>
  <si>
    <t>资本支出占收入的百分比</t>
  </si>
  <si>
    <t>資本支出佔收入的百分比</t>
  </si>
  <si>
    <t>Investissements en % des revenus</t>
  </si>
  <si>
    <t>設備投資率</t>
  </si>
  <si>
    <t>Капитальные затраты как % от выручки</t>
  </si>
  <si>
    <t>Gastos de capital como% de ingresos</t>
  </si>
  <si>
    <t>Anlageinvestitionen in % der Erlöse</t>
  </si>
  <si>
    <t>Capex come % ricavi</t>
  </si>
  <si>
    <t>수익 기준 자본 지출 비율(%)</t>
  </si>
  <si>
    <t>税息折旧及摊销前利润率 (%)</t>
  </si>
  <si>
    <t>稅息折舊及攤銷前利潤率 (%)</t>
  </si>
  <si>
    <t>Marge EBITDA (%)</t>
  </si>
  <si>
    <t>息稅前利潤率 (%)</t>
  </si>
  <si>
    <t>Marge EBIT (%)</t>
  </si>
  <si>
    <t>EBITDA Маржа (%)</t>
  </si>
  <si>
    <t>EBITDA de Margen (%)</t>
  </si>
  <si>
    <t>EBIT利益率 (%)</t>
  </si>
  <si>
    <t>Маржа EBIT (%)</t>
  </si>
  <si>
    <t>Margen EBIT (%)</t>
  </si>
  <si>
    <t>EBITDA-Marge (%)</t>
  </si>
  <si>
    <t>Margine EBITDA (%)</t>
  </si>
  <si>
    <t>EBIT-Marge (%)</t>
  </si>
  <si>
    <t>Margine EBIT (%)</t>
  </si>
  <si>
    <t>EBITDA 마진(%)</t>
  </si>
  <si>
    <t>EBIT 마진(%)</t>
  </si>
  <si>
    <t>Valeur totale de l'entreprise / Revenu total</t>
  </si>
  <si>
    <t>TEV /総収入</t>
  </si>
  <si>
    <t>Итоговая стоимость бизнеса / Итоговая выручка</t>
  </si>
  <si>
    <t>Valor de Empresa Total / Ingresos totales</t>
  </si>
  <si>
    <t>TEV / Gesamterlös</t>
  </si>
  <si>
    <t>TEV/Totale ricavi</t>
  </si>
  <si>
    <t>TEV / 총 수입</t>
  </si>
  <si>
    <t>股价/有形账面价值</t>
  </si>
  <si>
    <t>股價/有形賬面價值</t>
  </si>
  <si>
    <t>Prix/valeur comptable tangible</t>
  </si>
  <si>
    <t>株価 / 有形純資産額</t>
  </si>
  <si>
    <t>Цена / материальная балансовая стоимость</t>
  </si>
  <si>
    <t>Precio / valor contable tangible</t>
  </si>
  <si>
    <t>P/BV des Materialvermögens</t>
  </si>
  <si>
    <t>P/BV tangibile</t>
  </si>
  <si>
    <t>P/유형 BV</t>
  </si>
  <si>
    <t>总企业价值/息稅前利潤</t>
  </si>
  <si>
    <t>總企業價值/息稅前利潤</t>
  </si>
  <si>
    <t>Valeur de l'entreprise/EBIT</t>
  </si>
  <si>
    <t>Gesamtunternehmenswert / EBIT</t>
  </si>
  <si>
    <t>Valore aziendale totale / EBIT</t>
  </si>
  <si>
    <t>企業価値/EBIT（倍）</t>
  </si>
  <si>
    <t>Общая стоимость предприятия / EBIT</t>
  </si>
  <si>
    <t>Valor total de la empresa / EBIT</t>
  </si>
  <si>
    <t>市净率</t>
  </si>
  <si>
    <t>市淨率</t>
  </si>
  <si>
    <t>Cours/Valeur comptable</t>
  </si>
  <si>
    <t>Preis / Buchwert</t>
  </si>
  <si>
    <t>Prezzo / Valore di bilancio</t>
  </si>
  <si>
    <t>PBR（倍）</t>
  </si>
  <si>
    <t>Цена / балансовая стоимость (P/BV)</t>
  </si>
  <si>
    <t>Precio / Valor en libros</t>
  </si>
  <si>
    <t>PBR</t>
  </si>
  <si>
    <t>盈利能力</t>
  </si>
  <si>
    <t>獲利能力</t>
  </si>
  <si>
    <t>Rentabilité</t>
  </si>
  <si>
    <t>Rentabilität</t>
  </si>
  <si>
    <t>Redditività</t>
  </si>
  <si>
    <t>利益率</t>
  </si>
  <si>
    <t>Рентабельность</t>
  </si>
  <si>
    <t>Rentabilidad</t>
  </si>
  <si>
    <t>수익성</t>
  </si>
  <si>
    <t>确定福利总成本，包括补充计划</t>
  </si>
  <si>
    <t>確定福利總成本，包括補充計劃</t>
  </si>
  <si>
    <t>Coût total des régimes à prestations définies, y compris les régimes complémentaires</t>
  </si>
  <si>
    <t>確定給付 - 給付総費用(補足的なプラン含む)</t>
  </si>
  <si>
    <t>Общая стоимость планов с установленными выплатами, включая дополнительные планы</t>
  </si>
  <si>
    <t>Beneficio Definido Costo total incluyendo planes suplementarios</t>
  </si>
  <si>
    <t>Leistungsorientiertes Pensionsprogramm, Gesamtkosten inkl. Zusatzplänen</t>
  </si>
  <si>
    <t>Costo totale benefici def. incl. piani flessibili</t>
  </si>
  <si>
    <t>확정급여형 연금 부가 계획 포함 총 비용</t>
  </si>
  <si>
    <t>养老金资产的预期收益</t>
  </si>
  <si>
    <t>養老金資產的預期收益</t>
  </si>
  <si>
    <t>Dépenses sur les actifs de pension</t>
  </si>
  <si>
    <t>假定补偿增长率</t>
  </si>
  <si>
    <t>假定補償增長率</t>
  </si>
  <si>
    <t>Taux de croissance de la rémunération présumée</t>
  </si>
  <si>
    <t>年金資産の期待収益率</t>
  </si>
  <si>
    <t>Расходы на пенсионные активы</t>
  </si>
  <si>
    <t>Gastos Sobre los activos de la pensión</t>
  </si>
  <si>
    <t>想定成長率</t>
  </si>
  <si>
    <t>Предполагаемая норма возмещения</t>
  </si>
  <si>
    <t>Supuesto Tasa de crecimiento integral</t>
  </si>
  <si>
    <t>Erwartete Rendite auf Pensionsvermögen</t>
  </si>
  <si>
    <t>Attività rit. pensione attese</t>
  </si>
  <si>
    <t>Angenommene Leistungszuwachsrate</t>
  </si>
  <si>
    <t>Tasso crescita società supposto</t>
  </si>
  <si>
    <t>연금 자산의 예상 보유</t>
  </si>
  <si>
    <t>가정된 회사 성장률</t>
  </si>
  <si>
    <t>债务折现率</t>
  </si>
  <si>
    <t>債務折現率</t>
  </si>
  <si>
    <t>Taux d'actualisation sur les obligations</t>
  </si>
  <si>
    <t>債務の割引率</t>
  </si>
  <si>
    <t>Ставка дисконта по обязательствам</t>
  </si>
  <si>
    <t>Tasa de descuento en las obligaciones</t>
  </si>
  <si>
    <t>Abzinsungssatz für Verpflichtungen</t>
  </si>
  <si>
    <t>Tasso di sconto sulle obbligazioni</t>
  </si>
  <si>
    <t>채무 할인율</t>
  </si>
  <si>
    <t>其他离职后福利-国内</t>
  </si>
  <si>
    <t>其他離職後福利-國內</t>
  </si>
  <si>
    <t>Autres avantages postérieurs à l'emploi (OPEB) - national</t>
  </si>
  <si>
    <t>OPEB - 国内</t>
  </si>
  <si>
    <t>Другие пособия по окончании трудовой деятельности (OPEB) - национальные</t>
  </si>
  <si>
    <t>Otros beneficios post-empleo (OPEB) - Doméstico</t>
  </si>
  <si>
    <t>OPEB – Inland</t>
  </si>
  <si>
    <t>OPEB - Nazionale</t>
  </si>
  <si>
    <t>OPEB - 국내</t>
  </si>
  <si>
    <t>养老金-外国</t>
  </si>
  <si>
    <t>養老金-外國</t>
  </si>
  <si>
    <t>Pension - Étranger</t>
  </si>
  <si>
    <t>年金 - 外国</t>
  </si>
  <si>
    <t>Пенсионный - Иностранный</t>
  </si>
  <si>
    <t>Pensión - Extranjero</t>
  </si>
  <si>
    <t>Pension – Ausland</t>
  </si>
  <si>
    <t>Pensioni - Estero</t>
  </si>
  <si>
    <t>연금 - 외국</t>
  </si>
  <si>
    <t>低</t>
  </si>
  <si>
    <t>Faible</t>
  </si>
  <si>
    <t>Niedrig</t>
  </si>
  <si>
    <t>Basso</t>
  </si>
  <si>
    <t>Низкий</t>
  </si>
  <si>
    <t>Bajo</t>
  </si>
  <si>
    <t>낮음</t>
  </si>
  <si>
    <t>在</t>
  </si>
  <si>
    <t>dans</t>
  </si>
  <si>
    <t>im</t>
  </si>
  <si>
    <t>nella</t>
  </si>
  <si>
    <t>に</t>
  </si>
  <si>
    <t>в</t>
  </si>
  <si>
    <t>En</t>
  </si>
  <si>
    <t>...에서</t>
  </si>
  <si>
    <t>EBITDA, Excl. Operating Leases/Interest Expense</t>
  </si>
  <si>
    <t>(EBITDA, Excl. Operating Leases-CAPEX)/Interest Exp.</t>
  </si>
  <si>
    <t>Total Debt / EBITDA, Excl. Operating Leases</t>
  </si>
  <si>
    <t>Net Debt/EBITDA, Excl. Operating Leases</t>
  </si>
  <si>
    <t>Total Debt/(EBITDA, Excl. Operating Leases - CAPEX)</t>
  </si>
  <si>
    <t>Net Debt/(EBITDA, Excl. Operating Leases - CAPEX)</t>
  </si>
  <si>
    <t>(税息折旧及摊销前利润,不包括经营租赁- 资本支出)/利息费用</t>
  </si>
  <si>
    <t>(稅息折舊及攤銷前利潤,不包括經營租賃 - 資本支出)/利息費用</t>
  </si>
  <si>
    <t>(EBITDA, à l'exclusion du leasing opérationnel- CAPEX)/Charge d'intérêts</t>
  </si>
  <si>
    <t>(EBITDA, ohne Operating-Leasing – ANLAGEINVESTITIONEN)/Zinsaufwand</t>
  </si>
  <si>
    <t>(EBITDA, escl. locazioni operative- CAPEX)/Interessi passivi</t>
  </si>
  <si>
    <t>(EBITDA,次の値を除 オペレーティング・リース- 設備投資)/支払利息</t>
  </si>
  <si>
    <t>(EBITDA, исключая операционную аренду- CAPEX)/Процентные расходы</t>
  </si>
  <si>
    <t>(EBITDA, excluyendo arrendamientos operativos- CAPEX)/Gastos por intereses</t>
  </si>
  <si>
    <t>(EBITDA, 운용리스 제외- CAPEX)/이자비용</t>
  </si>
  <si>
    <t>税息折旧及摊销前利润,不包括经营租赁/利息费用</t>
  </si>
  <si>
    <t>稅息折舊及攤銷前利潤,不包括經營租賃/利息費用</t>
  </si>
  <si>
    <t>EBITDA, à l'exclusion du leasing opérationnel/Charge d'intérêts</t>
  </si>
  <si>
    <t>EBITDA, ohne Operating-Leasing/Zinsaufwand</t>
  </si>
  <si>
    <t>EBITDA, escl. locazioni operative/Interessi passivi</t>
  </si>
  <si>
    <t>EBITDA,次の値を除 オペレーティング・リース/支払利息</t>
  </si>
  <si>
    <t>EBITDA, исключая операционную аренду/Процентные расходы</t>
  </si>
  <si>
    <t>EBITDA, excluyendo arrendamientos operativos/Gastos por intereses</t>
  </si>
  <si>
    <t>EBITDA, 운용리스 제외/이자비용</t>
  </si>
  <si>
    <t>净债务 /(税息折旧及摊销前利润,不包括经营租赁- 资本支出)</t>
  </si>
  <si>
    <t>淨債務 /(稅息折舊及攤銷前利潤,不包括經營租賃 - 資本支出)</t>
  </si>
  <si>
    <t>Dette nette /(EBITDA, à l'exclusion du leasing opérationnel- CAPEX)</t>
  </si>
  <si>
    <t>Nettoverschuldung/(EBITDA, ohne Operating-Leasing– ANLAGEINVESTITIONEN)</t>
  </si>
  <si>
    <t>Indebitamento netto/(EBITDA, escl. locazioni operative- CAPEX)</t>
  </si>
  <si>
    <t xml:space="preserve"> 純有利子負債 /(EBITDA,次の値を除 オペレーティング・リース- 設備投資)</t>
  </si>
  <si>
    <t>Чистая задолженность /(EBITDA, исключая операционную аренду- CAPEX)</t>
  </si>
  <si>
    <t>Deuda Neta /(EBITDA, excluyendo arrendamientos operativos- CAPEX)</t>
  </si>
  <si>
    <t>순 채무/(EBITDA, 운용리스 제외- CAPEX)</t>
  </si>
  <si>
    <t>净债务 /税息折旧及摊销前利润,不包括经营租赁</t>
  </si>
  <si>
    <t>淨債務 /稅息折舊及攤銷前利潤,不包括經營租賃</t>
  </si>
  <si>
    <t>Dette nette /EBITDA, à l'exclusion du leasing opérationnel</t>
  </si>
  <si>
    <t>Nettoverschuldung/EBITDA, ohne Operating-Leasing</t>
  </si>
  <si>
    <t>Indebitamento netto/EBITDA, escl. locazioni operative</t>
  </si>
  <si>
    <t xml:space="preserve"> 純有利子負債 /EBITDA,次の値を除 オペレーティング・リース</t>
  </si>
  <si>
    <t>Чистая задолженность /EBITDA, исключая операционную аренду</t>
  </si>
  <si>
    <t>Deuda Neta /EBITDA, excluyendo arrendamientos operativos</t>
  </si>
  <si>
    <t>순 채무/EBITDA, 운용리스 제외</t>
  </si>
  <si>
    <t>总债务/税息折旧及摊销前利润,不包括经营租赁</t>
  </si>
  <si>
    <t>總債務/稅息折舊及攤銷前利潤,不包括經營租賃</t>
  </si>
  <si>
    <t>Dette totale/EBITDA, à l'exclusion du leasing opérationnel</t>
  </si>
  <si>
    <t>Gesamtverschuldung/EBITDA, ohne Operating-Leasing</t>
  </si>
  <si>
    <t>Indebitamento totale/EBITDA, escl. locazioni operative</t>
  </si>
  <si>
    <t>有利子負債合計/EBITDA,次の値を除 オペレーティング・リース</t>
  </si>
  <si>
    <t>Общая задолженность/EBITDA, исключая операционную аренду</t>
  </si>
  <si>
    <t>Deuda total/EBITDA, excluyendo arrendamientos operativos</t>
  </si>
  <si>
    <t>총 부채/EBITDA, 운용리스 제외</t>
  </si>
  <si>
    <t>总债务/(税息折旧及摊销前利润,不包括经营租赁- 资本支出)</t>
  </si>
  <si>
    <t>總債務/(稅息折舊及攤銷前利潤,不包括經營租賃 - 資本支出)</t>
  </si>
  <si>
    <t>Dette totale/(EBITDA, à l'exclusion du leasing opérationnel- CAPEX)</t>
  </si>
  <si>
    <t>Gesamtverschuldung/(EBITDA, ohne Operating-Leasing– ANLAGEINVESTITIONEN)</t>
  </si>
  <si>
    <t>Indebitamento totale/(EBITDA, escl. locazioni operative- CAPEX)</t>
  </si>
  <si>
    <t>有利子負債合計/(EBITDA,次の値を除 オペレーティング・リース- 設備投資)</t>
  </si>
  <si>
    <t>Общая задолженность/(EBITDA, исключая операционную аренду- CAPEX)</t>
  </si>
  <si>
    <t>Deuda total/(EBITDA, excluyendo arrendamientos operativos- CAPEX)</t>
  </si>
  <si>
    <t>총 부채/(EBITDA, 운용리스 제외- CAPEX)</t>
  </si>
  <si>
    <t>Def. Benefits Paid</t>
  </si>
  <si>
    <t>Rate of Comp. Increase - Max</t>
  </si>
  <si>
    <t>Discount Rate on Obligations</t>
  </si>
  <si>
    <t>52-Week</t>
  </si>
  <si>
    <t>High</t>
  </si>
  <si>
    <t xml:space="preserve"> 总资产</t>
  </si>
  <si>
    <t xml:space="preserve"> 總資産</t>
  </si>
  <si>
    <t>Natural Resources, at Cost</t>
  </si>
  <si>
    <t>Number Of ADR Holders</t>
  </si>
  <si>
    <t>Debt Equiv. of Unfunded Proj. Benefit Obligation</t>
  </si>
  <si>
    <t>Debt Equivalent Oper. Leases</t>
  </si>
  <si>
    <t>Total Restricted Cash</t>
  </si>
  <si>
    <t>Intercompany Current Assets</t>
  </si>
  <si>
    <t>Assets Under Management - Equity</t>
  </si>
  <si>
    <t>Assets Under Management - Fixed</t>
  </si>
  <si>
    <t>Assets Under Management - Money Market</t>
  </si>
  <si>
    <t>Assets Under Management - Other</t>
  </si>
  <si>
    <t>Trans. Impact of FIN 48 on Current Assets</t>
  </si>
  <si>
    <t>Trans. Impact of FIN 48 on Long Term Assets</t>
  </si>
  <si>
    <t>Trans. Impact of FIN 48 on Current Liabilities</t>
  </si>
  <si>
    <t>Trans. Impact of FIN 48 on Non-Current Liabilities</t>
  </si>
  <si>
    <t>Trans. Impact of FIN 48 on Retained Earnings</t>
  </si>
  <si>
    <t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t>
  </si>
  <si>
    <t>In</t>
  </si>
  <si>
    <t>以百万计算，每股数据除外</t>
  </si>
  <si>
    <t>以百萬計算，每股數據除外</t>
  </si>
  <si>
    <t>en millions, sauf données par action</t>
  </si>
  <si>
    <t>in Millionen, außer Angaben pro Aktie</t>
  </si>
  <si>
    <t>in milioni, eccetto per dati di azione</t>
  </si>
  <si>
    <t>В миллионах, кроме данных в расчете на одну акцию</t>
  </si>
  <si>
    <t>expresados en millones, excepto la información por acción</t>
  </si>
  <si>
    <t xml:space="preserve">단위 : 백만, 주당 데이터 제외 </t>
  </si>
  <si>
    <t>Cash Dividend and Interest Received</t>
  </si>
  <si>
    <t>Levered Free Cash Flow</t>
  </si>
  <si>
    <t>Unlevered Free Cash Flow</t>
  </si>
  <si>
    <t>Total Liabilities</t>
  </si>
  <si>
    <t>Total Pref. Equity</t>
  </si>
  <si>
    <t>优先股总数</t>
  </si>
  <si>
    <t>優先股總數</t>
  </si>
  <si>
    <t>Total Préférence Quote-part dans les capitaux propres (20%)</t>
  </si>
  <si>
    <t>Vorzugskapital insgesamt</t>
  </si>
  <si>
    <t>Totale capitale proprio privilegiato</t>
  </si>
  <si>
    <t>優先株式合計</t>
  </si>
  <si>
    <t>Всего привилегированных акций</t>
  </si>
  <si>
    <t>Total participación preferente</t>
  </si>
  <si>
    <t>총 우선주</t>
  </si>
  <si>
    <t>Total Non-Current Debt</t>
  </si>
  <si>
    <t>Prezzo/</t>
  </si>
  <si>
    <t>总债务/</t>
  </si>
  <si>
    <t>總債務/</t>
  </si>
  <si>
    <t>净债务/</t>
  </si>
  <si>
    <t>淨債務/</t>
  </si>
  <si>
    <t>Nettoverschuldung/</t>
  </si>
  <si>
    <t>/Interesse</t>
  </si>
  <si>
    <t>Exercice financier-2</t>
  </si>
  <si>
    <t>Exercice financier-1</t>
  </si>
  <si>
    <t>Собственный капитал</t>
  </si>
  <si>
    <t>BAABTAVMT0NBTAFI/////wFQiBYAACxDSVEuTllTRTpJQk0uSVFfRUJJVERBLjEwMDAuNC8xLzIwMjUuLi5VU0QuSAEAAADetgEAAgAAAAUxMDQ0MgEIAAAABQAAAAExAQAAAAstMTk1ODI4MTA5NwMAAAADMTYwAgAAAAQ0MDUxBAAAAAEwBwAAAAg0LzEvMjAyNQgAAAAKMTIvMzEvMjAyNAkAAAABMEjqUBO/c90I/zjolMRz3QgsQ0lRLk5ZU0U6SUJNLklRX0VCSVREQS4yMDAwLjQvMS8yMDI1Li4uVVNELkgBAAAA3rYBAAIAAAAFMTA0NDIBCAAAAAUAAAABMQEAAAALLTE5NTgyODA2MTUDAAAAAzE2MAIAAAAENDA1MQQAAAABMAcAAAAINC8xLzIwMjUIAAAACjEyLzMxLzIwMjQJAAAAATBI6lATv3PdCKrq55TEc90IJ0NJUS5OWVNFOklCTS5JUV9QRVJJT0REQVRFLjk5OC40LzEvMjAyNQEAAADetgEABQAAAAoxMi8zMS8yMDIyAGInh3+5c90I/zjolMRz3QgnQ0lRLk5ZU0U6SUJNLklRX1BFUklPRERBVEUuOTk5LjQvMS8yMDI1AQAAAN62AQAFAAAACjEyLzMxLzIwMjMAYieHf7lz3Qj/OOiUxHPdCChDSVEuTllTRTpJQk0uSVFfUEVSSU9EREFURS4xMDAwLjQvMS8yMDI1AQAAAN62AQAFAAAACjEyLzMxLzIwMjQASOpQE79z3Qj/OOiUxHPdCChDSVEuTllTRTpJQk0uSVFfUEVSSU9EREFURS4yMDAwLjQvMS8yMDI1AQAAAN62AQAFAAAACjEyLzMxLzIwMjQASOpQE79z3Qj/OOiUxHPdCCdDSVEuTllTRTpJ</t>
  </si>
  <si>
    <t>Qk0uSVFfUEVSSU9EREFURS45OTMuNC8xLzIwMjUBAAAA3rYBAAUAAAAKMTIvMzEvMjAxNwBiJ4d/uXPdCP846JTEc90IJ0NJUS5OWVNFOklCTS5JUV9QRVJJT0REQVRFLjk5NC40LzEvMjAyNQEAAADetgEABQAAAAoxMi8zMS8yMDE4AGInh3+5c90I/zjolMRz3QgnQ0lRLk5ZU0U6SUJNLklRX1BFUklPRERBVEUuOTk1LjQvMS8yMDI1AQAAAN62AQAFAAAACjEyLzMxLzIwMTkAYieHf7lz3Qj/OOiUxHPdCCdDSVEuTllTRTpJQk0uSVFfUEVSSU9EREFURS45OTYuNC8xLzIwMjUBAAAA3rYBAAUAAAAKMTIvMzEvMjAyMABiJ4d/uXPdCP846JTEc90IJ0NJUS5OWVNFOklCTS5JUV9QRVJJT0REQVRFLjk5Ny40LzEvMjAyNQEAAADetgEABQAAAAoxMi8zMS8yMDIxAGInh3+5c90I/zjolMRz3QgnQ0lRLk5ZU0U6SUJNLklRX1BFUklPRERBVEUuOTkwLjQvMS8yMDI1AQAAAN62AQAFAAAACjEyLzMxLzIwMTQAYieHf7lz3Qj/OOiUxHPdCCdDSVEuTllTRTpJQk0uSVFfUEVSSU9EREFURS45OTEuNC8xLzIwMjUBAAAA3rYBAAUAAAAKMTIvMzEvMjAxNQBiJ4d/uXPdCP846JTEc90IJ0NJUS5OWVNFOklCTS5JUV9QRVJJT0REQVRFLjk5Mi40LzEvMjAyNQEAAADetgEABQAAAAoxMi8zMS8yMDE2AGInh3+5c90I/zjolMRz3Qg0Q0lRLk5ZU0U6SUJNLklRX0RJTFVUX0VQU19FWENMLjEwMDAuNC8xLzIwMjUuLi5VU0Qu</t>
  </si>
  <si>
    <t>SAEAAADetgEAAgAAAAg2LjQxOTk5OQEIAAAABQAAAAExAQAAAAstMTk1ODI4MTA5NwMAAAADMTYwAgAAAAMxNDIEAAAAATAHAAAACDQvMS8yMDI1CAAAAAoxMi8zMS8yMDI0CQAAAAEwSOpQE79z3Qj/OOiUxHPdCDRDSVEuTllTRTpJQk0uSVFfRElMVVRfRVBTX0VYQ0wuMjAwMC40LzEvMjAyNS4uLlVTRC5IAQAAAN62AQACAAAACDYuNDE5OTk5AQgAAAAFAAAAATEBAAAACy0xOTU4MjgwNjE1AwAAAAMxNjACAAAAAzE0MgQAAAABMAcAAAAINC8xLzIwMjUIAAAACjEyLzMxLzIwMjQJAAAAATBI6lATv3PdCKrq55TEc90IL0NJUS5OWVNFOklCTS5JUV9UT1RBTF9SRVYuMTAwMC40LzEvMjAyNS4uLlVTRC5IAQAAAN62AQACAAAABTYyNzUzAQgAAAAFAAAAATEBAAAACy0xOTU4MjgxMDk3AwAAAAMxNjACAAAAAjI4BAAAAAEwBwAAAAg0LzEvMjAyNQgAAAAKMTIvMzEvMjAyNAkAAAABMEjqUBO/c90I/zjolMRz3QgvQ0lRLk5ZU0U6SUJNLklRX1RPVEFMX1JFVi4yMDAwLjQvMS8yMDI1Li4uVVNELkgBAAAA3rYBAAIAAAAFNjI3NTMBCAAAAAUAAAABMQEAAAALLTE5NTgyODA2MTUDAAAAAzE2MAIAAAACMjgEAAAAATAHAAAACDQvMS8yMDI1CAAAAAoxMi8zMS8yMDI0CQAAAAEwSOpQE79z3Qj/OOiUxHPdCDRDSVEuTllTRTpJQk0uSVFfQUNDVU1fQU1PUlRfR1cuMjAwMC40LzEvMjAyNS4uLlVTRC5IAQAAAN62</t>
  </si>
  <si>
    <t>AQADAAAAAAC/9vp8uXPdCCNR6/HBc90IM0NJUS5OWVNFOklCTS5JUV9BQ0NVTV9BTU9SVF9HVy45OTIuNC8xLzIwMjUuLi5VU0QuSAEAAADetgEAAwAAAAAAv/b6fLlz3QgjUevxwXPdCDNDSVEuTllTRTpJQk0uSVFfQUNDVU1fQU1PUlRfR1cuOTkzLjQvMS8yMDI1Li4uVVNELkgBAAAA3rYBAAMAAAAAAL/2+ny5c90II1Hr8cFz3QgzQ0lRLk5ZU0U6SUJNLklRX0FDQ1VNX0FNT1JUX0dXLjk5NC40LzEvMjAyNS4uLlVTRC5IAQAAAN62AQADAAAAAAC/9vp8uXPdCCNR6/HBc90IM0NJUS5OWVNFOklCTS5JUV9BQ0NVTV9BTU9SVF9HVy45OTUuNC8xLzIwMjUuLi5VU0QuSAEAAADetgEAAwAAAAAAv/b6fLlz3QgjUevxwXPdCDNDSVEuTllTRTpJQk0uSVFfQUNDVU1fQU1PUlRfR1cuOTk2LjQvMS8yMDI1Li4uVVNELkgBAAAA3rYBAAMAAAAAAL/2+ny5c90II1Hr8cFz3QgtQ0lRLk5ZU0U6SUJNLklRX0dST1NTX0dXLjk5OS40LzEvMjAyNS4uLlVTRC5IAQAAAN62AQADAAAAAAC/9vp8uXPdCCNR6/HBc90ILkNJUS5OWVNFOklCTS5JUV9HUk9TU19HVy4xMDAwLjQvMS8yMDI1Li4uVVNELkgBAAAA3rYBAAMAAAAAAL/2+ny5c90II1Hr8cFz3QguQ0lRLk5ZU0U6SUJNLklRX0dST1NTX0dXLjIwMDAuNC8xLzIwMjUuLi5VU0QuSAEAAADetgEAAwAAAAAAv/b6fLlz3QgjUevxwXPdCDNDSVEuTllTRTpJQk0uSVFf</t>
  </si>
  <si>
    <t>QUNDVU1fQU1PUlRfR1cuOTkwLjQvMS8yMDI1Li4uVVNELkgBAAAA3rYBAAMAAAAAAL/2+ny5c90II1Hr8cFz3QgzQ0lRLk5ZU0U6SUJNLklRX0FDQ1VNX0FNT1JUX0dXLjk5MS40LzEvMjAyNS4uLlVTRC5IAQAAAN62AQADAAAAAAC/9vp8uXPdCCNR6/HBc90ILUNJUS5OWVNFOklCTS5JUV9HUk9TU19HVy45OTQuNC8xLzIwMjUuLi5VU0QuSAEAAADetgEAAwAAAAAAv/b6fLlz3QgjUevxwXPdCC1DSVEuTllTRTpJQk0uSVFfR1JPU1NfR1cuOTk1LjQvMS8yMDI1Li4uVVNELkgBAAAA3rYBAAMAAAAAAL/2+ny5c90II1Hr8cFz3QgtQ0lRLk5ZU0U6SUJNLklRX0dST1NTX0dXLjk5Ni40LzEvMjAyNS4uLlVTRC5IAQAAAN62AQADAAAAAAC/9vp8uXPdCCNR6/HBc90ILUNJUS5OWVNFOklCTS5JUV9HUk9TU19HVy45OTcuNC8xLzIwMjUuLi5VU0QuSAEAAADetgEAAwAAAAAAv/b6fLlz3QgjUevxwXPdCC1DSVEuTllTRTpJQk0uSVFfR1JPU1NfR1cuOTk4LjQvMS8yMDI1Li4uVVNELkgBAAAA3rYBAAMAAAAAAL/2+ny5c90II1Hr8cFz3Qg+Q0lRLk5ZU0U6SUJNLklRX0FDQ1VNX0FNT1JUX0lOVEFOX0FTU0VUUy4yMDAwLjQvMS8yMDI1Li4uVVNELkgBAAAA3rYBAAIAAAAFLTgwOTQBCAAAAAUAAAABMQEAAAALLTE5NTgyODA2MTUDAAAAAzE2MAIAAAAFMjQzMzEEAAAAATAHAAAACDQvMS8yMDI1CAAAAAoxMi8z</t>
  </si>
  <si>
    <t>MS8yMDI0CQAAAAEwv/b6fLlz3QgjUevxwXPdCC1DSVEuTllTRTpJQk0uSVFfR1JPU1NfR1cuOTkwLjQvMS8yMDI1Li4uVVNELkgBAAAA3rYBAAMAAAAAAL/2+ny5c90II1Hr8cFz3QgtQ0lRLk5ZU0U6SUJNLklRX0dST1NTX0dXLjk5MS40LzEvMjAyNS4uLlVTRC5IAQAAAN62AQADAAAAAAC/9vp8uXPdCCNR6/HBc90ILUNJUS5OWVNFOklCTS5JUV9HUk9TU19HVy45OTIuNC8xLzIwMjUuLi5VU0QuSAEAAADetgEAAwAAAAAAv/b6fLlz3QgjUevxwXPdCC1DSVEuTllTRTpJQk0uSVFfR1JPU1NfR1cuOTkzLjQvMS8yMDI1Li4uVVNELkgBAAAA3rYBAAMAAAAAAL/2+ny5c90II1Hr8cFz3Qg9Q0lRLk5ZU0U6SUJNLklRX0FDQ1VNX0FNT1JUX0lOVEFOX0FTU0VUUy45OTYuNC8xLzIwMjUuLi5VU0QuSAEAAADetgEAAgAAAAUtNDE2OQEIAAAABQAAAAExAQAAAAstMjA1OTA3MzIwMgMAAAADMTYwAgAAAAUyNDMzMQQAAAABMAcAAAAINC8xLzIwMjUIAAAACjEyLzMxLzIwMjAJAAAAATC/9vp8uXPdCCNR6/HBc90IPUNJUS5OWVNFOklCTS5JUV9BQ0NVTV9BTU9SVF9JTlRBTl9BU1NFVFMuOTk3LjQvMS8yMDI1Li4uVVNELkgBAAAA3rYBAAIAAAAFLTU3NjkBCAAAAAUAAAABMQEAAAALLTIwMDg2NDcxOTgDAAAAAzE2MAIAAAAFMjQzMzEEAAAAATAHAAAACDQvMS8yMDI1CAAAAAoxMi8zMS8yMDIxCQAAAAEwv/b6</t>
  </si>
  <si>
    <t>fLlz3QgjUevxwXPdCD1DSVEuTllTRTpJQk0uSVFfQUNDVU1fQU1PUlRfSU5UQU5fQVNTRVRTLjk5OC40LzEvMjAyNS4uLlVTRC5IAQAAAN62AQACAAAABS01Njk5AQgAAAAFAAAAATEBAAAACy0xOTU4MjgxMDk2AwAAAAMxNjACAAAABTI0MzMxBAAAAAEwBwAAAAg0LzEvMjAyNQgAAAAKMTIvMzEvMjAyMgkAAAABML/2+ny5c90II1Hr8cFz3Qg9Q0lRLk5ZU0U6SUJNLklRX0FDQ1VNX0FNT1JUX0lOVEFOX0FTU0VUUy45OTkuNC8xLzIwMjUuLi5VU0QuSAEAAADetgEAAgAAAAUtNjQ2NgEIAAAABQAAAAExAQAAAAstMTk1ODI4MTA5NQMAAAADMTYwAgAAAAUyNDMzMQQAAAABMAcAAAAINC8xLzIwMjUIAAAACjEyLzMxLzIwMjMJAAAAATC/9vp8uXPdCCNR6/HBc90IPkNJUS5OWVNFOklCTS5JUV9BQ0NVTV9BTU9SVF9JTlRBTl9BU1NFVFMuMTAwMC40LzEvMjAyNS4uLlVTRC5IAQAAAN62AQACAAAABS04MDk0AQgAAAAFAAAAATEBAAAACy0xOTU4MjgxMDk3AwAAAAMxNjACAAAABTI0MzMxBAAAAAEwBwAAAAg0LzEvMjAyNQgAAAAKMTIvMzEvMjAyNAkAAAABML/2+ny5c90II1Hr8cFz3Qg9Q0lRLk5ZU0U6SUJNLklRX0FDQ1VNX0FNT1JUX0lOVEFOX0FTU0VUUy45OTEuNC8xLzIwMjUuLi5VU0QuSAEAAADetgEAAgAAAAUtMjQ3NgEIAAAABQAAAAExAQAAAAoxODc2NDMyODcyAwAAAAMxNjACAAAABTI0MzMx</t>
  </si>
  <si>
    <t>BAAAAAEwBwAAAAg0LzEvMjAyNQgAAAAKMTIvMzEvMjAxNQkAAAABML/2+ny5c90II1Hr8cFz3Qg9Q0lRLk5ZU0U6SUJNLklRX0FDQ1VNX0FNT1JUX0lOVEFOX0FTU0VUUy45OTIuNC8xLzIwMjUuLi5VU0QuSAEAAADetgEAAgAAAAUtMzExNgEIAAAABQAAAAExAQAAAAoxOTQ3MTc5NTgzAwAAAAMxNjACAAAABTI0MzMxBAAAAAEwBwAAAAg0LzEvMjAyNQgAAAAKMTIvMzEvMjAxNgkAAAABML/2+ny5c90II1Hr8cFz3Qg9Q0lRLk5ZU0U6SUJNLklRX0FDQ1VNX0FNT1JUX0lOVEFOX0FTU0VUUy45OTMuNC8xLzIwMjUuLi5VU0QuSAEAAADetgEAAgAAAAUtMjcyOAEIAAAABQAAAAExAQAAAAoyMDE3MTY0MjQ0AwAAAAMxNjACAAAABTI0MzMxBAAAAAEwBwAAAAg0LzEvMjAyNQgAAAAKMTIvMzEvMjAxNwkAAAABML/2+ny5c90II1Hr8cFz3Qg9Q0lRLk5ZU0U6SUJNLklRX0FDQ1VNX0FNT1JUX0lOVEFOX0FTU0VUUy45OTQuNC8xLzIwMjUuLi5VU0QuSAEAAADetgEAAgAAAAUtMjc3MgEIAAAABQAAAAExAQAAAAoyMDgxNTA1NDAxAwAAAAMxNjACAAAABTI0MzMxBAAAAAEwBwAAAAg0LzEvMjAyNQgAAAAKMTIvMzEvMjAxOAkAAAABML/2+ny5c90II1Hr8cFz3Qg9Q0lRLk5ZU0U6SUJNLklRX0FDQ1VNX0FNT1JUX0lOVEFOX0FTU0VUUy45OTUuNC8xLzIwMjUuLi5VU0QuSAEAAADetgEAAgAAAAUtMzMwOQEIAAAA</t>
  </si>
  <si>
    <t>BQAAAAExAQAAAAstMjExMDc2OTM1NQMAAAADMTYwAgAAAAUyNDMzMQQAAAABMAcAAAAINC8xLzIwMjUIAAAACjEyLzMxLzIwMTkJAAAAATC/9vp8uXPdCCNR6/HBc90IN0NJUS5OWVNFOklCTS5JUV9HUk9TU19JTlRBTl9BU1NFVFMuOTk4LjQvMS8yMDI1Li4uVVNELkgBAAAA3rYBAAIAAAAFMTU5MzgBCAAAAAUAAAABMQEAAAALLTE5NTgyODEwOTYDAAAAAzE2MAIAAAAFMjQyOTMEAAAAATAHAAAACDQvMS8yMDI1CAAAAAoxMi8zMS8yMDIyCQAAAAEwv/b6fLlz3QgjUevxwXPdCDdDSVEuTllTRTpJQk0uSVFfR1JPU1NfSU5UQU5fQVNTRVRTLjk5OS40LzEvMjAyNS4uLlVTRC5IAQAAAN62AQACAAAABTE2NjI4AQgAAAAFAAAAATEBAAAACy0xOTU4MjgxMDk1AwAAAAMxNjACAAAABTI0MjkzBAAAAAEwBwAAAAg0LzEvMjAyNQgAAAAKMTIvMzEvMjAyMwkAAAABML/2+ny5c90IhJ/r8cFz3Qg4Q0lRLk5ZU0U6SUJNLklRX0dST1NTX0lOVEFOX0FTU0VUUy4xMDAwLjQvMS8yMDI1Li4uVVNELkgBAAAA3rYBAAIAAAAFMTc5NjQBCAAAAAUAAAABMQEAAAALLTE5NTgyODEwOTcDAAAAAzE2MAIAAAAFMjQyOTMEAAAAATAHAAAACDQvMS8yMDI1CAAAAAoxMi8zMS8yMDI0CQAAAAEwv/b6fLlz3QiEn+vxwXPdCDhDSVEuTllTRTpJQk0uSVFfR1JPU1NfSU5UQU5fQVNTRVRTLjIwMDAuNC8xLzIwMjUuLi5VU0QuSAEA</t>
  </si>
  <si>
    <t>AADetgEAAgAAAAUxNzk2NAEIAAAABQAAAAExAQAAAAstMTk1ODI4MDYxNQMAAAADMTYwAgAAAAUyNDI5MwQAAAABMAcAAAAINC8xLzIwMjUIAAAACjEyLzMxLzIwMjQJAAAAATC/9vp8uXPdCISf6/HBc90IPUNJUS5OWVNFOklCTS5JUV9BQ0NVTV9BTU9SVF9JTlRBTl9BU1NFVFMuOTkwLjQvMS8yMDI1Li4uVVNELkgBAAAA3rYBAAIAAAAFLTMwMjQBCAAAAAUAAAABMQEAAAAKMTgyOTkxMTk2OAMAAAADMTYwAgAAAAUyNDMzMQQAAAABMAcAAAAINC8xLzIwMjUIAAAACjEyLzMxLzIwMTQJAAAAATC/9vp8uXPdCISf6/HBc90IN0NJUS5OWVNFOklCTS5JUV9HUk9TU19JTlRBTl9BU1NFVFMuOTkzLjQvMS8yMDI1Li4uVVNELkgBAAAA3rYBAAIAAAAENTY2MAEIAAAABQAAAAExAQAAAAoyMDE3MTY0MjQ0AwAAAAMxNjACAAAABTI0MjkzBAAAAAEwBwAAAAg0LzEvMjAyNQgAAAAKMTIvMzEvMjAxNwkAAAABML/2+ny5c90IhJ/r8cFz3Qg3Q0lRLk5ZU0U6SUJNLklRX0dST1NTX0lOVEFOX0FTU0VUUy45OTQuNC8xLzIwMjUuLi5VU0QuSAEAAADetgEAAgAAAAQ0OTIxAQgAAAAFAAAAATEBAAAACjIwODE1MDU0MDEDAAAAAzE2MAIAAAAFMjQyOTMEAAAAATAHAAAACDQvMS8yMDI1CAAAAAoxMi8zMS8yMDE4CQAAAAEwv/b6fLlz3QiEn+vxwXPdCDdDSVEuTllTRTpJQk0uSVFfR1JPU1NfSU5UQU5fQVNTRVRTLjk5</t>
  </si>
  <si>
    <t>NS40LzEvMjAyNS4uLlVTRC5IAQAAAN62AQACAAAABTE3NTM4AQgAAAAFAAAAATEBAAAACy0yMTEwNzY5MzU1AwAAAAMxNjACAAAABTI0MjkzBAAAAAEwBwAAAAg0LzEvMjAyNQgAAAAKMTIvMzEvMjAxOQkAAAABML/2+ny5c90IhJ/r8cFz3Qg3Q0lRLk5ZU0U6SUJNLklRX0dST1NTX0lOVEFOX0FTU0VUUy45OTYuNC8xLzIwMjUuLi5VU0QuSAEAAADetgEAAgAAAAUxNjk0NQEIAAAABQAAAAExAQAAAAstMjA1OTA3MzIwMgMAAAADMTYwAgAAAAUyNDI5MwQAAAABMAcAAAAINC8xLzIwMjUIAAAACjEyLzMxLzIwMjAJAAAAATC/9vp8uXPdCISf6/HBc90IN0NJUS5OWVNFOklCTS5JUV9HUk9TU19JTlRBTl9BU1NFVFMuOTk3LjQvMS8yMDI1Li4uVVNELkgBAAAA3rYBAAIAAAAFMTczMzUBCAAAAAUAAAABMQEAAAALLTIwMDg2NDcxOTgDAAAAAzE2MAIAAAAFMjQyOTMEAAAAATAHAAAACDQvMS8yMDI1CAAAAAoxMi8zMS8yMDIxCQAAAAEwv/b6fLlz3QiEn+vxwXPdCDpDSVEuTllTRTpJQk0uSVFfREVSSVZBVElWRV9BU1NFVFNfTFQuMTAwMC40LzEvMjAyNS4uLlVTRC5IAQAAAN62AQACAAAAAjk2AQgAAAAFAAAAATEBAAAACy0xOTU4MjgxMDk3AwAAAAMxNjACAAAABDExMTAEAAAAATAHAAAACDQvMS8yMDI1CAAAAAoxMi8zMS8yMDI0CQAAAAEwv/b6fLlz3QiEn+vxwXPdCDpDSVEuTllTRTpJQk0uSVFfREVS</t>
  </si>
  <si>
    <t>SVZBVElWRV9BU1NFVFNfTFQuMjAwMC40LzEvMjAyNS4uLlVTRC5IAQAAAN62AQACAAAAAjk2AQgAAAAFAAAAATEBAAAACy0xOTU4MjgwNjE1AwAAAAMxNjACAAAABDExMTAEAAAAATAHAAAACDQvMS8yMDI1CAAAAAoxMi8zMS8yMDI0CQAAAAEwv/b6fLlz3QiEn+vxwXPdCDdDSVEuTllTRTpJQk0uSVFfR1JPU1NfSU5UQU5fQVNTRVRTLjk5MC40LzEvMjAyNS4uLlVTRC5IAQAAAN62AQACAAAABDU0MzIBCAAAAAUAAAABMQEAAAAKMTgyOTkxMTk2OAMAAAADMTYwAgAAAAUyNDI5MwQAAAABMAcAAAAINC8xLzIwMjUIAAAACjEyLzMxLzIwMTQJAAAAATC/9vp8uXPdCISf6/HBc90IN0NJUS5OWVNFOklCTS5JUV9HUk9TU19JTlRBTl9BU1NFVFMuOTkxLjQvMS8yMDI1Li4uVVNELkgBAAAA3rYBAAIAAAAENTE5NgEIAAAABQAAAAExAQAAAAoxODc2NDMyODcyAwAAAAMxNjACAAAABTI0MjkzBAAAAAEwBwAAAAg0LzEvMjAyNQgAAAAKMTIvMzEvMjAxNQkAAAABML/2+ny5c90IhJ/r8cFz3Qg3Q0lRLk5ZU0U6SUJNLklRX0dST1NTX0lOVEFOX0FTU0VUUy45OTIuNC8xLzIwMjUuLi5VU0QuSAEAAADetgEAAgAAAAQ2OTI4AQgAAAAFAAAAATEBAAAACjE5NDcxNzk1ODMDAAAAAzE2MAIAAAAFMjQyOTMEAAAAATAHAAAACDQvMS8yMDI1CAAAAAoxMi8zMS8yMDE2CQAAAAEwv/b6fLlz3QiEn+vxwXPdCDlDSVEuTllT</t>
  </si>
  <si>
    <t>RTpJQk0uSVFfREVSSVZBVElWRV9BU1NFVFNfTFQuOTk1LjQvMS8yMDI1Li4uVVNELkgBAAAA3rYBAAIAAAACOTQBCAAAAAUAAAABMQEAAAALLTIxMTA3NjkzNTUDAAAAAzE2MAIAAAAEMTExMAQAAAABMAcAAAAINC8xLzIwMjUIAAAACjEyLzMxLzIwMTkJAAAAATC/9vp8uXPdCISf6/HBc90IOUNJUS5OWVNFOklCTS5JUV9ERVJJVkFUSVZFX0FTU0VUU19MVC45OTYuNC8xLzIwMjUuLi5VU0QuSAEAAADetgEAAgAAAAMxNTEBCAAAAAUAAAABMQEAAAALLTIwNTkwNzMyMDIDAAAAAzE2MAIAAAAEMTExMAQAAAABMAcAAAAINC8xLzIwMjUIAAAACjEyLzMxLzIwMjAJAAAAATC/9vp8uXPdCISf6/HBc90IOUNJUS5OWVNFOklCTS5JUV9ERVJJVkFUSVZFX0FTU0VUU19MVC45OTcuNC8xLzIwMjUuLi5VU0QuSAEAAADetgEAAgAAAAI0MAEIAAAABQAAAAExAQAAAAstMjAwODY0NzE5OAMAAAADMTYwAgAAAAQxMTEwBAAAAAEwBwAAAAg0LzEvMjAyNQgAAAAKMTIvMzEvMjAyMQkAAAABML/2+ny5c90IhJ/r8cFz3Qg5Q0lRLk5ZU0U6SUJNLklRX0RFUklWQVRJVkVfQVNTRVRTX0xULjk5OC40LzEvMjAyNS4uLlVTRC5IAQAAAN62AQACAAAAATcBCAAAAAUAAAABMQEAAAALLTE5NTgyODEwOTYDAAAAAzE2MAIAAAAEMTExMAQAAAABMAcAAAAINC8xLzIwMjUIAAAACjEyLzMxLzIwMjIJAAAAATC/9vp8uXPdCISf6/HB</t>
  </si>
  <si>
    <t>c90IOUNJUS5OWVNFOklCTS5JUV9ERVJJVkFUSVZFX0FTU0VUU19MVC45OTkuNC8xLzIwMjUuLi5VU0QuSAEAAADetgEAAgAAAAIzNwEIAAAABQAAAAExAQAAAAstMTk1ODI4MTA5NQMAAAADMTYwAgAAAAQxMTEwBAAAAAEwBwAAAAg0LzEvMjAyNQgAAAAKMTIvMzEvMjAyMwkAAAABML/2+ny5c90IhJ/r8cFz3Qg5Q0lRLk5ZU0U6SUJNLklRX0RFUklWQVRJVkVfQVNTRVRTX0xULjk5MC40LzEvMjAyNS4uLlVTRC5IAQAAAN62AQACAAAAAjU0AQgAAAAFAAAAATEBAAAACjE4Mjk5MTE5NjgDAAAAAzE2MAIAAAAEMTExMAQAAAABMAcAAAAINC8xLzIwMjUIAAAACjEyLzMxLzIwMTQJAAAAATC/9vp8uXPdCISf6/HBc90IOUNJUS5OWVNFOklCTS5JUV9ERVJJVkFUSVZFX0FTU0VUU19MVC45OTEuNC8xLzIwMjUuLi5VU0QuSAEAAADetgEAAgAAAAI0NQEIAAAABQAAAAExAQAAAAoxODc2NDMyODcyAwAAAAMxNjACAAAABDExMTAEAAAAATAHAAAACDQvMS8yMDI1CAAAAAoxMi8zMS8yMDE1CQAAAAEwv/b6fLlz3QiEn+vxwXPdCDlDSVEuTllTRTpJQk0uSVFfREVSSVZBVElWRV9BU1NFVFNfTFQuOTkyLjQvMS8yMDI1Li4uVVNELkgBAAAA3rYBAAIAAAACMzkBCAAAAAUAAAABMQEAAAAKMTk0NzE3OTU4MwMAAAADMTYwAgAAAAQxMTEwBAAAAAEwBwAAAAg0LzEvMjAyNQgAAAAKMTIvMzEvMjAxNgkAAAABML/2+ny5</t>
  </si>
  <si>
    <t>c90IhJ/r8cFz3Qg5Q0lRLk5ZU0U6SUJNLklRX0RFUklWQVRJVkVfQVNTRVRTX0xULjk5My40LzEvMjAyNS4uLlVTRC5IAQAAAN62AQACAAAAAzI5OAEIAAAABQAAAAExAQAAAAoyMDE3MTY0MjQ0AwAAAAMxNjACAAAABDExMTAEAAAAATAHAAAACDQvMS8yMDI1CAAAAAoxMi8zMS8yMDE3CQAAAAEwv/b6fLlz3QiEn+vxwXPdCDlDSVEuTllTRTpJQk0uSVFfREVSSVZBVElWRV9BU1NFVFNfTFQuOTk0LjQvMS8yMDI1Li4uVVNELkgBAAAA3rYBAAIAAAADMzQ3AQgAAAAFAAAAATEBAAAACjIwODE1MDU0MDEDAAAAAzE2MAIAAAAEMTExMAQAAAABMAcAAAAINC8xLzIwMjUIAAAACjEyLzMxLzIwMTgJAAAAATC/9vp8uXPdCISf6/HBc90IPkNJUS5OWVNFOklCTS5JUV9ERVJJVkFUSVZFX0FTU0VUU19DVVJSRU5ULjk5Ny40LzEvMjAyNS4uLlVTRC5IAQAAAN62AQACAAAAAzM1OAEIAAAABQAAAAExAQAAAAstMjAwODY0NzE5OAMAAAADMTYwAgAAAAQxMTA5BAAAAAEwBwAAAAg0LzEvMjAyNQgAAAAKMTIvMzEvMjAyMQkAAAABML/2+ny5c90IhJ/r8cFz3Qg+Q0lRLk5ZU0U6SUJNLklRX0RFUklWQVRJVkVfQVNTRVRTX0NVUlJFTlQuOTk4LjQvMS8yMDI1Li4uVVNELkgBAAAA3rYBAAIAAAADMjcxAQgAAAAFAAAAATEBAAAACy0xOTU4MjgxMDk2AwAAAAMxNjACAAAABDExMDkEAAAAATAHAAAACDQvMS8yMDI1CAAA</t>
  </si>
  <si>
    <t>AAoxMi8zMS8yMDIyCQAAAAEwv/b6fLlz3QiEn+vxwXPdCD5DSVEuTllTRTpJQk0uSVFfREVSSVZBVElWRV9BU1NFVFNfQ1VSUkVOVC45OTkuNC8xLzIwMjUuLi5VU0QuSAEAAADetgEAAgAAAAMzNjYBCAAAAAUAAAABMQEAAAALLTE5NTgyODEwOTUDAAAAAzE2MAIAAAAEMTEwOQQAAAABMAcAAAAINC8xLzIwMjUIAAAACjEyLzMxLzIwMjMJAAAAATC/9vp8uXPdCISf6/HBc90IP0NJUS5OWVNFOklCTS5JUV9ERVJJVkFUSVZFX0FTU0VUU19DVVJSRU5ULjEwMDAuNC8xLzIwMjUuLi5VU0QuSAEAAADetgEAAgAAAAM1NzUBCAAAAAUAAAABMQEAAAALLTE5NTgyODEwOTcDAAAAAzE2MAIAAAAEMTEwOQQAAAABMAcAAAAINC8xLzIwMjUIAAAACjEyLzMxLzIwMjQJAAAAATC/9vp8uXPdCISf6/HBc90IP0NJUS5OWVNFOklCTS5JUV9ERVJJVkFUSVZFX0FTU0VUU19DVVJSRU5ULjIwMDAuNC8xLzIwMjUuLi5VU0QuSAEAAADetgEAAgAAAAM1NzUBCAAAAAUAAAABMQEAAAALLTE5NTgyODA2MTUDAAAAAzE2MAIAAAAEMTEwOQQAAAABMAcAAAAINC8xLzIwMjUIAAAACjEyLzMxLzIwMjQJAAAAATC/9vp8uXPdCISf6/HBc90IPkNJUS5OWVNFOklCTS5JUV9ERVJJVkFUSVZFX0FTU0VUU19DVVJSRU5ULjk5Mi40LzEvMjAyNS4uLlVTRC5IAQAAAN62AQACAAAAAzUzMgEIAAAABQAAAAExAQAAAAoxOTQ3MTc5NTgzAwAA</t>
  </si>
  <si>
    <t>AAMxNjACAAAABDExMDkEAAAAATAHAAAACDQvMS8yMDI1CAAAAAoxMi8zMS8yMDE2CQAAAAEwv/b6fLlz3QiEn+vxwXPdCD5DSVEuTllTRTpJQk0uSVFfREVSSVZBVElWRV9BU1NFVFNfQ1VSUkVOVC45OTMuNC8xLzIwMjUuLi5VU0QuSAEAAADetgEAAgAAAAMxODQBCAAAAAUAAAABMQEAAAAKMjAxNzE2NDI0NAMAAAADMTYwAgAAAAQxMTA5BAAAAAEwBwAAAAg0LzEvMjAyNQgAAAAKMTIvMzEvMjAxNwkAAAABML/2+ny5c90IhJ/r8cFz3Qg+Q0lRLk5ZU0U6SUJNLklRX0RFUklWQVRJVkVfQVNTRVRTX0NVUlJFTlQuOTk0LjQvMS8yMDI1Li4uVVNELkgBAAAA3rYBAAIAAAADMzg1AQgAAAAFAAAAATEBAAAACjIwODE1MDU0MDEDAAAAAzE2MAIAAAAEMTEwOQQAAAABMAcAAAAINC8xLzIwMjUIAAAACjEyLzMxLzIwMTgJAAAAATC/9vp8uXPdCISf6/HBc90IPkNJUS5OWVNFOklCTS5JUV9ERVJJVkFUSVZFX0FTU0VUU19DVVJSRU5ULjk5NS40LzEvMjAyNS4uLlVTRC5IAQAAAN62AQACAAAAAzE0OQEIAAAABQAAAAExAQAAAAstMjExMDc2OTM1NQMAAAADMTYwAgAAAAQxMTA5BAAAAAEwBwAAAAg0LzEvMjAyNQgAAAAKMTIvMzEvMjAxOQkAAAABML/2+ny5c90IhJ/r8cFz3Qg+Q0lRLk5ZU0U6SUJNLklRX0RFUklWQVRJVkVfQVNTRVRTX0NVUlJFTlQuOTk2LjQvMS8yMDI1Li4uVVNELkgBAAAA3rYBAAIAAAAC</t>
  </si>
  <si>
    <t>ODUBCAAAAAUAAAABMQEAAAALLTIwNTkwNzMyMDIDAAAAAzE2MAIAAAAEMTEwOQQAAAABMAcAAAAINC8xLzIwMjUIAAAACjEyLzMxLzIwMjAJAAAAATC/9vp8uXPdCISf6/HBc90IPkNJUS5OWVNFOklCTS5JUV9ERVJJVkFUSVZFX1RSQURJTkdfQVNTRVRTLjk5OS40LzEvMjAyNS4uLlVTRC5IAQAAAN62AQADAAAAAAC/9vp8uXPdCISf6/HBc90IP0NJUS5OWVNFOklCTS5JUV9ERVJJVkFUSVZFX1RSQURJTkdfQVNTRVRTLjEwMDAuNC8xLzIwMjUuLi5VU0QuSAEAAADetgEAAwAAAAAAv/b6fLlz3QiEn+vxwXPdCD9DSVEuTllTRTpJQk0uSVFfREVSSVZBVElWRV9UUkFESU5HX0FTU0VUUy4yMDAwLjQvMS8yMDI1Li4uVVNELkgBAAAA3rYBAAMAAAAAAL/2+ny5c90IhJ/r8cFz3Qg+Q0lRLk5ZU0U6SUJNLklRX0RFUklWQVRJVkVfQVNTRVRTX0NVUlJFTlQuOTkwLjQvMS8yMDI1Li4uVVNELkgBAAAA3rYBAAIAAAADNzQ2AQgAAAAFAAAAATEBAAAACjE4Mjk5MTE5NjgDAAAAAzE2MAIAAAAEMTEwOQQAAAABMAcAAAAINC8xLzIwMjUIAAAACjEyLzMxLzIwMTQJAAAAATC/9vp8uXPdCISf6/HBc90IPkNJUS5OWVNFOklCTS5JUV9ERVJJVkFUSVZFX0FTU0VUU19DVVJSRU5ULjk5MS40LzEvMjAyNS4uLlVTRC5IAQAAAN62AQACAAAAAzI5MwEIAAAABQAAAAExAQAAAAoxODc2NDMyODcyAwAAAAMxNjACAAAABDEx</t>
  </si>
  <si>
    <t>MDkEAAAAATAHAAAACDQvMS8yMDI1CAAAAAoxMi8zMS8yMDE1CQAAAAEwv/b6fLlz3Qiy4+vxwXPdCD5DSVEuTllTRTpJQk0uSVFfREVSSVZBVElWRV9UUkFESU5HX0FTU0VUUy45OTQuNC8xLzIwMjUuLi5VU0QuSAEAAADetgEAAwAAAAAAv/b6fLlz3Qiy4+vxwXPdCD5DSVEuTllTRTpJQk0uSVFfREVSSVZBVElWRV9UUkFESU5HX0FTU0VUUy45OTUuNC8xLzIwMjUuLi5VU0QuSAEAAADetgEAAwAAAAAAv/b6fLlz3Qiy4+vxwXPdCD5DSVEuTllTRTpJQk0uSVFfREVSSVZBVElWRV9UUkFESU5HX0FTU0VUUy45OTYuNC8xLzIwMjUuLi5VU0QuSAEAAADetgEAAwAAAAAAv/b6fLlz3Qiy4+vxwXPdCD5DSVEuTllTRTpJQk0uSVFfREVSSVZBVElWRV9UUkFESU5HX0FTU0VUUy45OTcuNC8xLzIwMjUuLi5VU0QuSAEAAADetgEAAwAAAAAAv/b6fLlz3Qiy4+vxwXPdCD5DSVEuTllTRTpJQk0uSVFfREVSSVZBVElWRV9UUkFESU5HX0FTU0VUUy45OTguNC8xLzIwMjUuLi5VU0QuSAEAAADetgEAAwAAAAAAv/b6fLlz3Qiy4+vxwXPdCEFDSVEuTllTRTpJQk0uSVFfREVSSVZBVElWRV9MSUFCX05PTl9DVVJSRU5ULjIwMDAuNC8xLzIwMjUuLi5VU0QuSAEAAADetgEAAgAAAAM0NjMBCAAAAAUAAAABMQEAAAALLTE5NTgyODA2MTUDAAAAAzE2MAIAAAAFNDA0MTkEAAAAATAHAAAACDQvMS8yMDI1CAAAAAoxMi8zMS8y</t>
  </si>
  <si>
    <t>MDI0CQAAAAEwv/b6fLlz3Qiy4+vxwXPdCD5DSVEuTllTRTpJQk0uSVFfREVSSVZBVElWRV9UUkFESU5HX0FTU0VUUy45OTAuNC8xLzIwMjUuLi5VU0QuSAEAAADetgEAAgAAAAE1AQgAAAAFAAAAATEBAAAACjE4Mjk5MTE5NjgDAAAAAzE2MAIAAAAFNDA0MTUEAAAAATAHAAAACDQvMS8yMDI1CAAAAAoxMi8zMS8yMDE0CQAAAAEwv/b6fLlz3Qiy4+vxwXPdCD5DSVEuTllTRTpJQk0uSVFfREVSSVZBVElWRV9UUkFESU5HX0FTU0VUUy45OTEuNC8xLzIwMjUuLi5VU0QuSAEAAADetgEAAwAAAAAAv/b6fLlz3Qiy4+vxwXPdCD5DSVEuTllTRTpJQk0uSVFfREVSSVZBVElWRV9UUkFESU5HX0FTU0VUUy45OTIuNC8xLzIwMjUuLi5VU0QuSAEAAADetgEAAwAAAAAAv/b6fLlz3Qiy4+vxwXPdCD5DSVEuTllTRTpJQk0uSVFfREVSSVZBVElWRV9UUkFESU5HX0FTU0VUUy45OTMuNC8xLzIwMjUuLi5VU0QuSAEAAADetgEAAgAAAAEyAQgAAAAFAAAAATEBAAAACjIwMTcxNjQyNDQDAAAAAzE2MAIAAAAFNDA0MTUEAAAAATAHAAAACDQvMS8yMDI1CAAAAAoxMi8zMS8yMDE3CQAAAAEwv/b6fLlz3Qiy4+vxwXPdCEBDSVEuTllTRTpJQk0uSVFfREVSSVZBVElWRV9MSUFCX05PTl9DVVJSRU5ULjk5Ni40LzEvMjAyNS4uLlVTRC5IAQAAAN62AQACAAAAAjQwAQgAAAAFAAAAATEBAAAACy0yMDU5MDczMjAyAwAAAAMxNjAC</t>
  </si>
  <si>
    <t>AAAABTQwNDE5BAAAAAEwBwAAAAg0LzEvMjAyNQgAAAAKMTIvMzEvMjAyMAkAAAABML/2+ny5c90IsuPr8cFz3QhAQ0lRLk5ZU0U6SUJNLklRX0RFUklWQVRJVkVfTElBQl9OT05fQ1VSUkVOVC45OTcuNC8xLzIwMjUuLi5VU0QuSAEAAADetgEAAgAAAAMxMDMBCAAAAAUAAAABMQEAAAALLTIwMDg2NDcxOTgDAAAAAzE2MAIAAAAFNDA0MTkEAAAAATAHAAAACDQvMS8yMDI1CAAAAAoxMi8zMS8yMDIxCQAAAAEwv/b6fLlz3Qiy4+vxwXPdCEBDSVEuTllTRTpJQk0uSVFfREVSSVZBVElWRV9MSUFCX05PTl9DVVJSRU5ULjk5OC40LzEvMjAyNS4uLlVTRC5IAQAAAN62AQACAAAAAzQ4OAEIAAAABQAAAAExAQAAAAstMTk1ODI4MTA5NgMAAAADMTYwAgAAAAU0MDQxOQQAAAABMAcAAAAINC8xLzIwMjUIAAAACjEyLzMxLzIwMjIJAAAAATC/9vp8uXPdCLLj6/HBc90IQENJUS5OWVNFOklCTS5JUV9ERVJJVkFUSVZFX0xJQUJfTk9OX0NVUlJFTlQuOTk5LjQvMS8yMDI1Li4uVVNELkgBAAAA3rYBAAIAAAADMjk5AQgAAAAFAAAAATEBAAAACy0xOTU4MjgxMDk1AwAAAAMxNjACAAAABTQwNDE5BAAAAAEwBwAAAAg0LzEvMjAyNQgAAAAKMTIvMzEvMjAyMwkAAAABML/2+ny5c90IsuPr8cFz3QhBQ0lRLk5ZU0U6SUJNLklRX0RFUklWQVRJVkVfTElBQl9OT05fQ1VSUkVOVC4xMDAwLjQvMS8yMDI1Li4uVVNELkgBAAAA</t>
  </si>
  <si>
    <t>3rYBAAIAAAADNDYzAQgAAAAFAAAAATEBAAAACy0xOTU4MjgxMDk3AwAAAAMxNjACAAAABTQwNDE5BAAAAAEwBwAAAAg0LzEvMjAyNQgAAAAKMTIvMzEvMjAyNAkAAAABML/2+ny5c90IsuPr8cFz3QhAQ0lRLk5ZU0U6SUJNLklRX0RFUklWQVRJVkVfTElBQl9OT05fQ1VSUkVOVC45OTEuNC8xLzIwMjUuLi5VU0QuSAEAAADetgEAAgAAAAIxOQEIAAAABQAAAAExAQAAAAoxODc2NDMyODcyAwAAAAMxNjACAAAABTQwNDE5BAAAAAEwBwAAAAg0LzEvMjAyNQgAAAAKMTIvMzEvMjAxNQkAAAABML/2+ny5c90IsuPr8cFz3QhAQ0lRLk5ZU0U6SUJNLklRX0RFUklWQVRJVkVfTElBQl9OT05fQ1VSUkVOVC45OTIuNC8xLzIwMjUuLi5VU0QuSAEAAADetgEAAgAAAAI1MwEIAAAABQAAAAExAQAAAAoxOTQ3MTc5NTgzAwAAAAMxNjACAAAABTQwNDE5BAAAAAEwBwAAAAg0LzEvMjAyNQgAAAAKMTIvMzEvMjAxNgkAAAABML/2+ny5c90IsuPr8cFz3QhAQ0lRLk5ZU0U6SUJNLklRX0RFUklWQVRJVkVfTElBQl9OT05fQ1VSUkVOVC45OTMuNC8xLzIwMjUuLi5VU0QuSAEAAADetgEAAgAAAAE0AQgAAAAFAAAAATEBAAAACjIwMTcxNjQyNDQDAAAAAzE2MAIAAAAFNDA0MTkEAAAAATAHAAAACDQvMS8yMDI1CAAAAAoxMi8zMS8yMDE3CQAAAAEwv/b6fLlz3Qiy4+vxwXPdCEBDSVEuTllTRTpJQk0uSVFfREVSSVZBVElWRV9M</t>
  </si>
  <si>
    <t>SUFCX05PTl9DVVJSRU5ULjk5NC40LzEvMjAyNS4uLlVTRC5IAQAAAN62AQACAAAAAzIwNgEIAAAABQAAAAExAQAAAAoyMDgxNTA1NDAxAwAAAAMxNjACAAAABTQwNDE5BAAAAAEwBwAAAAg0LzEvMjAyNQgAAAAKMTIvMzEvMjAxOAkAAAABML/2+ny5c90IsuPr8cFz3QhAQ0lRLk5ZU0U6SUJNLklRX0RFUklWQVRJVkVfTElBQl9OT05fQ1VSUkVOVC45OTUuNC8xLzIwMjUuLi5VU0QuSAEAAADetgEAAgAAAAM1MDYBCAAAAAUAAAABMQEAAAALLTIxMTA3NjkzNTUDAAAAAzE2MAIAAAAFNDA0MTkEAAAAATAHAAAACDQvMS8yMDI1CAAAAAoxMi8zMS8yMDE5CQAAAAEwv/b6fLlz3Qiy4+vxwXPdCDxDSVEuTllTRTpJQk0uSVFfREVSSVZBVElWRV9MSUFCX0NVUlJFTlQuOTk4LjQvMS8yMDI1Li4uVVNELkgBAAAA3rYBAAIAAAADNTQ2AQgAAAAFAAAAATEBAAAACy0xOTU4MjgxMDk2AwAAAAMxNjACAAAABTQwNDE3BAAAAAEwBwAAAAg0LzEvMjAyNQgAAAAKMTIvMzEvMjAyMgkAAAABML/2+ny5c90IsuPr8cFz3Qg8Q0lRLk5ZU0U6SUJNLklRX0RFUklWQVRJVkVfTElBQl9DVVJSRU5ULjk5OS40LzEvMjAyNS4uLlVTRC5IAQAAAN62AQACAAAAAzI5NAEIAAAABQAAAAExAQAAAAstMTk1ODI4MTA5NQMAAAADMTYwAgAAAAU0MDQxNwQAAAABMAcAAAAINC8xLzIwMjUIAAAACjEyLzMxLzIwMjMJAAAAATC/9vp8uXPd</t>
  </si>
  <si>
    <t>CLLj6/HBc90IPUNJUS5OWVNFOklCTS5JUV9ERVJJVkFUSVZFX0xJQUJfQ1VSUkVOVC4xMDAwLjQvMS8yMDI1Li4uVVNELkgBAAAA3rYBAAIAAAADMjYyAQgAAAAFAAAAATEBAAAACy0xOTU4MjgxMDk3AwAAAAMxNjACAAAABTQwNDE3BAAAAAEwBwAAAAg0LzEvMjAyNQgAAAAKMTIvMzEvMjAyNAkAAAABML/2+ny5c90IsuPr8cFz3Qg9Q0lRLk5ZU0U6SUJNLklRX0RFUklWQVRJVkVfTElBQl9DVVJSRU5ULjIwMDAuNC8xLzIwMjUuLi5VU0QuSAEAAADetgEAAgAAAAMyNjIBCAAAAAUAAAABMQEAAAALLTE5NTgyODA2MTUDAAAAAzE2MAIAAAAFNDA0MTcEAAAAATAHAAAACDQvMS8yMDI1CAAAAAoxMi8zMS8yMDI0CQAAAAEwv/b6fLlz3Qiy4+vxwXPdCEBDSVEuTllTRTpJQk0uSVFfREVSSVZBVElWRV9MSUFCX05PTl9DVVJSRU5ULjk5MC40LzEvMjAyNS4uLlVTRC5IAQAAAN62AQACAAAAAjMwAQgAAAAFAAAAATEBAAAACjE4Mjk5MTE5NjgDAAAAAzE2MAIAAAAFNDA0MTkEAAAAATAHAAAACDQvMS8yMDI1CAAAAAoxMi8zMS8yMDE0CQAAAAEwv/b6fLlz3Qiy4+vxwXPdCDxDSVEuTllTRTpJQk0uSVFfREVSSVZBVElWRV9MSUFCX0NVUlJFTlQuOTkzLjQvMS8yMDI1Li4uVVNELkgBAAAA3rYBAAIAAAADMzc4AQgAAAAFAAAAATEBAAAACjIwMTcxNjQyNDQDAAAAAzE2MAIAAAAFNDA0MTcEAAAAATAHAAAACDQv</t>
  </si>
  <si>
    <t>MS8yMDI1CAAAAAoxMi8zMS8yMDE3CQAAAAEwv/b6fLlz3Qiy4+vxwXPdCDxDSVEuTllTRTpJQk0uSVFfREVSSVZBVElWRV9MSUFCX0NVUlJFTlQuOTk0LjQvMS8yMDI1Li4uVVNELkgBAAAA3rYBAAIAAAADMTc3AQgAAAAFAAAAATEBAAAACjIwODE1MDU0MDEDAAAAAzE2MAIAAAAFNDA0MTcEAAAAATAHAAAACDQvMS8yMDI1CAAAAAoxMi8zMS8yMDE4CQAAAAEwv/b6fLlz3Qiy4+vxwXPdCDxDSVEuTllTRTpJQk0uSVFfREVSSVZBVElWRV9MSUFCX0NVUlJFTlQuOTk1LjQvMS8yMDI1Li4uVVNELkgBAAAA3rYBAAIAAAADMTY3AQgAAAAFAAAAATEBAAAACy0yMTEwNzY5MzU1AwAAAAMxNjACAAAABTQwNDE3BAAAAAEwBwAAAAg0LzEvMjAyNQgAAAAKMTIvMzEvMjAxOQkAAAABML/2+ny5c90IsuPr8cFz3Qg8Q0lRLk5ZU0U6SUJNLklRX0RFUklWQVRJVkVfTElBQl9DVVJSRU5ULjk5Ni40LzEvMjAyNS4uLlVTRC5IAQAAAN62AQACAAAAAzU4NwEIAAAABQAAAAExAQAAAAstMjA1OTA3MzIwMgMAAAADMTYwAgAAAAU0MDQxNwQAAAABMAcAAAAINC8xLzIwMjUIAAAACjEyLzMxLzIwMjAJAAAAATC/9vp8uXPdCLLj6/HBc90IPENJUS5OWVNFOklCTS5JUV9ERVJJVkFUSVZFX0xJQUJfQ1VSUkVOVC45OTcuNC8xLzIwMjUuLi5VU0QuSAEAAADetgEAAgAAAAI2MAEIAAAABQAAAAExAQAAAAstMjAwODY0NzE5OAMA</t>
  </si>
  <si>
    <t>AAADMTYwAgAAAAU0MDQxNwQAAAABMAcAAAAINC8xLzIwMjUIAAAACjEyLzMxLzIwMjEJAAAAATC/9vp8uXPdCLLj6/HBc90IOUNJUS5OWVNFOklCTS5JUV9MVF9ERUJUX0RFUklWQVRJVkVTLjEwMDAuNC8xLzIwMjUuLi5VU0QuSAEAAADetgEAAgAAAAUxNDAwMAEIAAAABQAAAAExAQAAAAstMTk1ODI4MTA5NwMAAAADMTYwAgAAAAUzMDkxNQQAAAABMAcAAAAINC8xLzIwMjUIAAAACjEyLzMxLzIwMjQJAAAAATC/9vp8uXPdCLLj6/HBc90IOUNJUS5OWVNFOklCTS5JUV9MVF9ERUJUX0RFUklWQVRJVkVTLjIwMDAuNC8xLzIwMjUuLi5VU0QuSAEAAADetgEAAgAAAAUxNDAwMAEIAAAABQAAAAExAQAAAAstMTk1ODI4MDYxNQMAAAADMTYwAgAAAAUzMDkxNQQAAAABMAcAAAAINC8xLzIwMjUIAAAACjEyLzMxLzIwMjQJAAAAATC/9vp8uXPdCLLj6/HBc90IPENJUS5OWVNFOklCTS5JUV9ERVJJVkFUSVZFX0xJQUJfQ1VSUkVOVC45OTAuNC8xLzIwMjUuLi5VU0QuSAEAAADetgEAAgAAAAMxNjUBCAAAAAUAAAABMQEAAAAKMTgyOTkxMTk2OAMAAAADMTYwAgAAAAU0MDQxNwQAAAABMAcAAAAINC8xLzIwMjUIAAAACjEyLzMxLzIwMTQJAAAAATC/9vp8uXPdCLLj6/HBc90IPENJUS5OWVNFOklCTS5JUV9ERVJJVkFUSVZFX0xJQUJfQ1VSUkVOVC45OTEuNC8xLzIwMjUuLi5VU0QuSAEAAADetgEAAgAAAAMxNjQB</t>
  </si>
  <si>
    <t>CAAAAAUAAAABMQEAAAAKMTg3NjQzMjg3MgMAAAADMTYwAgAAAAU0MDQxNwQAAAABMAcAAAAINC8xLzIwMjUIAAAACjEyLzMxLzIwMTUJAAAAATC/9vp8uXPdCLLj6/HBc90IPENJUS5OWVNFOklCTS5JUV9ERVJJVkFUSVZFX0xJQUJfQ1VSUkVOVC45OTIuNC8xLzIwMjUuLi5VU0QuSAEAAADetgEAAgAAAAMxNDUBCAAAAAUAAAABMQEAAAAKMTk0NzE3OTU4MwMAAAADMTYwAgAAAAU0MDQxNwQAAAABMAcAAAAINC8xLzIwMjUIAAAACjEyLzMxLzIwMTYJAAAAATC/9vp8uXPdCLLj6/HBc90IOENJUS5OWVNFOklCTS5JUV9MVF9ERUJUX0RFUklWQVRJVkVTLjk5NS40LzEvMjAyNS4uLlVTRC5IAQAAAN62AQACAAAABDczMDABCAAAAAUAAAABMQEAAAALLTIxMTA3NjkzNTUDAAAAAzE2MAIAAAAFMzA5MTUEAAAAATAHAAAACDQvMS8yMDI1CAAAAAoxMi8zMS8yMDE5CQAAAAEwv/b6fLlz3Qiy4+vxwXPdCDhDSVEuTllTRTpJQk0uSVFfTFRfREVCVF9ERVJJVkFUSVZFUy45OTYuNC8xLzIwMjUuLi5VU0QuSAEAAADetgEAAgAAAAUxNjQwMAEIAAAABQAAAAExAQAAAAstMjA1OTA3MzIwMgMAAAADMTYwAgAAAAUzMDkxNQQAAAABMAcAAAAINC8xLzIwMjUIAAAACjEyLzMxLzIwMjAJAAAAATC/9vp8uXPdCLLj6/HBc90IOENJUS5OWVNFOklCTS5JUV9MVF9ERUJUX0RFUklWQVRJVkVTLjk5Ny40LzEvMjAyNS4uLlVT</t>
  </si>
  <si>
    <t>RC5IAQAAAN62AQACAAAABTE0MTAwAQgAAAAFAAAAATEBAAAACy0yMDA4NjQ3MTk4AwAAAAMxNjACAAAABTMwOTE1BAAAAAEwBwAAAAg0LzEvMjAyNQgAAAAKMTIvMzEvMjAyMQkAAAABML/2+ny5c90IsuPr8cFz3Qg4Q0lRLk5ZU0U6SUJNLklRX0xUX0RFQlRfREVSSVZBVElWRVMuOTk4LjQvMS8yMDI1Li4uVVNELkgBAAAA3rYBAAIAAAAFMTM0MDABCAAAAAUAAAABMQEAAAALLTE5NTgyODEwOTYDAAAAAzE2MAIAAAAFMzA5MTUEAAAAATAHAAAACDQvMS8yMDI1CAAAAAoxMi8zMS8yMDIyCQAAAAEwv/b6fLlz3Qiy4+vxwXPdCDhDSVEuTllTRTpJQk0uSVFfTFRfREVCVF9ERVJJVkFUSVZFUy45OTkuNC8xLzIwMjUuLi5VU0QuSAEAAADetgEAAgAAAAUxNTkwMAEIAAAABQAAAAExAQAAAAstMTk1ODI4MTA5NQMAAAADMTYwAgAAAAUzMDkxNQQAAAABMAcAAAAINC8xLzIwMjUIAAAACjEyLzMxLzIwMjMJAAAAATC/9vp8uXPdCLLj6/HBc90IOENJUS5OWVNFOklCTS5JUV9MVF9ERUJUX0RFUklWQVRJVkVTLjk5MC40LzEvMjAyNS4uLlVTRC5IAQAAAN62AQACAAAABDc3NDcBCAAAAAUAAAABMQEAAAAKMTgyOTkxMTk2OAMAAAADMTYwAgAAAAUzMDkxNQQAAAABMAcAAAAINC8xLzIwMjUIAAAACjEyLzMxLzIwMTQJAAAAATC/9vp8uXPdCLLj6/HBc90IOENJUS5OWVNFOklCTS5JUV9MVF9ERUJUX0RFUklWQVRJ</t>
  </si>
  <si>
    <t>VkVTLjk5MS40LzEvMjAyNS4uLlVTRC5IAQAAAN62AQACAAAABDc5NDgBCAAAAAUAAAABMQEAAAAKMTg3NjQzMjg3MgMAAAADMTYwAgAAAAUzMDkxNQQAAAABMAcAAAAINC8xLzIwMjUIAAAACjEyLzMxLzIwMTUJAAAAATC/9vp8uXPdCLLj6/HBc90IOENJUS5OWVNFOklCTS5JUV9MVF9ERUJUX0RFUklWQVRJVkVTLjk5Mi40LzEvMjAyNS4uLlVTRC5IAQAAAN62AQACAAAABDc4NTIBCAAAAAUAAAABMQEAAAAKMTk0NzE3OTU4MwMAAAADMTYwAgAAAAUzMDkxNQQAAAABMAcAAAAINC8xLzIwMjUIAAAACjEyLzMxLzIwMTYJAAAAATC/9vp8uXPdCLLj6/HBc90IOENJUS5OWVNFOklCTS5JUV9MVF9ERUJUX0RFUklWQVRJVkVTLjk5My40LzEvMjAyNS4uLlVTRC5IAQAAAN62AQACAAAABDY1MDUBCAAAAAUAAAABMQEAAAAKMjAxNzE2NDI0NAMAAAADMTYwAgAAAAUzMDkxNQQAAAABMAcAAAAINC8xLzIwMjUIAAAACjEyLzMxLzIwMTcJAAAAATC/9vp8uXPdCLLj6/HBc90IOENJUS5OWVNFOklCTS5JUV9MVF9ERUJUX0RFUklWQVRJVkVTLjk5NC40LzEvMjAyNS4uLlVTRC5IAQAAAN62AQACAAAABDYyNjEBCAAAAAUAAAABMQEAAAAKMjA4MTUwNTQwMQMAAAADMTYwAgAAAAUzMDkxNQQAAAABMAcAAAAINC8xLzIwMjUIAAAACjEyLzMxLzIwMTgJAAAAATC/9vp8uXPdCLLj6/HBc90IQkNJUS5OWVNFOklCTS5JUV9D</t>
  </si>
  <si>
    <t>VVJSRU5UX1BPUlRfREVCVF9ERVJJVkFUSVZFUy45OTcuNC8xLzIwMjUuLi5VU0QuSAEAAADetgEAAwAAAAAAv/b6fLlz3Qiy4+vxwXPdCEJDSVEuTllTRTpJQk0uSVFfQ1VSUkVOVF9QT1JUX0RFQlRfREVSSVZBVElWRVMuOTk4LjQvMS8yMDI1Li4uVVNELkgBAAAA3rYBAAMAAAAAAL/2+ny5c90IsuPr8cFz3QhCQ0lRLk5ZU0U6SUJNLklRX0NVUlJFTlRfUE9SVF9ERUJUX0RFUklWQVRJVkVTLjk5OS40LzEvMjAyNS4uLlVTRC5IAQAAAN62AQADAAAAAAC/9vp8uXPdCLLj6/HBc90IQ0NJUS5OWVNFOklCTS5JUV9DVVJSRU5UX1BPUlRfREVCVF9ERVJJVkFUSVZFUy4xMDAwLjQvMS8yMDI1Li4uVVNELkgBAAAA3rYBAAMAAAAAAL/2+ny5c90IsuPr8cFz3QhDQ0lRLk5ZU0U6SUJNLklRX0NVUlJFTlRfUE9SVF9ERUJUX0RFUklWQVRJVkVTLjIwMDAuNC8xLzIwMjUuLi5VU0QuSAEAAADetgEAAwAAAAAAv/b6fLlz3Qiy4+vxwXPdCEJDSVEuTllTRTpJQk0uSVFfQ1VSUkVOVF9QT1JUX0RFQlRfREVSSVZBVElWRVMuOTkyLjQvMS8yMDI1Li4uVVNELkgBAAAA3rYBAAIAAAAEMTEyNQEIAAAABQAAAAExAQAAAAoxOTQ3MTc5NTgzAwAAAAMxNjACAAAABTMwOTE3BAAAAAEwBwAAAAg0LzEvMjAyNQgAAAAKMTIvMzEvMjAxNgkAAAABML/2+ny5c90IsuPr8cFz3QhCQ0lRLk5ZU0U6SUJNLklRX0NVUlJFTlRfUE9S</t>
  </si>
  <si>
    <t>VF9ERUJUX0RFUklWQVRJVkVTLjk5My40LzEvMjAyNS4uLlVTRC5IAQAAAN62AQADAAAAAAC/9vp8uXPdCLLj6/HBc90IQkNJUS5OWVNFOklCTS5JUV9DVVJSRU5UX1BPUlRfREVCVF9ERVJJVkFUSVZFUy45OTQuNC8xLzIwMjUuLi5VU0QuSAEAAADetgEAAwAAAAAAv/b6fLlz3Qiy4+vxwXPdCEJDSVEuTllTRTpJQk0uSVFfQ1VSUkVOVF9QT1JUX0RFQlRfREVSSVZBVElWRVMuOTk1LjQvMS8yMDI1Li4uVVNELkgBAAAA3rYBAAMAAAAAAL/2+ny5c90IsuPr8cFz3QhCQ0lRLk5ZU0U6SUJNLklRX0NVUlJFTlRfUE9SVF9ERUJUX0RFUklWQVRJVkVTLjk5Ni40LzEvMjAyNS4uLlVTRC5IAQAAAN62AQADAAAAAAC/9vp8uXPdCLLj6/HBc90IOENJUS5OWVNFOklCTS5JUV9TVF9ERUJUX0RFUklWQVRJVkVTLjk5OS40LzEvMjAyNS4uLlVTRC5IAQAAAN62AQADAAAAAAC/9vp8uXPdCLLj6/HBc90IOUNJUS5OWVNFOklCTS5JUV9TVF9ERUJUX0RFUklWQVRJVkVTLjEwMDAuNC8xLzIwMjUuLi5VU0QuSAEAAADetgEAAwAAAAAAv/b6fLlz3Qiy4+vxwXPdCDlDSVEuTllTRTpJQk0uSVFfU1RfREVCVF9ERVJJVkFUSVZFUy4yMDAwLjQvMS8yMDI1Li4uVVNELkgBAAAA3rYBAAMAAAAAAL/2+ny5c90IsuPr8cFz3QhCQ0lRLk5ZU0U6SUJNLklRX0NVUlJFTlRfUE9SVF9ERUJUX0RFUklWQVRJVkVTLjk5MC40LzEvMjAy</t>
  </si>
  <si>
    <t>NS4uLlVTRC5IAQAAAN62AQADAAAAAAC/9vp8uXPdCLLj6/HBc90IQkNJUS5OWVNFOklCTS5JUV9DVVJSRU5UX1BPUlRfREVCVF9ERVJJVkFUSVZFUy45OTEuNC8xLzIwMjUuLi5VU0QuSAEAAADetgEAAwAAAAAAv/b6fLlz3Qiy4+vxwXPdCDhDSVEuTllTRTpJQk0uSVFfU1RfREVCVF9ERVJJVkFUSVZFUy45OTQuNC8xLzIwMjUuLi5VU0QuSAEAAADetgEAAwAAAAAAv/b6fLlz3Qiy4+vxwXPdCDhDSVEuTllTRTpJQk0uSVFfU1RfREVCVF9ERVJJVkFUSVZFUy45OTUuNC8xLzIwMjUuLi5VU0QuSAEAAADetgEAAwAAAAAAv/b6fLlz3Qiy4+vxwXPdCDhDSVEuTllTRTpJQk0uSVFfU1RfREVCVF9ERVJJVkFUSVZFUy45OTYuNC8xLzIwMjUuLi5VU0QuSAEAAADetgEAAwAAAAAAv/b6fLlz3Qiy4+vxwXPdCDhDSVEuTllTRTpJQk0uSVFfU1RfREVCVF9ERVJJVkFUSVZFUy45OTcuNC8xLzIwMjUuLi5VU0QuSAEAAADetgEAAwAAAAAAv/b6fLlz3Qiy4+vxwXPdCDhDSVEuTllTRTpJQk0uSVFfU1RfREVCVF9ERVJJVkFUSVZFUy45OTguNC8xLzIwMjUuLi5VU0QuSAEAAADetgEAAwAAAAAAv/b6fLlz3Qiy4+vxwXPdCDpDSVEuTllTRTpJQk0uSVFfV0FSUkFOVFlfTElBQklMSVRJRVMuMjAwMC40LzEvMjAyNS4uLlVTRC5IAQAAAN62AQADAAAAAAC/9vp8uXPdCLLj6/HBc90IOENJUS5OWVNFOklCTS5JUV9TVF9E</t>
  </si>
  <si>
    <t>RUJUX0RFUklWQVRJVkVTLjk5MC40LzEvMjAyNS4uLlVTRC5IAQAAAN62AQADAAAAAAC/9vp8uXPdCLLj6/HBc90IOENJUS5OWVNFOklCTS5JUV9TVF9ERUJUX0RFUklWQVRJVkVTLjk5MS40LzEvMjAyNS4uLlVTRC5IAQAAAN62AQADAAAAAAC/9vp8uXPdCLLj6/HBc90IOENJUS5OWVNFOklCTS5JUV9TVF9ERUJUX0RFUklWQVRJVkVTLjk5Mi40LzEvMjAyNS4uLlVTRC5IAQAAAN62AQADAAAAAAC/9vp8uXPdCLLj6/HBc90IOENJUS5OWVNFOklCTS5JUV9TVF9ERUJUX0RFUklWQVRJVkVTLjk5My40LzEvMjAyNS4uLlVTRC5IAQAAAN62AQADAAAAAAC/9vp8uXPdCLLj6/HBc90IOUNJUS5OWVNFOklCTS5JUV9XQVJSQU5UWV9MSUFCSUxJVElFUy45OTYuNC8xLzIwMjUuLi5VU0QuSAEAAADetgEAAwAAAAAAv/b6fLlz3Qiy4+vxwXPdCDlDSVEuTllTRTpJQk0uSVFfV0FSUkFOVFlfTElBQklMSVRJRVMuOTk3LjQvMS8yMDI1Li4uVVNELkgBAAAA3rYBAAMAAAAAAL/2+ny5c90IsuPr8cFz3Qg5Q0lRLk5ZU0U6SUJNLklRX1dBUlJBTlRZX0xJQUJJTElUSUVTLjk5OC40LzEvMjAyNS4uLlVTRC5IAQAAAN62AQADAAAAAAC/9vp8uXPdCLLj6/HBc90IOUNJUS5OWVNFOklCTS5JUV9XQVJSQU5UWV9MSUFCSUxJVElFUy45OTkuNC8xLzIwMjUuLi5VU0QuSAEAAADetgEAAwAAAAAAv/b6fLlz3Qiy4+vxwXPdCDpD</t>
  </si>
  <si>
    <t>SVEuTllTRTpJQk0uSVFfV0FSUkFOVFlfTElBQklMSVRJRVMuMTAwMC40LzEvMjAyNS4uLlVTRC5IAQAAAN62AQADAAAAAAC/9vp8uXPdCLLj6/HBc90IOUNJUS5OWVNFOklCTS5JUV9XQVJSQU5UWV9MSUFCSUxJVElFUy45OTEuNC8xLzIwMjUuLi5VU0QuSAEAAADetgEAAwAAAAAAv/b6fLlz3Qiy4+vxwXPdCDlDSVEuTllTRTpJQk0uSVFfV0FSUkFOVFlfTElBQklMSVRJRVMuOTkyLjQvMS8yMDI1Li4uVVNELkgBAAAA3rYBAAMAAAAAAL/2+ny5c90IsuPr8cFz3Qg5Q0lRLk5ZU0U6SUJNLklRX1dBUlJBTlRZX0xJQUJJTElUSUVTLjk5My40LzEvMjAyNS4uLlVTRC5IAQAAAN62AQADAAAAAAC/9vp8uXPdCLLj6/HBc90IOUNJUS5OWVNFOklCTS5JUV9XQVJSQU5UWV9MSUFCSUxJVElFUy45OTQuNC8xLzIwMjUuLi5VU0QuSAEAAADetgEAAwAAAAAAv/b6fLlz3Qiy4+vxwXPdCDlDSVEuTllTRTpJQk0uSVFfV0FSUkFOVFlfTElBQklMSVRJRVMuOTk1LjQvMS8yMDI1Li4uVVNELkgBAAAA3rYBAAMAAAAAAL/2+ny5c90IsuPr8cFz3Qg7Q0lRLk5ZU0U6SUJNLklRX0NPTlRJTkdFTlRfTElBQklMSVRJRVMuOTk4LjQvMS8yMDI1Li4uVVNELkgBAAAA3rYBAAMAAAAAAL/2+ny5c90IsuPr8cFz3Qg7Q0lRLk5ZU0U6SUJNLklRX0NPTlRJTkdFTlRfTElBQklMSVRJRVMuOTk5LjQvMS8yMDI1Li4uVVNELkgBAAAA</t>
  </si>
  <si>
    <t>3rYBAAMAAAAAAL/2+ny5c90IsuPr8cFz3Qg8Q0lRLk5ZU0U6SUJNLklRX0NPTlRJTkdFTlRfTElBQklMSVRJRVMuMTAwMC40LzEvMjAyNS4uLlVTRC5IAQAAAN62AQADAAAAAAC/9vp8uXPdCLLj6/HBc90IPENJUS5OWVNFOklCTS5JUV9DT05USU5HRU5UX0xJQUJJTElUSUVTLjIwMDAuNC8xLzIwMjUuLi5VU0QuSAEAAADetgEAAwAAAAAAv/b6fLlz3Qiy4+vxwXPdCDlDSVEuTllTRTpJQk0uSVFfV0FSUkFOVFlfTElBQklMSVRJRVMuOTkwLjQvMS8yMDI1Li4uVVNELkgBAAAA3rYBAAMAAAAAAL/2+ny5c90IsuPr8cFz3Qg7Q0lRLk5ZU0U6SUJNLklRX0NPTlRJTkdFTlRfTElBQklMSVRJRVMuOTkzLjQvMS8yMDI1Li4uVVNELkgBAAAA3rYBAAMAAAAAAL/2+ny5c90IsuPr8cFz3Qg7Q0lRLk5ZU0U6SUJNLklRX0NPTlRJTkdFTlRfTElBQklMSVRJRVMuOTk0LjQvMS8yMDI1Li4uVVNELkgBAAAA3rYBAAMAAAAAAL/2+ny5c90IsuPr8cFz3Qg7Q0lRLk5ZU0U6SUJNLklRX0NPTlRJTkdFTlRfTElBQklMSVRJRVMuOTk1LjQvMS8yMDI1Li4uVVNELkgBAAAA3rYBAAMAAAAAAL/2+ny5c90IsuPr8cFz3Qg7Q0lRLk5ZU0U6SUJNLklRX0NPTlRJTkdFTlRfTElBQklMSVRJRVMuOTk2LjQvMS8yMDI1Li4uVVNELkgBAAAA3rYBAAMAAAAAAL/2+ny5c90IsuPr8cFz3Qg7Q0lRLk5ZU0U6SUJNLklRX0NPTlRJTkdF</t>
  </si>
  <si>
    <t>TlRfTElBQklMSVRJRVMuOTk3LjQvMS8yMDI1Li4uVVNELkgBAAAA3rYBAAMAAAAAAL/2+ny5c90IsuPr8cFz3QgzQ0lRLk5ZU0U6SUJNLklRX09SREVSX0JBQ0tMT0cuMTAwMC40LzEvMjAyNS4uLlVTRC5IAQAAAN62AQADAAAAAAC/9vp8uXPdCLLj6/HBc90IM0NJUS5OWVNFOklCTS5JUV9PUkRFUl9CQUNLTE9HLjIwMDAuNC8xLzIwMjUuLi5VU0QuSAEAAADetgEAAwAAAAAAv/b6fLlz3Qiy4+vxwXPdCDtDSVEuTllTRTpJQk0uSVFfQ09OVElOR0VOVF9MSUFCSUxJVElFUy45OTAuNC8xLzIwMjUuLi5VU0QuSAEAAADetgEAAwAAAAAAv/b6fLlz3Qiy4+vxwXPdCDtDSVEuTllTRTpJQk0uSVFfQ09OVElOR0VOVF9MSUFCSUxJVElFUy45OTEuNC8xLzIwMjUuLi5VU0QuSAEAAADetgEAAwAAAAAAv/b6fLlz3Qiy4+vxwXPdCDtDSVEuTllTRTpJQk0uSVFfQ09OVElOR0VOVF9MSUFCSUxJVElFUy45OTIuNC8xLzIwMjUuLi5VU0QuSAEAAADetgEAAwAAAAAAv/b6fLlz3Qiy4+vxwXPdCDJDSVEuTllTRTpJQk0uSVFfT1JERVJfQkFDS0xPRy45OTUuNC8xLzIwMjUuLi5VU0QuSAEAAADetgEAAwAAAAAAv/b6fLlz3Qiy4+vxwXPdCDJDSVEuTllTRTpJQk0uSVFfT1JERVJfQkFDS0xPRy45OTYuNC8xLzIwMjUuLi5VU0QuSAEAAADetgEAAwAAAAAAv/b6fLlz3Qiy4+vxwXPdCDJDSVEuTllTRTpJQk0uSVFfT1JE</t>
  </si>
  <si>
    <t>RVJfQkFDS0xPRy45OTcuNC8xLzIwMjUuLi5VU0QuSAEAAADetgEAAwAAAAAAv/b6fLlz3Qiy4+vxwXPdCDJDSVEuTllTRTpJQk0uSVFfT1JERVJfQkFDS0xPRy45OTguNC8xLzIwMjUuLi5VU0QuSAEAAADetgEAAwAAAAAAv/b6fLlz3Qiy4+vxwXPdCDJDSVEuTllTRTpJQk0uSVFfT1JERVJfQkFDS0xPRy45OTkuNC8xLzIwMjUuLi5VU0QuSAEAAADetgEAAwAAAAAAv/b6fLlz3Qiy4+vxwXPdCDJDSVEuTllTRTpJQk0uSVFfT1JERVJfQkFDS0xPRy45OTAuNC8xLzIwMjUuLi5VU0QuSAEAAADetgEAAwAAAAAAv/b6fLlz3Qiy4+vxwXPdCDJDSVEuTllTRTpJQk0uSVFfT1JERVJfQkFDS0xPRy45OTEuNC8xLzIwMjUuLi5VU0QuSAEAAADetgEAAwAAAAAAv/b6fLlz3Qiy4+vxwXPdCDJDSVEuTllTRTpJQk0uSVFfT1JERVJfQkFDS0xPRy45OTIuNC8xLzIwMjUuLi5VU0QuSAEAAADetgEAAwAAAAAAv/b6fLlz3Qiy4+vxwXPdCDJDSVEuTllTRTpJQk0uSVFfT1JERVJfQkFDS0xPRy45OTMuNC8xLzIwMjUuLi5VU0QuSAEAAADetgEAAwAAAAAAv/b6fLlz3Qiy4+vxwXPdCDJDSVEuTllTRTpJQk0uSVFfT1JERVJfQkFDS0xPRy45OTQuNC8xLzIwMjUuLi5VU0QuSAEAAADetgEAAwAAAAAAv/b6fLlz3Qiy4+vxwXPdCDhDSVEuTllTRTpJQk0uSVFfVE9UQUxfREVCVF9FWENMX0ZJTi45OTcuNC8xLzIwMjUuLi5V</t>
  </si>
  <si>
    <t>U0QuSAEAAADetgEAAgAAAAU1NTE0MAEIAAAABQAAAAExAQAAAAstMjAwODY0NzE5OAMAAAADMTYwAgAAAAUyMTg2MAQAAAABMAcAAAAINC8xLzIwMjUIAAAACjEyLzMxLzIwMjEJAAAAATC/9vp8uXPdCLLj6/HBc90IOENJUS5OWVNFOklCTS5JUV9UT1RBTF9ERUJUX0VYQ0xfRklOLjk5OC40LzEvMjAyNS4uLlVTRC5IAQAAAN62AQACAAAABTU0MDEzAQgAAAAFAAAAATEBAAAACy0xOTU4MjgxMDk2AwAAAAMxNjACAAAABTIxODYwBAAAAAEwBwAAAAg0LzEvMjAyNQgAAAAKMTIvMzEvMjAyMgkAAAABML/2+ny5c90IsuPr8cFz3Qg4Q0lRLk5ZU0U6SUJNLklRX1RPVEFMX0RFQlRfRVhDTF9GSU4uOTk5LjQvMS8yMDI1Li4uVVNELkgBAAAA3rYBAAIAAAAFNTk5MzUBCAAAAAUAAAABMQEAAAALLTE5NTgyODEwOTUDAAAAAzE2MAIAAAAFMjE4NjAEAAAAATAHAAAACDQvMS8yMDI1CAAAAAoxMi8zMS8yMDIzCQAAAAEwv/b6fLlz3Qiy4+vxwXPdCDlDSVEuTllTRTpJQk0uSVFfVE9UQUxfREVCVF9FWENMX0ZJTi4xMDAwLjQvMS8yMDI1Li4uVVNELkgBAAAA3rYBAAIAAAAFNTgzOTYBCAAAAAUAAAABMQEAAAALLTE5NTgyODEwOTcDAAAAAzE2MAIAAAAFMjE4NjAEAAAAATAHAAAACDQvMS8yMDI1CAAAAAoxMi8zMS8yMDI0CQAAAAEwv/b6fLlz3Qiy4+vxwXPdCDlDSVEuTllTRTpJQk0uSVFfVE9UQUxfREVCVF9F</t>
  </si>
  <si>
    <t>WENMX0ZJTi4yMDAwLjQvMS8yMDI1Li4uVVNELkgBAAAA3rYBAAIAAAAFNTgzOTYBCAAAAAUAAAABMQEAAAALLTE5NTgyODA2MTUDAAAAAzE2MAIAAAAFMjE4NjAEAAAAATAHAAAACDQvMS8yMDI1CAAAAAoxMi8zMS8yMDI0CQAAAAEwv/b6fLlz3Qiy4+vxwXPdCDhDSVEuTllTRTpJQk0uSVFfVE9UQUxfREVCVF9FWENMX0ZJTi45OTIuNC8xLzIwMjUuLi5VU0QuSAEAAADetgEAAgAAAAU0MjE3NgEIAAAABQAAAAExAQAAAAoxOTQ3MTc5NTgzAwAAAAMxNjACAAAABTIxODYwBAAAAAEwBwAAAAg0LzEvMjAyNQgAAAAKMTIvMzEvMjAxNgkAAAABML/2+ny5c90IsuPr8cFz3Qg4Q0lRLk5ZU0U6SUJNLklRX1RPVEFMX0RFQlRfRVhDTF9GSU4uOTkzLjQvMS8yMDI1Li4uVVNELkgBAAAA3rYBAAIAAAAFNDY4NTgBCAAAAAUAAAABMQEAAAAKMjAxNzE2NDI0NAMAAAADMTYwAgAAAAUyMTg2MAQAAAABMAcAAAAINC8xLzIwMjUIAAAACjEyLzMxLzIwMTcJAAAAATC/9vp8uXPdCLLj6/HBc90IOENJUS5OWVNFOklCTS5JUV9UT1RBTF9ERUJUX0VYQ0xfRklOLjk5NC40LzEvMjAyNS4uLlVTRC5IAQAAAN62AQACAAAABTQ1ODEyAQgAAAAFAAAAATEBAAAACjIwODE1MDU0MDEDAAAAAzE2MAIAAAAFMjE4NjAEAAAAATAHAAAACDQvMS8yMDI1CAAAAAoxMi8zMS8yMDE4CQAAAAEwv/b6fLlz3Qiy4+vxwXPdCDhDSVEuTllT</t>
  </si>
  <si>
    <t>RTpJQk0uSVFfVE9UQUxfREVCVF9FWENMX0ZJTi45OTUuNC8xLzIwMjUuLi5VU0QuSAEAAADetgEAAgAAAAU2ODE1OAEIAAAABQAAAAExAQAAAAstMjExMDc2OTM1NQMAAAADMTYwAgAAAAUyMTg2MAQAAAABMAcAAAAINC8xLzIwMjUIAAAACjEyLzMxLzIwMTkJAAAAATC/9vp8uXPdCLLj6/HBc90IOENJUS5OWVNFOklCTS5JUV9UT1RBTF9ERUJUX0VYQ0xfRklOLjk5Ni40LzEvMjAyNS4uLlVTRC5IAQAAAN62AQACAAAABTY1MDg4AQgAAAAFAAAAATEBAAAACy0yMDU5MDczMjAyAwAAAAMxNjACAAAABTIxODYwBAAAAAEwBwAAAAg0LzEvMjAyNQgAAAAKMTIvMzEvMjAyMAkAAAABML/2+ny5c90IsuPr8cFz3Qg6Q0lRLk5ZU0U6SUJNLklRX1JFU1RSSUNURURfQ0FTSF9UT1RBTC45OTkuNC8xLzIwMjUuLi5VU0QuSAEAAADetgEAAgAAAAIyMQEIAAAABQAAAAExAQAAAAstMTk1ODI4MTA5NQMAAAADMTYwAgAAAAUyNDE5MgQAAAABMAcAAAAINC8xLzIwMjUIAAAACjEyLzMxLzIwMjMJAAAAATC/9vp8uXPdCLLj6/HBc90IO0NJUS5OWVNFOklCTS5JUV9SRVNUUklDVEVEX0NBU0hfVE9UQUwuMTAwMC40LzEvMjAyNS4uLlVTRC5IAQAAAN62AQACAAAAAzIxNAEIAAAABQAAAAExAQAAAAstMTk1ODI4MTA5NwMAAAADMTYwAgAAAAUyNDE5MgQAAAABMAcAAAAINC8xLzIwMjUIAAAACjEyLzMxLzIwMjQJAAAAATC/</t>
  </si>
  <si>
    <t>9vp8uXPdCLLj6/HBc90IO0NJUS5OWVNFOklCTS5JUV9SRVNUUklDVEVEX0NBU0hfVE9UQUwuMjAwMC40LzEvMjAyNS4uLlVTRC5IAQAAAN62AQACAAAAAzIxNAEIAAAABQAAAAExAQAAAAstMTk1ODI4MDYxNQMAAAADMTYwAgAAAAUyNDE5MgQAAAABMAcAAAAINC8xLzIwMjUIAAAACjEyLzMxLzIwMjQJAAAAATC/9vp8uXPdCLLj6/HBc90IOENJUS5OWVNFOklCTS5JUV9UT1RBTF9ERUJUX0VYQ0xfRklOLjk5MC40LzEvMjAyNS4uLlVTRC5IAQAAAN62AQACAAAABTQwNzIyAQgAAAAFAAAAATEBAAAACjE4Mjk5MTE5NjgDAAAAAzE2MAIAAAAFMjE4NjAEAAAAATAHAAAACDQvMS8yMDI1CAAAAAoxMi8zMS8yMDE0CQAAAAEwv/b6fLlz3Qiy4+vxwXPdCDhDSVEuTllTRTpJQk0uSVFfVE9UQUxfREVCVF9FWENMX0ZJTi45OTEuNC8xLzIwMjUuLi5VU0QuSAEAAADetgEAAgAAAAUzOTg5MgEIAAAABQAAAAExAQAAAAoxODc2NDMyODcyAwAAAAMxNjACAAAABTIxODYwBAAAAAEwBwAAAAg0LzEvMjAyNQgAAAAKMTIvMzEvMjAxNQkAAAABML/2+ny5c90IsuPr8cFz3Qg6Q0lRLk5ZU0U6SUJNLklRX1JFU1RSSUNURURfQ0FTSF9UT1RBTC45OTQuNC8xLzIwMjUuLi5VU0QuSAEAAADetgEAAgAAAAMyMjUBCAAAAAUAAAABMQEAAAAKMjA4MTUwNTQwMQMAAAADMTYwAgAAAAUyNDE5MgQAAAABMAcAAAAINC8xLzIwMjUI</t>
  </si>
  <si>
    <t>AAAACjEyLzMxLzIwMTgJAAAAATC/9vp8uXPdCLLj6/HBc90IOkNJUS5OWVNFOklCTS5JUV9SRVNUUklDVEVEX0NBU0hfVE9UQUwuOTk1LjQvMS8yMDI1Li4uVVNELkgBAAAA3rYBAAIAAAADMTQxAQgAAAAFAAAAATEBAAAACy0yMTEwNzY5MzU1AwAAAAMxNjACAAAABTI0MTkyBAAAAAEwBwAAAAg0LzEvMjAyNQgAAAAKMTIvMzEvMjAxOQkAAAABML/2+ny5c90IsuPr8cFz3Qg6Q0lRLk5ZU0U6SUJNLklRX1JFU1RSSUNURURfQ0FTSF9UT1RBTC45OTYuNC8xLzIwMjUuLi5VU0QuSAEAAADetgEAAgAAAAM0NjMBCAAAAAUAAAABMQEAAAALLTIwNTkwNzMyMDIDAAAAAzE2MAIAAAAFMjQxOTIEAAAAATAHAAAACDQvMS8yMDI1CAAAAAoxMi8zMS8yMDIwCQAAAAEwv/b6fLlz3Qiy4+vxwXPdCDpDSVEuTllTRTpJQk0uSVFfUkVTVFJJQ1RFRF9DQVNIX1RPVEFMLjk5Ny40LzEvMjAyNS4uLlVTRC5IAQAAAN62AQACAAAAAzMwNwEIAAAABQAAAAExAQAAAAstMjAwODY0NzE5OAMAAAADMTYwAgAAAAUyNDE5MgQAAAABMAcAAAAINC8xLzIwMjUIAAAACjEyLzMxLzIwMjEJAAAAATC/9vp8uXPdCLLj6/HBc90IOkNJUS5OWVNFOklCTS5JUV9SRVNUUklDVEVEX0NBU0hfVE9UQUwuOTk4LjQvMS8yMDI1Li4uVVNELkgBAAAA3rYBAAIAAAADMTAzAQgAAAAFAAAAATEBAAAACy0xOTU4MjgxMDk2AwAAAAMxNjACAAAABTI0</t>
  </si>
  <si>
    <t>MTkyBAAAAAEwBwAAAAg0LzEvMjAyNQgAAAAKMTIvMzEvMjAyMgkAAAABML/2+ny5c90IsuPr8cFz3QhBQ0lRLk5ZU0U6SUJNLklRX1JFU1RSSUNURURfQ0FTSF9OT05fQ1VSUkVOVC4yMDAwLjQvMS8yMDI1Li4uVVNELkgBAAAA3rYBAAMAAAAAAL/2+ny5c90IsuPr8cFz3Qg6Q0lRLk5ZU0U6SUJNLklRX1JFU1RSSUNURURfQ0FTSF9UT1RBTC45OTAuNC8xLzIwMjUuLi5VU0QuSAEAAADetgEAAwAAAAAAv/b6fLlz3Qiy4+vxwXPdCDpDSVEuTllTRTpJQk0uSVFfUkVTVFJJQ1RFRF9DQVNIX1RPVEFMLjk5MS40LzEvMjAyNS4uLlVTRC5IAQAAAN62AQADAAAAAAC/9vp8uXPdCLLj6/HBc90IOkNJUS5OWVNFOklCTS5JUV9SRVNUUklDVEVEX0NBU0hfVE9UQUwuOTkyLjQvMS8yMDI1Li4uVVNELkgBAAAA3rYBAAMAAAAAAL/2+ny5c90IsuPr8cFz3Qg6Q0lRLk5ZU0U6SUJNLklRX1JFU1RSSUNURURfQ0FTSF9UT1RBTC45OTMuNC8xLzIwMjUuLi5VU0QuSAEAAADetgEAAgAAAAMyNjIBCAAAAAUAAAABMQEAAAAKMjAxNzE2NDI0NAMAAAADMTYwAgAAAAUyNDE5MgQAAAABMAcAAAAINC8xLzIwMjUIAAAACjEyLzMxLzIwMTcJAAAAATC/9vp8uXPdCLLj6/HBc90IQENJUS5OWVNFOklCTS5JUV9SRVNUUklDVEVEX0NBU0hfTk9OX0NVUlJFTlQuOTk2LjQvMS8yMDI1Li4uVVNELkgBAAAA3rYBAAMAAAAAAL/2+ny5</t>
  </si>
  <si>
    <t>c90IsuPr8cFz3QhAQ0lRLk5ZU0U6SUJNLklRX1JFU1RSSUNURURfQ0FTSF9OT05fQ1VSUkVOVC45OTcuNC8xLzIwMjUuLi5VU0QuSAEAAADetgEAAwAAAAAAv/b6fLlz3Qiy4+vxwXPdCEBDSVEuTllTRTpJQk0uSVFfUkVTVFJJQ1RFRF9DQVNIX05PTl9DVVJSRU5ULjk5OC40LzEvMjAyNS4uLlVTRC5IAQAAAN62AQADAAAAAAC/9vp8uXPdCLLj6/HBc90IQENJUS5OWVNFOklCTS5JUV9SRVNUUklDVEVEX0NBU0hfTk9OX0NVUlJFTlQuOTk5LjQvMS8yMDI1Li4uVVNELkgBAAAA3rYBAAMAAAAAAL/2+ny5c90IsuPr8cFz3QhBQ0lRLk5ZU0U6SUJNLklRX1JFU1RSSUNURURfQ0FTSF9OT05fQ1VSUkVOVC4xMDAwLjQvMS8yMDI1Li4uVVNELkgBAAAA3rYBAAMAAAAAAL/2+ny5c90IsuPr8cFz3QhAQ0lRLk5ZU0U6SUJNLklRX1JFU1RSSUNURURfQ0FTSF9OT05fQ1VSUkVOVC45OTEuNC8xLzIwMjUuLi5VU0QuSAEAAADetgEAAwAAAAAAv/b6fLlz3Qiy4+vxwXPdCEBDSVEuTllTRTpJQk0uSVFfUkVTVFJJQ1RFRF9DQVNIX05PTl9DVVJSRU5ULjk5Mi40LzEvMjAyNS4uLlVTRC5IAQAAAN62AQADAAAAAAC/9vp8uXPdCLLj6/HBc90IQENJUS5OWVNFOklCTS5JUV9SRVNUUklDVEVEX0NBU0hfTk9OX0NVUlJFTlQuOTkzLjQvMS8yMDI1Li4uVVNELkgBAAAA3rYBAAMAAAAAAL/2+ny5c90IsuPr8cFz3QhAQ0lR</t>
  </si>
  <si>
    <t>Lk5ZU0U6SUJNLklRX1JFU1RSSUNURURfQ0FTSF9OT05fQ1VSUkVOVC45OTQuNC8xLzIwMjUuLi5VU0QuSAEAAADetgEAAwAAAAAAv/b6fLlz3Qiy4+vxwXPdCEBDSVEuTllTRTpJQk0uSVFfUkVTVFJJQ1RFRF9DQVNIX05PTl9DVVJSRU5ULjk5NS40LzEvMjAyNS4uLlVTRC5IAQAAAN62AQADAAAAAAC/9vp8uXPdCLLj6/HBc90IK0NJUS5OWVNFOklCTS5JUV9DT1NUX0JPUlJPV0lORy45OTguNC8xLzIwMjUBAAAA3rYBAAIAAAAGMi4yMzcyAQgAAAAFAAAAATEBAAAACy0xOTU4MjgxMDk2AwAAAAMxNjACAAAABTIxNjgxBAAAAAEwBwAAAAg0LzEvMjAyNQgAAAAKMTIvMzEvMjAyMgkAAAABML/2+ny5c90IsuPr8cFz3QgrQ0lRLk5ZU0U6SUJNLklRX0NPU1RfQk9SUk9XSU5HLjk5OS40LzEvMjAyNQEAAADetgEAAgAAAAYyLjgzNjMBCAAAAAUAAAABMQEAAAALLTE5NTgyODEwOTUDAAAAAzE2MAIAAAAFMjE2ODEEAAAAATAHAAAACDQvMS8yMDI1CAAAAAoxMi8zMS8yMDIzCQAAAAEwv/b6fLlz3Qiy4+vxwXPdCCxDSVEuTllTRTpJQk0uSVFfQ09TVF9CT1JST1dJTkcuMTAwMC40LzEvMjAyNQEAAADetgEAAgAAAAYyLjkxMzgBCAAAAAUAAAABMQEAAAALLTE5NTgyODEwOTcDAAAAAzE2MAIAAAAFMjE2ODEEAAAAATAHAAAACDQvMS8yMDI1CAAAAAoxMi8zMS8yMDI0CQAAAAEwv/b6fLlz3Qiy4+vxwXPdCCxD</t>
  </si>
  <si>
    <t>SVEuTllTRTpJQk0uSVFfQ09TVF9CT1JST1dJTkcuMjAwMC40LzEvMjAyNQEAAADetgEAAgAAAAYyLjkxMzgBCAAAAAUAAAABMQEAAAALLTE5NTgyODA2MTUDAAAAAzE2MAIAAAAFMjE2ODEEAAAAATAHAAAACDQvMS8yMDI1CAAAAAoxMi8zMS8yMDI0CQAAAAEwv/b6fLlz3Qiy4+vxwXPdCEBDSVEuTllTRTpJQk0uSVFfUkVTVFJJQ1RFRF9DQVNIX05PTl9DVVJSRU5ULjk5MC40LzEvMjAyNS4uLlVTRC5IAQAAAN62AQADAAAAAAC/9vp8uXPdCLLj6/HBc90IK0NJUS5OWVNFOklCTS5JUV9DT1NUX0JPUlJPV0lORy45OTMuNC8xLzIwMjUBAAAA3rYBAAIAAAAGMS4zOTI3AQgAAAAFAAAAATEBAAAACjIwMTcxNjQyNDQDAAAAAzE2MAIAAAAFMjE2ODEEAAAAATAHAAAACDQvMS8yMDI1CAAAAAoxMi8zMS8yMDE3CQAAAAEwv/b6fLlz3Qiy4+vxwXPdCCtDSVEuTllTRTpJQk0uSVFfQ09TVF9CT1JST1dJTkcuOTk0LjQvMS8yMDI1AQAAAN62AQACAAAABjEuNTY2OAEIAAAABQAAAAExAQAAAAoyMDgxNTA1NDAxAwAAAAMxNjACAAAABTIxNjgxBAAAAAEwBwAAAAg0LzEvMjAyNQgAAAAKMTIvMzEvMjAxOAkAAAABML/2+ny5c90IsuPr8cFz3QgrQ0lRLk5ZU0U6SUJNLklRX0NPU1RfQk9SUk9XSU5HLjk5NS40LzEvMjAyNQEAAADetgEAAgAAAAYyLjM2NTUBCAAAAAUAAAABMQEAAAALLTIxMTA3NjkzNTUDAAAAAzE2</t>
  </si>
  <si>
    <t>MAIAAAAFMjE2ODEEAAAAATAHAAAACDQvMS8yMDI1CAAAAAoxMi8zMS8yMDE5CQAAAAEwv/b6fLlz3Qiy4+vxwXPdCCtDSVEuTllTRTpJQk0uSVFfQ09TVF9CT1JST1dJTkcuOTk2LjQvMS8yMDI1AQAAAN62AQACAAAABjEuOTQwNwEIAAAABQAAAAExAQAAAAstMjA1OTA3MzIwMgMAAAADMTYwAgAAAAUyMTY4MQQAAAABMAcAAAAINC8xLzIwMjUIAAAACjEyLzMxLzIwMjAJAAAAATC/9vp8uXPdCLLj6/HBc90IK0NJUS5OWVNFOklCTS5JUV9DT1NUX0JPUlJPV0lORy45OTcuNC8xLzIwMjUBAAAA3rYBAAIAAAAGMS45MjYzAQgAAAAFAAAAATEBAAAACy0yMDA4NjQ3MTk4AwAAAAMxNjACAAAABTIxNjgxBAAAAAEwBwAAAAg0LzEvMjAyNQgAAAAKMTIvMzEvMjAyMQkAAAABML/2+ny5c90IsuPr8cFz3Qg7Q0lRLk5ZU0U6SUJNLklRX0RFQlRfRVFVSVZfT1BFUl9MRUFTRS4xMDAwLjQvMS8yMDI1Li4uVVNELkgBAAAA3rYBAAIAAAAFMTA0NzIBCAAAAAUAAAABMQEAAAALLTE5NTgyODEwOTcDAAAAAzE2MAIAAAAFMjE2NzEEAAAAATAHAAAACDQvMS8yMDI1CAAAAAoxMi8zMS8yMDI0CQAAAAEwv/b6fLlz3Qiy4+vxwXPdCDtDSVEuTllTRTpJQk0uSVFfREVCVF9FUVVJVl9PUEVSX0xFQVNFLjIwMDAuNC8xLzIwMjUuLi5VU0QuSAEAAADetgEAAgAAAAUxMDQ3MgEIAAAABQAAAAExAQAAAAstMTk1ODI4MDYxNQMA</t>
  </si>
  <si>
    <t>AAADMTYwAgAAAAUyMTY3MQQAAAABMAcAAAAINC8xLzIwMjUIAAAACjEyLzMxLzIwMjQJAAAAATC/9vp8uXPdCLLj6/HBc90IK0NJUS5OWVNFOklCTS5JUV9DT1NUX0JPUlJPV0lORy45OTAuNC8xLzIwMjUBAAAA3rYBAAIAAAAGMS4yMTMxAQgAAAAFAAAAATEBAAAACjE4Mjk5MTE5NjgDAAAAAzE2MAIAAAAFMjE2ODEEAAAAATAHAAAACDQvMS8yMDI1CAAAAAoxMi8zMS8yMDE0CQAAAAEwv/b6fLlz3Qiy4+vxwXPdCCtDSVEuTllTRTpJQk0uSVFfQ09TVF9CT1JST1dJTkcuOTkxLjQvMS8yMDI1AQAAAN62AQACAAAABTEuMTYxAQgAAAAFAAAAATEBAAAACjE4NzY0MzI4NzIDAAAAAzE2MAIAAAAFMjE2ODEEAAAAATAHAAAACDQvMS8yMDI1CAAAAAoxMi8zMS8yMDE1CQAAAAEwv/b6fLlz3Qiy4+vxwXPdCCtDSVEuTllTRTpJQk0uSVFfQ09TVF9CT1JST1dJTkcuOTkyLjQvMS8yMDI1AQAAAN62AQACAAAABjEuNTQwMQEIAAAABQAAAAExAQAAAAoxOTQ3MTc5NTgzAwAAAAMxNjACAAAABTIxNjgxBAAAAAEwBwAAAAg0LzEvMjAyNQgAAAAKMTIvMzEvMjAxNgkAAAABML/2+ny5c90IsuPr8cFz3Qg6Q0lRLk5ZU0U6SUJNLklRX0RFQlRfRVFVSVZfT1BFUl9MRUFTRS45OTUuNC8xLzIwMjUuLi5VU0QuSAEAAADetgEAAgAAAAUxMjk4NAEIAAAABQAAAAExAQAAAAstMjExMDc2OTM1NQMAAAADMTYwAgAAAAUyMTY3</t>
  </si>
  <si>
    <t>MQQAAAABMAcAAAAINC8xLzIwMjUIAAAACjEyLzMxLzIwMTkJAAAAATC/9vp8uXPdCLLj6/HBc90IOkNJUS5OWVNFOklCTS5JUV9ERUJUX0VRVUlWX09QRVJfTEVBU0UuOTk2LjQvMS8yMDI1Li4uVVNELkgBAAAA3rYBAAIAAAAFMTIxOTIBCAAAAAUAAAABMQEAAAALLTIwNTkwNzMyMDIDAAAAAzE2MAIAAAAFMjE2NzEEAAAAATAHAAAACDQvMS8yMDI1CAAAAAoxMi8zMS8yMDIwCQAAAAEwv/b6fLlz3Qiy4+vxwXPdCDpDSVEuTllTRTpJQk0uSVFfREVCVF9FUVVJVl9PUEVSX0xFQVNFLjk5Ny40LzEvMjAyNS4uLlVTRC5IAQAAAN62AQACAAAABTExNDk2AQgAAAAFAAAAATEBAAAACy0yMDA4NjQ3MTk4AwAAAAMxNjACAAAABTIxNjcxBAAAAAEwBwAAAAg0LzEvMjAyNQgAAAAKMTIvMzEvMjAyMQkAAAABML/2+ny5c90IsuPr8cFz3Qg6Q0lRLk5ZU0U6SUJNLklRX0RFQlRfRVFVSVZfT1BFUl9MRUFTRS45OTguNC8xLzIwMjUuLi5VU0QuSAEAAADetgEAAgAAAAQ5OTc2AQgAAAAFAAAAATEBAAAACy0xOTU4MjgxMDk2AwAAAAMxNjACAAAABTIxNjcxBAAAAAEwBwAAAAg0LzEvMjAyNQgAAAAKMTIvMzEvMjAyMgkAAAABML/2+ny5c90IsuPr8cFz3Qg6Q0lRLk5ZU0U6SUJNLklRX0RFQlRfRVFVSVZfT1BFUl9MRUFTRS45OTkuNC8xLzIwMjUuLi5VU0QuSAEAAADetgEAAgAAAAUxMDMzNgEIAAAABQAAAAExAQAA</t>
  </si>
  <si>
    <t>AAstMTk1ODI4MTA5NQMAAAADMTYwAgAAAAUyMTY3MQQAAAABMAcAAAAINC8xLzIwMjUIAAAACjEyLzMxLzIwMjMJAAAAATC/9vp8uXPdCLLj6/HBc90IOkNJUS5OWVNFOklCTS5JUV9ERUJUX0VRVUlWX09QRVJfTEVBU0UuOTkwLjQvMS8yMDI1Li4uVVNELkgBAAAA3rYBAAIAAAAFMTE5NzYBCAAAAAUAAAABMQEAAAAKMTgyOTkxMTk2OAMAAAADMTYwAgAAAAUyMTY3MQQAAAABMAcAAAAINC8xLzIwMjUIAAAACjEyLzMxLzIwMTQJAAAAATC/9vp8uXPdCLLj6/HBc90IOkNJUS5OWVNFOklCTS5JUV9ERUJUX0VRVUlWX09QRVJfTEVBU0UuOTkxLjQvMS8yMDI1Li4uVVNELkgBAAAA3rYBAAIAAAAFMTE1NjABCAAAAAUAAAABMQEAAAAKMTg3NjQzMjg3MgMAAAADMTYwAgAAAAUyMTY3MQQAAAABMAcAAAAINC8xLzIwMjUIAAAACjEyLzMxLzIwMTUJAAAAATC/9vp8uXPdCLLj6/HBc90IOkNJUS5OWVNFOklCTS5JUV9ERUJUX0VRVUlWX09QRVJfTEVBU0UuOTkyLjQvMS8yMDI1Li4uVVNELkgBAAAA3rYBAAMAAAAAAL/2+ny5c90IsuPr8cFz3Qg6Q0lRLk5ZU0U6SUJNLklRX0RFQlRfRVFVSVZfT1BFUl9MRUFTRS45OTMuNC8xLzIwMjUuLi5VU0QuSAEAAADetgEAAwAAAAAAv/b6fLlz3Qiy4+vxwXPdCDpDSVEuTllTRTpJQk0uSVFfREVCVF9FUVVJVl9PUEVSX0xFQVNFLjk5NC40LzEvMjAyNS4uLlVTRC5IAQAA</t>
  </si>
  <si>
    <t>AN62AQADAAAAAAC/9vp8uXPdCLLj6/HBc90IN0NJUS5OWVNFOklCTS5JUV9ERUJUX0VRVUlWX05FVF9QQk8uOTk3LjQvMS8yMDI1Li4uVVNELkgBAAAA3rYBAAIAAAAEMTQ0OAEIAAAABQAAAAExAQAAAAstMjAwODY0NzE5OAMAAAADMTYwAgAAAAUyMTY3OQQAAAABMAcAAAAINC8xLzIwMjUIAAAACjEyLzMxLzIwMjEJAAAAATC/9vp8uXPdCLLj6/HBc90IN0NJUS5OWVNFOklCTS5JUV9ERUJUX0VRVUlWX05FVF9QQk8uOTk4LjQvMS8yMDI1Li4uVVNELkgBAAAA3rYBAAIAAAAELTcxMQEIAAAABQAAAAExAQAAAAstMTk1ODI4MTA5NgMAAAADMTYwAgAAAAUyMTY3OQQAAAABMAcAAAAINC8xLzIwMjUIAAAACjEyLzMxLzIwMjIJAAAAATC/9vp8uXPdCLLj6/HBc90IN0NJUS5OWVNFOklCTS5JUV9ERUJUX0VRVUlWX05FVF9QQk8uOTk5LjQvMS8yMDI1Li4uVVNELkgBAAAA3rYBAAIAAAAEMTIxOAEIAAAABQAAAAExAQAAAAstMTk1ODI4MTA5NQMAAAADMTYwAgAAAAUyMTY3OQQAAAABMAcAAAAINC8xLzIwMjUIAAAACjEyLzMxLzIwMjMJAAAAATC/9vp8uXPdCLLj6/HBc90IOENJUS5OWVNFOklCTS5JUV9ERUJUX0VRVUlWX05FVF9QQk8uMTAwMC40LzEvMjAyNS4uLlVTRC5IAQAAAN62AQACAAAAAy04NwEIAAAABQAAAAExAQAAAAstMTk1ODI4MTA5NwMAAAADMTYwAgAAAAUyMTY3OQQAAAABMAcAAAAINC8x</t>
  </si>
  <si>
    <t>LzIwMjUIAAAACjEyLzMxLzIwMjQJAAAAATC/9vp8uXPdCLLj6/HBc90IOENJUS5OWVNFOklCTS5JUV9ERUJUX0VRVUlWX05FVF9QQk8uMjAwMC40LzEvMjAyNS4uLlVTRC5IAQAAAN62AQACAAAAAy04NwEIAAAABQAAAAExAQAAAAstMTk1ODI4MDYxNQMAAAADMTYwAgAAAAUyMTY3OQQAAAABMAcAAAAINC8xLzIwMjUIAAAACjEyLzMxLzIwMjQJAAAAATC/9vp8uXPdCLLj6/HBc90IN0NJUS5OWVNFOklCTS5JUV9ERUJUX0VRVUlWX05FVF9QQk8uOTkyLjQvMS8yMDI1Li4uVVNELkgBAAAA3rYBAAIAAAAEOTc3NAEIAAAABQAAAAExAQAAAAoxOTQ3MTc5NTgzAwAAAAMxNjACAAAABTIxNjc5BAAAAAEwBwAAAAg0LzEvMjAyNQgAAAAKMTIvMzEvMjAxNgkAAAABML/2+ny5c90IsuPr8cFz3Qg3Q0lRLk5ZU0U6SUJNLklRX0RFQlRfRVFVSVZfTkVUX1BCTy45OTMuNC8xLzIwMjUuLi5VU0QuSAEAAADetgEAAgAAAAQ4MDYzAQgAAAAFAAAAATEBAAAACjIwMTcxNjQyNDQDAAAAAzE2MAIAAAAFMjE2NzkEAAAAATAHAAAACDQvMS8yMDI1CAAAAAoxMi8zMS8yMDE3CQAAAAEwv/b6fLlz3Qiy4+vxwXPdCDdDSVEuTllTRTpJQk0uSVFfREVCVF9FUVVJVl9ORVRfUEJPLjk5NC40LzEvMjAyNS4uLlVTRC5IAQAAAN62AQACAAAABDg2MTEBCAAAAAUAAAABMQEAAAAKMjA4MTUwNTQwMQMAAAADMTYwAgAAAAUyMTY3OQQA</t>
  </si>
  <si>
    <t>AAABMAcAAAAINC8xLzIwMjUIAAAACjEyLzMxLzIwMTgJAAAAATC/9vp8uXPdCLLj6/HBc90IN0NJUS5OWVNFOklCTS5JUV9ERUJUX0VRVUlWX05FVF9QQk8uOTk1LjQvMS8yMDI1Li4uVVNELkgBAAAA3rYBAAIAAAAENjQ1MwEIAAAABQAAAAExAQAAAAstMjExMDc2OTM1NQMAAAADMTYwAgAAAAUyMTY3OQQAAAABMAcAAAAINC8xLzIwMjUIAAAACjEyLzMxLzIwMTkJAAAAATC/9vp8uXPdCLLj6/HBc90IN0NJUS5OWVNFOklCTS5JUV9ERUJUX0VRVUlWX05FVF9QQk8uOTk2LjQvMS8yMDI1Li4uVVNELkgBAAAA3rYBAAIAAAAENTk5MAEIAAAABQAAAAExAQAAAAstMjA1OTA3MzIwMgMAAAADMTYwAgAAAAUyMTY3OQQAAAABMAcAAAAINC8xLzIwMjUIAAAACjEyLzMxLzIwMjAJAAAAATC/9vp8uXPdCLLj6/HBc90INkNJUS5OWVNFOklCTS5JUV9GSU5fRElWX1NUX0lOVkVTVC45OTkuNC8xLzIwMjUuLi5VU0QuSAEAAADetgEAAwAAAAAAv/b6fLlz3Qiy4+vxwXPdCDdDSVEuTllTRTpJQk0uSVFfRklOX0RJVl9TVF9JTlZFU1QuMTAwMC40LzEvMjAyNS4uLlVTRC5IAQAAAN62AQADAAAAAAC/9vp8uXPdCLLj6/HBc90IN0NJUS5OWVNFOklCTS5JUV9GSU5fRElWX1NUX0lOVkVTVC4yMDAwLjQvMS8yMDI1Li4uVVNELkgBAAAA3rYBAAMAAAAAAL/2+ny5c90IsuPr8cFz3Qg3Q0lRLk5ZU0U6SUJNLklRX0RFQlRf</t>
  </si>
  <si>
    <t>RVFVSVZfTkVUX1BCTy45OTAuNC8xLzIwMjUuLi5VU0QuSAEAAADetgEAAgAAAAUxMTE2MgEIAAAABQAAAAExAQAAAAoxODI5OTExOTY4AwAAAAMxNjACAAAABTIxNjc5BAAAAAEwBwAAAAg0LzEvMjAyNQgAAAAKMTIvMzEvMjAxNAkAAAABML/2+ny5c90IsuPr8cFz3Qg3Q0lRLk5ZU0U6SUJNLklRX0RFQlRfRVFVSVZfTkVUX1BCTy45OTEuNC8xLzIwMjUuLi5VU0QuSAEAAADetgEAAgAAAAUxMDM3MwEIAAAABQAAAAExAQAAAAoxODc2NDMyODcyAwAAAAMxNjACAAAABTIxNjc5BAAAAAEwBwAAAAg0LzEvMjAyNQgAAAAKMTIvMzEvMjAxNQkAAAABML/2+ny5c90IsuPr8cFz3Qg2Q0lRLk5ZU0U6SUJNLklRX0ZJTl9ESVZfU1RfSU5WRVNULjk5NC40LzEvMjAyNS4uLlVTRC5IAQAAAN62AQADAAAAAAC/9vp8uXPdCLLj6/HBc90INkNJUS5OWVNFOklCTS5JUV9GSU5fRElWX1NUX0lOVkVTVC45OTUuNC8xLzIwMjUuLi5VU0QuSAEAAADetgEAAwAAAAAAv/b6fLlz3Qiy4+vxwXPdCDZDSVEuTllTRTpJQk0uSVFfRklOX0RJVl9TVF9JTlZFU1QuOTk2LjQvMS8yMDI1Li4uVVNELkgBAAAA3rYBAAMAAAAAAL/2+ny5c90IsuPr8cFz3Qg2Q0lRLk5ZU0U6SUJNLklRX0ZJTl9ESVZfU1RfSU5WRVNULjk5Ny40LzEvMjAyNS4uLlVTRC5IAQAAAN62AQADAAAAAAC/9vp8uXPdCLLj6/HBc90INkNJUS5OWVNFOklCTS5J</t>
  </si>
  <si>
    <t>UV9GSU5fRElWX1NUX0lOVkVTVC45OTguNC8xLzIwMjUuLi5VU0QuSAEAAADetgEAAwAAAAAAv/b6fLlz3Qiy4+vxwXPdCDhDSVEuTllTRTpJQk0uSVFfRklOX0RJVl9DQVNIX0VRVUlWLjIwMDAuNC8xLzIwMjUuLi5VU0QuSAEAAADetgEAAwAAAAAAv/b6fLlz3Qiy4+vxwXPdCDZDSVEuTllTRTpJQk0uSVFfRklOX0RJVl9TVF9JTlZFU1QuOTkwLjQvMS8yMDI1Li4uVVNELkgBAAAA3rYBAAMAAAAAAL/2+ny5c90IsuPr8cFz3Qg2Q0lRLk5ZU0U6SUJNLklRX0ZJTl9ESVZfU1RfSU5WRVNULjk5MS40LzEvMjAyNS4uLlVTRC5IAQAAAN62AQADAAAAAAC/9vp8uXPdCLLj6/HBc90INkNJUS5OWVNFOklCTS5JUV9GSU5fRElWX1NUX0lOVkVTVC45OTIuNC8xLzIwMjUuLi5VU0QuSAEAAADetgEAAwAAAAAAv/b6fLlz3Qiy4+vxwXPdCDZDSVEuTllTRTpJQk0uSVFfRklOX0RJVl9TVF9JTlZFU1QuOTkzLjQvMS8yMDI1Li4uVVNELkgBAAAA3rYBAAMAAAAAAL/2+ny5c90IsuPr8cFz3Qg3Q0lRLk5ZU0U6SUJNLklRX0ZJTl9ESVZfQ0FTSF9FUVVJVi45OTYuNC8xLzIwMjUuLi5VU0QuSAEAAADetgEAAwAAAAAAv/b6fLlz3Qiy4+vxwXPdCDdDSVEuTllTRTpJQk0uSVFfRklOX0RJVl9DQVNIX0VRVUlWLjk5Ny40LzEvMjAyNS4uLlVTRC5IAQAAAN62AQADAAAAAAC/9vp8uXPdCLLj6/HBc90IN0NJUS5OWVNFOklC</t>
  </si>
  <si>
    <t>TS5JUV9GSU5fRElWX0NBU0hfRVFVSVYuOTk4LjQvMS8yMDI1Li4uVVNELkgBAAAA3rYBAAMAAAAAAL/2+ny5c90IsuPr8cFz3Qg3Q0lRLk5ZU0U6SUJNLklRX0ZJTl9ESVZfQ0FTSF9FUVVJVi45OTkuNC8xLzIwMjUuLi5VU0QuSAEAAADetgEAAwAAAAAAv/b6fLlz3Qiy4+vxwXPdCDhDSVEuTllTRTpJQk0uSVFfRklOX0RJVl9DQVNIX0VRVUlWLjEwMDAuNC8xLzIwMjUuLi5VU0QuSAEAAADetgEAAwAAAAAAv/b6fLlz3Qiy4+vxwXPdCDdDSVEuTllTRTpJQk0uSVFfRklOX0RJVl9DQVNIX0VRVUlWLjk5MS40LzEvMjAyNS4uLlVTRC5IAQAAAN62AQADAAAAAAC/9vp8uXPdCLLj6/HBc90IN0NJUS5OWVNFOklCTS5JUV9GSU5fRElWX0NBU0hfRVFVSVYuOTkyLjQvMS8yMDI1Li4uVVNELkgBAAAA3rYBAAMAAAAAAL/2+ny5c90IsuPr8cFz3Qg3Q0lRLk5ZU0U6SUJNLklRX0ZJTl9ESVZfQ0FTSF9FUVVJVi45OTMuNC8xLzIwMjUuLi5VU0QuSAEAAADetgEAAwAAAAAAv/b6fLlz3Qiy4+vxwXPdCDdDSVEuTllTRTpJQk0uSVFfRklOX0RJVl9DQVNIX0VRVUlWLjk5NC40LzEvMjAyNS4uLlVTRC5IAQAAAN62AQADAAAAAAC/9vp8uXPdCLLj6/HBc90IN0NJUS5OWVNFOklCTS5JUV9GSU5fRElWX0NBU0hfRVFVSVYuOTk1LjQvMS8yMDI1Li4uVVNELkgBAAAA3rYBAAMAAAAAAL/2+ny5c90IsuPr8cFz3Qg3Q0lR</t>
  </si>
  <si>
    <t>Lk5ZU0U6SUJNLklRX0ZJTl9ESVZfREVCVF9UT1RBTC45OTguNC8xLzIwMjUuLi5VU0QuSAEAAADetgEAAgAAAAUxMjg3MgEIAAAABQAAAAExAQAAAAstMTk1ODI4MTA5NgMAAAADMTYwAgAAAAUyNDUxNgQAAAABMAcAAAAINC8xLzIwMjUIAAAACjEyLzMxLzIwMjIJAAAAATC/9vp8uXPdCLLj6/HBc90IN0NJUS5OWVNFOklCTS5JUV9GSU5fRElWX0RFQlRfVE9UQUwuOTk5LjQvMS8yMDI1Li4uVVNELkgBAAAA3rYBAAIAAAAFMTE4NzkBCAAAAAUAAAABMQEAAAALLTE5NTgyODEwOTUDAAAAAzE2MAIAAAAFMjQ1MTYEAAAAATAHAAAACDQvMS8yMDI1CAAAAAoxMi8zMS8yMDIzCQAAAAEwv/b6fLlz3Qiy4+vxwXPdCDhDSVEuTllTRTpJQk0uSVFfRklOX0RJVl9ERUJUX1RPVEFMLjEwMDAuNC8xLzIwMjUuLi5VU0QuSAEAAADetgEAAgAAAAUxMjExNgEIAAAABQAAAAExAQAAAAstMTk1ODI4MTA5NwMAAAADMTYwAgAAAAUyNDUxNgQAAAABMAcAAAAINC8xLzIwMjUIAAAACjEyLzMxLzIwMjQJAAAAATC/9vp8uXPdCLLj6/HBc90IOENJUS5OWVNFOklCTS5JUV9GSU5fRElWX0RFQlRfVE9UQUwuMjAwMC40LzEvMjAyNS4uLlVTRC5IAQAAAN62AQACAAAABTEyMTE2AQgAAAAFAAAAATEBAAAACy0xOTU4MjgwNjE1AwAAAAMxNjACAAAABTI0NTE2BAAAAAEwBwAAAAg0LzEvMjAyNQgAAAAKMTIvMzEvMjAyNAkAAAAB</t>
  </si>
  <si>
    <t>ML/2+ny5c90IsuPr8cFz3Qg3Q0lRLk5ZU0U6SUJNLklRX0ZJTl9ESVZfQ0FTSF9FUVVJVi45OTAuNC8xLzIwMjUuLi5VU0QuSAEAAADetgEAAwAAAAAAv/b6fLlz3Qiy4+vxwXPdCDdDSVEuTllTRTpJQk0uSVFfRklOX0RJVl9ERUJUX1RPVEFMLjk5My40LzEvMjAyNS4uLlVTRC5IAQAAAN62AQACAAAABTMxNDM0AQgAAAAFAAAAATEBAAAACjIwMTcxNjQyNDQDAAAAAzE2MAIAAAAFMjQ1MTYEAAAAATAHAAAACDQvMS8yMDI1CAAAAAoxMi8zMS8yMDE3CQAAAAEwv/b6fLlz3Qiy4+vxwXPdCDdDSVEuTllTRTpJQk0uSVFfRklOX0RJVl9ERUJUX1RPVEFMLjk5NC40LzEvMjAyNS4uLlVTRC5IAQAAAN62AQACAAAABTMxMjI3AQgAAAAFAAAAATEBAAAACjIwODE1MDU0MDEDAAAAAzE2MAIAAAAFMjQ1MTYEAAAAATAHAAAACDQvMS8yMDI1CAAAAAoxMi8zMS8yMDE4CQAAAAEwv/b6fLlz3Qiy4+vxwXPdCDdDSVEuTllTRTpJQk0uSVFfRklOX0RJVl9ERUJUX1RPVEFMLjk5NS40LzEvMjAyNS4uLlVTRC5IAQAAAN62AQACAAAABTI0NzI3AQgAAAAFAAAAATEBAAAACy0yMTEwNzY5MzU1AwAAAAMxNjACAAAABTI0NTE2BAAAAAEwBwAAAAg0LzEvMjAyNQgAAAAKMTIvMzEvMjAxOQkAAAABML/2+ny5c90IsuPr8cFz3Qg3Q0lRLk5ZU0U6SUJNLklRX0ZJTl9ESVZfREVCVF9UT1RBTC45OTYuNC8xLzIwMjUuLi5VU0Qu</t>
  </si>
  <si>
    <t>SAEAAADetgEAAgAAAAUyMTA5OAEIAAAABQAAAAExAQAAAAstMjA1OTA3MzIwMgMAAAADMTYwAgAAAAUyNDUxNgQAAAABMAcAAAAINC8xLzIwMjUIAAAACjEyLzMxLzIwMjAJAAAAATC/9vp8uXPdCLLj6/HBc90IN0NJUS5OWVNFOklCTS5JUV9GSU5fRElWX0RFQlRfVE9UQUwuOTk3LjQvMS8yMDI1Li4uVVNELkgBAAAA3rYBAAIAAAAFMTM5MjkBCAAAAAUAAAABMQEAAAALLTIwMDg2NDcxOTgDAAAAAzE2MAIAAAAFMjQ1MTYEAAAAATAHAAAACDQvMS8yMDI1CAAAAAoxMi8zMS8yMDIxCQAAAAEwv/b6fLlz3Qiy4+vxwXPdCDtDSVEuTllTRTpJQk0uSVFfRklOX0RJVl9TVF9ERUJUX1RPVEFMLjEwMDAuNC8xLzIwMjUuLi5VU0QuSAEAAADetgEAAwAAAAAAv/b6fLlz3Qiy4+vxwXPdCDtDSVEuTllTRTpJQk0uSVFfRklOX0RJVl9TVF9ERUJUX1RPVEFMLjIwMDAuNC8xLzIwMjUuLi5VU0QuSAEAAADetgEAAwAAAAAAv/b6fLlz3Qiy4+vxwXPdCDdDSVEuTllTRTpJQk0uSVFfRklOX0RJVl9ERUJUX1RPVEFMLjk5MC40LzEvMjAyNS4uLlVTRC5IAQAAAN62AQACAAAABTI5MTAzAQgAAAAFAAAAATEBAAAACjE4Mjk5MTE5NjgDAAAAAzE2MAIAAAAFMjQ1MTYEAAAAATAHAAAACDQvMS8yMDI1CAAAAAoxMi8zMS8yMDE0CQAAAAEwv/b6fLlz3Qiy4+vxwXPdCDdDSVEuTllTRTpJQk0uSVFfRklOX0RJVl9ERUJUX1RP</t>
  </si>
  <si>
    <t>VEFMLjk5MS40LzEvMjAyNS4uLlVTRC5IAQAAAN62AQACAAAABTI3MjA1AQgAAAAFAAAAATEBAAAACjE4NzY0MzI4NzIDAAAAAzE2MAIAAAAFMjQ1MTYEAAAAATAHAAAACDQvMS8yMDI1CAAAAAoxMi8zMS8yMDE1CQAAAAEwv/b6fLlz3Qiy4+vxwXPdCDdDSVEuTllTRTpJQk0uSVFfRklOX0RJVl9ERUJUX1RPVEFMLjk5Mi40LzEvMjAyNS4uLlVTRC5IAQAAAN62AQACAAAABTI3ODU5AQgAAAAFAAAAATEBAAAACjE5NDcxNzk1ODMDAAAAAzE2MAIAAAAFMjQ1MTYEAAAAATAHAAAACDQvMS8yMDI1CAAAAAoxMi8zMS8yMDE2CQAAAAEwv/b6fLlz3Qiy4+vxwXPdCDpDSVEuTllTRTpJQk0uSVFfRklOX0RJVl9TVF9ERUJUX1RPVEFMLjk5NS40LzEvMjAyNS4uLlVTRC5IAQAAAN62AQADAAAAAAC/9vp8uXPdCLLj6/HBc90IOkNJUS5OWVNFOklCTS5JUV9GSU5fRElWX1NUX0RFQlRfVE9UQUwuOTk2LjQvMS8yMDI1Li4uVVNELkgBAAAA3rYBAAMAAAAAAL/2+ny5c90IsuPr8cFz3Qg6Q0lRLk5ZU0U6SUJNLklRX0ZJTl9ESVZfU1RfREVCVF9UT1RBTC45OTcuNC8xLzIwMjUuLi5VU0QuSAEAAADetgEAAwAAAAAAv/b6fLlz3Qiy4+vxwXPdCDpDSVEuTllTRTpJQk0uSVFfRklOX0RJVl9TVF9ERUJUX1RPVEFMLjk5OC40LzEvMjAyNS4uLlVTRC5IAQAAAN62AQADAAAAAAC/9vp8uXPdCLLj6/HBc90IOkNJUS5OWVNF</t>
  </si>
  <si>
    <t>OklCTS5JUV9GSU5fRElWX1NUX0RFQlRfVE9UQUwuOTk5LjQvMS8yMDI1Li4uVVNELkgBAAAA3rYBAAMAAAAAAL/2+ny5c90IsuPr8cFz3Qg6Q0lRLk5ZU0U6SUJNLklRX0ZJTl9ESVZfU1RfREVCVF9UT1RBTC45OTAuNC8xLzIwMjUuLi5VU0QuSAEAAADetgEAAwAAAAAAv/b6fLlz3Qiy4+vxwXPdCDpDSVEuTllTRTpJQk0uSVFfRklOX0RJVl9TVF9ERUJUX1RPVEFMLjk5MS40LzEvMjAyNS4uLlVTRC5IAQAAAN62AQADAAAAAAC/9vp8uXPdCLLj6/HBc90IOkNJUS5OWVNFOklCTS5JUV9GSU5fRElWX1NUX0RFQlRfVE9UQUwuOTkyLjQvMS8yMDI1Li4uVVNELkgBAAAA3rYBAAMAAAAAAL/2+ny5c90IsuPr8cFz3Qg6Q0lRLk5ZU0U6SUJNLklRX0ZJTl9ESVZfU1RfREVCVF9UT1RBTC45OTMuNC8xLzIwMjUuLi5VU0QuSAEAAADetgEAAwAAAAAAv/b6fLlz3Qiy4+vxwXPdCDpDSVEuTllTRTpJQk0uSVFfRklOX0RJVl9TVF9ERUJUX1RPVEFMLjk5NC40LzEvMjAyNS4uLlVTRC5IAQAAAN62AQADAAAAAAC/9vp8uXPdCLLj6/HBc90IOkNJUS5OWVNFOklCTS5JUV9GSU5fRElWX0xUX0RFQlRfVE9UQUwuOTk3LjQvMS8yMDI1Li4uVVNELkgBAAAA3rYBAAIAAAAFMTM5MjkBCAAAAAUAAAABMQEAAAALLTIwMDg2NDcxOTgDAAAAAzE2MAIAAAAFMjQ1MTUEAAAAATAHAAAACDQvMS8yMDI1CAAAAAoxMi8zMS8yMDIx</t>
  </si>
  <si>
    <t>CQAAAAEwv/b6fLlz3Qiy4+vxwXPdCDpDSVEuTllTRTpJQk0uSVFfRklOX0RJVl9MVF9ERUJUX1RPVEFMLjk5OC40LzEvMjAyNS4uLlVTRC5IAQAAAN62AQACAAAABTEyODcyAQgAAAAFAAAAATEBAAAACy0xOTU4MjgxMDk2AwAAAAMxNjACAAAABTI0NTE1BAAAAAEwBwAAAAg0LzEvMjAyNQgAAAAKMTIvMzEvMjAyMgkAAAABML/2+ny5c90IsuPr8cFz3Qg6Q0lRLk5ZU0U6SUJNLklRX0ZJTl9ESVZfTFRfREVCVF9UT1RBTC45OTkuNC8xLzIwMjUuLi5VU0QuSAEAAADetgEAAgAAAAUxMTg3OQEIAAAABQAAAAExAQAAAAstMTk1ODI4MTA5NQMAAAADMTYwAgAAAAUyNDUxNQQAAAABMAcAAAAINC8xLzIwMjUIAAAACjEyLzMxLzIwMjMJAAAAATC/9vp8uXPdCLLj6/HBc90IO0NJUS5OWVNFOklCTS5JUV9GSU5fRElWX0xUX0RFQlRfVE9UQUwuMTAwMC40LzEvMjAyNS4uLlVTRC5IAQAAAN62AQACAAAABTEyMTE2AQgAAAAFAAAAATEBAAAACy0xOTU4MjgxMDk3AwAAAAMxNjACAAAABTI0NTE1BAAAAAEwBwAAAAg0LzEvMjAyNQgAAAAKMTIvMzEvMjAyNAkAAAABML/2+ny5c90IsuPr8cFz3Qg7Q0lRLk5ZU0U6SUJNLklRX0ZJTl9ESVZfTFRfREVCVF9UT1RBTC4yMDAwLjQvMS8yMDI1Li4uVVNELkgBAAAA3rYBAAIAAAAFMTIxMTYBCAAAAAUAAAABMQEAAAALLTE5NTgyODA2MTUDAAAAAzE2MAIAAAAFMjQ1MTUE</t>
  </si>
  <si>
    <t>AAAAATAHAAAACDQvMS8yMDI1CAAAAAoxMi8zMS8yMDI0CQAAAAEwv/b6fLlz3Qiy4+vxwXPdCDpDSVEuTllTRTpJQk0uSVFfRklOX0RJVl9MVF9ERUJUX1RPVEFMLjk5Mi40LzEvMjAyNS4uLlVTRC5IAQAAAN62AQACAAAABTI3ODU5AQgAAAAFAAAAATEBAAAACjE5NDcxNzk1ODMDAAAAAzE2MAIAAAAFMjQ1MTUEAAAAATAHAAAACDQvMS8yMDI1CAAAAAoxMi8zMS8yMDE2CQAAAAEwv/b6fLlz3Qiy4+vxwXPdCDpDSVEuTllTRTpJQk0uSVFfRklOX0RJVl9MVF9ERUJUX1RPVEFMLjk5My40LzEvMjAyNS4uLlVTRC5IAQAAAN62AQACAAAABTMxNDM0AQgAAAAFAAAAATEBAAAACjIwMTcxNjQyNDQDAAAAAzE2MAIAAAAFMjQ1MTUEAAAAATAHAAAACDQvMS8yMDI1CAAAAAoxMi8zMS8yMDE3CQAAAAEwv/b6fLlz3Qiy4+vxwXPdCDpDSVEuTllTRTpJQk0uSVFfRklOX0RJVl9MVF9ERUJUX1RPVEFMLjk5NC40LzEvMjAyNS4uLlVTRC5IAQAAAN62AQACAAAABTMxMjI3AQgAAAAFAAAAATEBAAAACjIwODE1MDU0MDEDAAAAAzE2MAIAAAAFMjQ1MTUEAAAAATAHAAAACDQvMS8yMDI1CAAAAAoxMi8zMS8yMDE4CQAAAAEwv/b6fLlz3Qiy4+vxwXPdCDpDSVEuTllTRTpJQk0uSVFfRklOX0RJVl9MVF9ERUJUX1RPVEFMLjk5NS40LzEvMjAyNS4uLlVTRC5IAQAAAN62AQACAAAABTI0NzI3AQgAAAAFAAAAATEBAAAACy0y</t>
  </si>
  <si>
    <t>MTEwNzY5MzU1AwAAAAMxNjACAAAABTI0NTE1BAAAAAEwBwAAAAg0LzEvMjAyNQgAAAAKMTIvMzEvMjAxOQkAAAABML/2+ny5c90IsuPr8cFz3Qg6Q0lRLk5ZU0U6SUJNLklRX0ZJTl9ESVZfTFRfREVCVF9UT1RBTC45OTYuNC8xLzIwMjUuLi5VU0QuSAEAAADetgEAAgAAAAUyMTA5OAEIAAAABQAAAAExAQAAAAstMjA1OTA3MzIwMgMAAAADMTYwAgAAAAUyNDUxNQQAAAABMAcAAAAINC8xLzIwMjUIAAAACjEyLzMxLzIwMjAJAAAAATC/9vp8uXPdCLLj6/HBc90ILkNJUS5OWVNFOklCTS5JUV9OVU1CRVJfQURSSE9MREVSUy45OTkuNC8xLzIwMjUBAAAA3rYBAAMAAAAAAL/2+ny5c90IsuPr8cFz3QgvQ0lRLk5ZU0U6SUJNLklRX05VTUJFUl9BRFJIT0xERVJTLjEwMDAuNC8xLzIwMjUBAAAA3rYBAAMAAAAAAL/2+ny5c90IsuPr8cFz3QgvQ0lRLk5ZU0U6SUJNLklRX05VTUJFUl9BRFJIT0xERVJTLjIwMDAuNC8xLzIwMjUBAAAA3rYBAAMAAAAAAL/2+ny5c90IsuPr8cFz3Qg6Q0lRLk5ZU0U6SUJNLklRX0ZJTl9ESVZfTFRfREVCVF9UT1RBTC45OTAuNC8xLzIwMjUuLi5VU0QuSAEAAADetgEAAgAAAAUyOTEwMwEIAAAABQAAAAExAQAAAAoxODI5OTExOTY4AwAAAAMxNjACAAAABTI0NTE1BAAAAAEwBwAAAAg0LzEvMjAyNQgAAAAKMTIvMzEvMjAxNAkAAAABML/2+ny5c90IsuPr8cFz3Qg6Q0lRLk5ZU0U6</t>
  </si>
  <si>
    <t>SUJNLklRX0ZJTl9ESVZfTFRfREVCVF9UT1RBTC45OTEuNC8xLzIwMjUuLi5VU0QuSAEAAADetgEAAgAAAAUyNzIwNQEIAAAABQAAAAExAQAAAAoxODc2NDMyODcyAwAAAAMxNjACAAAABTI0NTE1BAAAAAEwBwAAAAg0LzEvMjAyNQgAAAAKMTIvMzEvMjAxNQkAAAABML/2+ny5c90IsuPr8cFz3QguQ0lRLk5ZU0U6SUJNLklRX05VTUJFUl9BRFJIT0xERVJTLjk5NC40LzEvMjAyNQEAAADetgEAAwAAAAAAv/b6fLlz3Qiy4+vxwXPdCC5DSVEuTllTRTpJQk0uSVFfTlVNQkVSX0FEUkhPTERFUlMuOTk1LjQvMS8yMDI1AQAAAN62AQADAAAAAAC/9vp8uXPdCLLj6/HBc90ILkNJUS5OWVNFOklCTS5JUV9OVU1CRVJfQURSSE9MREVSUy45OTYuNC8xLzIwMjUBAAAA3rYBAAMAAAAAAL/2+ny5c90IsuPr8cFz3QguQ0lRLk5ZU0U6SUJNLklRX05VTUJFUl9BRFJIT0xERVJTLjk5Ny40LzEvMjAyNQEAAADetgEAAwAAAAAAv/b6fLlz3Qiy4+vxwXPdCC5DSVEuTllTRTpJQk0uSVFfTlVNQkVSX0FEUkhPTERFUlMuOTk4LjQvMS8yMDI1AQAAAN62AQADAAAAAAC/9vp8uXPdCLLj6/HBc90IMENJUS5OWVNFOklCTS5JUV9BVkdfVEVNUF9FTVBMT1lFRVMuMjAwMC40LzEvMjAyNQEAAADetgEAAgAAAAUxNDIwMAEIAAAABQAAAAExAQAAAAstMTk1ODI4MDYxNQMAAAADMTYwAgAAAAUyNDY3NQQAAAABMAcAAAAINC8xLzIw</t>
  </si>
  <si>
    <t>MjUIAAAACjEyLzMxLzIwMjQJAAAAATC/9vp8uXPdCLLj6/HBc90ILkNJUS5OWVNFOklCTS5JUV9OVU1CRVJfQURSSE9MREVSUy45OTAuNC8xLzIwMjUBAAAA3rYBAAMAAAAAAL/2+ny5c90IsuPr8cFz3QguQ0lRLk5ZU0U6SUJNLklRX05VTUJFUl9BRFJIT0xERVJTLjk5MS40LzEvMjAyNQEAAADetgEAAwAAAAAAv/b6fLlz3Qiy4+vxwXPdCC5DSVEuTllTRTpJQk0uSVFfTlVNQkVSX0FEUkhPTERFUlMuOTkyLjQvMS8yMDI1AQAAAN62AQADAAAAAAC/9vp8uXPdCLLj6/HBc90ILkNJUS5OWVNFOklCTS5JUV9OVU1CRVJfQURSSE9MREVSUy45OTMuNC8xLzIwMjUBAAAA3rYBAAMAAAAAAL/2+ny5c90IsuPr8cFz3QgvQ0lRLk5ZU0U6SUJNLklRX0FWR19URU1QX0VNUExPWUVFUy45OTYuNC8xLzIwMjUBAAAA3rYBAAIAAAAFMTg5MDABCAAAAAUAAAABMQEAAAALLTIwNTkwNzMyMDIDAAAAAzE2MAIAAAAFMjQ2NzUEAAAAATAHAAAACDQvMS8yMDI1CAAAAAoxMi8zMS8yMDIwCQAAAAEwv/b6fLlz3Qiy4+vxwXPdCC9DSVEuTllTRTpJQk0uSVFfQVZHX1RFTVBfRU1QTE9ZRUVTLjk5Ny40LzEvMjAyNQEAAADetgEAAgAAAAUxNTcwMAEIAAAABQAAAAExAQAAAAstMjAwODY0NzE5OAMAAAADMTYwAgAAAAUyNDY3NQQAAAABMAcAAAAINC8xLzIwMjUIAAAACjEyLzMxLzIwMjEJAAAAATC/9vp8uXPdCLLj6/HBc90I</t>
  </si>
  <si>
    <t>L0NJUS5OWVNFOklCTS5JUV9BVkdfVEVNUF9FTVBMT1lFRVMuOTk4LjQvMS8yMDI1AQAAAN62AQACAAAABTE0ODAwAQgAAAAFAAAAATEBAAAACy0xOTU4MjgxMDk2AwAAAAMxNjACAAAABTI0Njc1BAAAAAEwBwAAAAg0LzEvMjAyNQgAAAAKMTIvMzEvMjAyMgkAAAABML/2+ny5c90IsuPr8cFz3QgvQ0lRLk5ZU0U6SUJNLklRX0FWR19URU1QX0VNUExPWUVFUy45OTkuNC8xLzIwMjUBAAAA3rYBAAIAAAAFMTQ0MDABCAAAAAUAAAABMQEAAAALLTE5NTgyODEwOTUDAAAAAzE2MAIAAAAFMjQ2NzUEAAAAATAHAAAACDQvMS8yMDI1CAAAAAoxMi8zMS8yMDIzCQAAAAEwv/b6fLlz3Qiy4+vxwXPdCDBDSVEuTllTRTpJQk0uSVFfQVZHX1RFTVBfRU1QTE9ZRUVTLjEwMDAuNC8xLzIwMjUBAAAA3rYBAAIAAAAFMTQyMDABCAAAAAUAAAABMQEAAAALLTE5NTgyODEwOTcDAAAAAzE2MAIAAAAFMjQ2NzUEAAAAATAHAAAACDQvMS8yMDI1CAAAAAoxMi8zMS8yMDI0CQAAAAEwv/b6fLlz3Qiy4+vxwXPdCC9DSVEuTllTRTpJQk0uSVFfQVZHX1RFTVBfRU1QTE9ZRUVTLjk5MS40LzEvMjAyNQEAAADetgEAAgAAAAUyNDQ2NAEIAAAABQAAAAExAQAAAAoxODc2NDMyODcyAwAAAAMxNjACAAAABTI0Njc1BAAAAAEwBwAAAAg0LzEvMjAyNQgAAAAKMTIvMzEvMjAxNQkAAAABML/2+ny5c90IsuPr8cFz3QgvQ0lRLk5ZU0U6SUJN</t>
  </si>
  <si>
    <t>LklRX0FWR19URU1QX0VNUExPWUVFUy45OTIuNC8xLzIwMjUBAAAA3rYBAAIAAAAFMjQ1MDABCAAAAAUAAAABMQEAAAAKMTk0NzE3OTU4MwMAAAADMTYwAgAAAAUyNDY3NQQAAAABMAcAAAAINC8xLzIwMjUIAAAACjEyLzMxLzIwMTYJAAAAATC/9vp8uXPdCLLj6/HBc90IL0NJUS5OWVNFOklCTS5JUV9BVkdfVEVNUF9FTVBMT1lFRVMuOTkzLjQvMS8yMDI1AQAAAN62AQACAAAABTIxOTAwAQgAAAAFAAAAATEBAAAACjIwMTcxNjQyNDQDAAAAAzE2MAIAAAAFMjQ2NzUEAAAAATAHAAAACDQvMS8yMDI1CAAAAAoxMi8zMS8yMDE3CQAAAAEwv/b6fLlz3Qiy4+vxwXPdCC9DSVEuTllTRTpJQk0uSVFfQVZHX1RFTVBfRU1QTE9ZRUVTLjk5NC40LzEvMjAyNQEAAADetgEAAgAAAAUyMTEwMAEIAAAABQAAAAExAQAAAAoyMDgxNTA1NDAxAwAAAAMxNjACAAAABTI0Njc1BAAAAAEwBwAAAAg0LzEvMjAyNQgAAAAKMTIvMzEvMjAxOAkAAAABML/2+ny5c90IsuPr8cFz3QgvQ0lRLk5ZU0U6SUJNLklRX0FWR19URU1QX0VNUExPWUVFUy45OTUuNC8xLzIwMjUBAAAA3rYBAAIAAAAFMjE2MDABCAAAAAUAAAABMQEAAAALLTIxMTA3NjkzNTUDAAAAAzE2MAIAAAAFMjQ2NzUEAAAAATAHAAAACDQvMS8yMDI1CAAAAAoxMi8zMS8yMDE5CQAAAAEwv/b6fLlz3Qiy4+vxwXPdCCpDSVEuTllTRTpJQk0uSVFfQVZHX0VNUExPWUVF</t>
  </si>
  <si>
    <t>Uy45OTguNC8xLzIwMjUBAAAA3rYBAAMAAAAAAL/2+ny5c90IsuPr8cFz3QgqQ0lRLk5ZU0U6SUJNLklRX0FWR19FTVBMT1lFRVMuOTk5LjQvMS8yMDI1AQAAAN62AQADAAAAAAC/9vp8uXPdCLLj6/HBc90IK0NJUS5OWVNFOklCTS5JUV9BVkdfRU1QTE9ZRUVTLjEwMDAuNC8xLzIwMjUBAAAA3rYBAAMAAAAAAL/2+ny5c90IsuPr8cFz3QgrQ0lRLk5ZU0U6SUJNLklRX0FWR19FTVBMT1lFRVMuMjAwMC40LzEvMjAyNQEAAADetgEAAwAAAAAAv/b6fLlz3Qiy4+vxwXPdCC9DSVEuTllTRTpJQk0uSVFfQVZHX1RFTVBfRU1QTE9ZRUVTLjk5MC40LzEvMjAyNQEAAADetgEAAgAAAAUyNDMyMQEIAAAABQAAAAExAQAAAAoxODI5OTExOTY4AwAAAAMxNjACAAAABTI0Njc1BAAAAAEwBwAAAAg0LzEvMjAyNQgAAAAKMTIvMzEvMjAxNAkAAAABML/2+ny5c90IsuPr8cFz3QgqQ0lRLk5ZU0U6SUJNLklRX0FWR19FTVBMT1lFRVMuOTkzLjQvMS8yMDI1AQAAAN62AQADAAAAAAC/9vp8uXPdCLLj6/HBc90IKkNJUS5OWVNFOklCTS5JUV9BVkdfRU1QTE9ZRUVTLjk5NC40LzEvMjAyNQEAAADetgEAAwAAAAAAv/b6fLlz3Qiy4+vxwXPdCCpDSVEuTllTRTpJQk0uSVFfQVZHX0VNUExPWUVFUy45OTUuNC8xLzIwMjUBAAAA3rYBAAMAAAAAAL/2+ny5c90Iz0vu8cFz3QgqQ0lRLk5ZU0U6SUJNLklRX0FWR19FTVBMT1lFRVMu</t>
  </si>
  <si>
    <t>OTk2LjQvMS8yMDI1AQAAAN62AQADAAAAAAC/9vp8uXPdCM9L7vHBc90IKkNJUS5OWVNFOklCTS5JUV9BVkdfRU1QTE9ZRUVTLjk5Ny40LzEvMjAyNQEAAADetgEAAwAAAAAAv/b6fLlz3QjPS+7xwXPdCD1DSVEuTllTRTpJQk0uSVFfRU1QTE9ZRUVTX1VOREVSX1VOSU9OX0NPTlRSQUNUUy4xMDAwLjQvMS8yMDI1AQAAAN62AQADAAAAAAC/9vp8uXPdCM9L7vHBc90IPUNJUS5OWVNFOklCTS5JUV9FTVBMT1lFRVNfVU5ERVJfVU5JT05fQ09OVFJBQ1RTLjIwMDAuNC8xLzIwMjUBAAAA3rYBAAMAAAAAAL/2+ny5c90Iz0vu8cFz3QgqQ0lRLk5ZU0U6SUJNLklRX0FWR19FTVBMT1lFRVMuOTkwLjQvMS8yMDI1AQAAAN62AQADAAAAAAC/9vp8uXPdCM9L7vHBc90IKkNJUS5OWVNFOklCTS5JUV9BVkdfRU1QTE9ZRUVTLjk5MS40LzEvMjAyNQEAAADetgEAAwAAAAAAv/b6fLlz3QjPS+7xwXPdCCpDSVEuTllTRTpJQk0uSVFfQVZHX0VNUExPWUVFUy45OTIuNC8xLzIwMjUBAAAA3rYBAAMAAAAAAL/2+ny5c90Iz0vu8cFz3Qg8Q0lRLk5ZU0U6SUJNLklRX0VNUExPWUVFU19VTkRFUl9VTklPTl9DT05UUkFDVFMuOTk1LjQvMS8yMDI1AQAAAN62AQADAAAAAAC/9vp8uXPdCM9L7vHBc90IPENJUS5OWVNFOklCTS5JUV9FTVBMT1lFRVNfVU5ERVJfVU5JT05fQ09OVFJBQ1RTLjk5Ni40LzEvMjAyNQEAAADetgEAAwAA</t>
  </si>
  <si>
    <t>AAAAv/b6fLlz3QjPS+7xwXPdCDxDSVEuTllTRTpJQk0uSVFfRU1QTE9ZRUVTX1VOREVSX1VOSU9OX0NPTlRSQUNUUy45OTcuNC8xLzIwMjUBAAAA3rYBAAMAAAAAAL/2+ny5c90Iz0vu8cFz3Qg8Q0lRLk5ZU0U6SUJNLklRX0VNUExPWUVFU19VTkRFUl9VTklPTl9DT05UUkFDVFMuOTk4LjQvMS8yMDI1AQAAAN62AQADAAAAAAC/9vp8uXPdCM9L7vHBc90IPENJUS5OWVNFOklCTS5JUV9FTVBMT1lFRVNfVU5ERVJfVU5JT05fQ09OVFJBQ1RTLjk5OS40LzEvMjAyNQEAAADetgEAAwAAAAAAv/b6fLlz3QjPS+7xwXPdCDxDSVEuTllTRTpJQk0uSVFfRU1QTE9ZRUVTX1VOREVSX1VOSU9OX0NPTlRSQUNUUy45OTAuNC8xLzIwMjUBAAAA3rYBAAMAAAAAAL/2+ny5c90Iz0vu8cFz3Qg8Q0lRLk5ZU0U6SUJNLklRX0VNUExPWUVFU19VTkRFUl9VTklPTl9DT05UUkFDVFMuOTkxLjQvMS8yMDI1AQAAAN62AQADAAAAAAC/9vp8uXPdCM9L7vHBc90IPENJUS5OWVNFOklCTS5JUV9FTVBMT1lFRVNfVU5ERVJfVU5JT05fQ09OVFJBQ1RTLjk5Mi40LzEvMjAyNQEAAADetgEAAwAAAAAAv/b6fLlz3QjPS+7xwXPdCDxDSVEuTllTRTpJQk0uSVFfRU1QTE9ZRUVTX1VOREVSX1VOSU9OX0NPTlRSQUNUUy45OTMuNC8xLzIwMjUBAAAA3rYBAAMAAAAAAL/2+ny5c90Iz0vu8cFz3Qg8Q0lRLk5ZU0U6SUJNLklRX0VNUExPWUVF</t>
  </si>
  <si>
    <t>U19VTkRFUl9VTklPTl9DT05UUkFDVFMuOTk0LjQvMS8yMDI1AQAAAN62AQADAAAAAAC/9vp8uXPdCM9L7vHBc90ILENJUS5OWVNFOklCTS5JUV9UT1RBTF9FTVBMT1lFRVMuOTk3LjQvMS8yMDI1AQAAAN62AQACAAAABjI4MjEwMAC/9vp8uXPdCM9L7vHBc90ILENJUS5OWVNFOklCTS5JUV9UT1RBTF9FTVBMT1lFRVMuOTk4LjQvMS8yMDI1AQAAAN62AQACAAAABjI4ODMwMAC/9vp8uXPdCM9L7vHBc90ILENJUS5OWVNFOklCTS5JUV9UT1RBTF9FTVBMT1lFRVMuOTk5LjQvMS8yMDI1AQAAAN62AQACAAAABjI4MjIwMAC/9vp8uXPdCM9L7vHBc90ILUNJUS5OWVNFOklCTS5JUV9UT1RBTF9FTVBMT1lFRVMuMTAwMC40LzEvMjAyNQEAAADetgEAAgAAAAYyNzAzMDAAv/b6fLlz3QjPS+7xwXPdCC1DSVEuTllTRTpJQk0uSVFfVE9UQUxfRU1QTE9ZRUVTLjIwMDAuNC8xLzIwMjUBAAAA3rYBAAIAAAAGMjcwMzAwAL/2+ny5c90Iz0vu8cFz3QgsQ0lRLk5ZU0U6SUJNLklRX1RPVEFMX0VNUExPWUVFUy45OTIuNC8xLzIwMjUBAAAA3rYBAAIAAAAGMzgwMzAwAL/2+ny5c90Iz0vu8cFz3QgsQ0lRLk5ZU0U6SUJNLklRX1RPVEFMX0VNUExPWUVFUy45OTMuNC8xLzIwMjUBAAAA3rYBAAIAAAAGMzY2NjAwAL/2+ny5c90Iz0vu8cFz3QgsQ0lRLk5ZU0U6SUJNLklRX1RPVEFMX0VNUExPWUVFUy45OTQuNC8xLzIwMjUB</t>
  </si>
  <si>
    <t>AAAA3rYBAAIAAAAGMzUwNjAwAL/2+ny5c90Iz0vu8cFz3QgsQ0lRLk5ZU0U6SUJNLklRX1RPVEFMX0VNUExPWUVFUy45OTUuNC8xLzIwMjUBAAAA3rYBAAIAAAAGMzUyNjAwAL/2+ny5c90IM5ru8cFz3QgsQ0lRLk5ZU0U6SUJNLklRX1RPVEFMX0VNUExPWUVFUy45OTYuNC8xLzIwMjUBAAAA3rYBAAIAAAAGMzQ1OTAwAL/2+ny5c90IM5ru8cFz3QgmQ0lRLk5ZU0U6SUJNLklRX1BBUlRfVElNRS45OTkuNC8xLzIwMjUBAAAA3rYBAAMAAAAAAL/2+ny5c90IM5ru8cFz3QgnQ0lRLk5ZU0U6SUJNLklRX1BBUlRfVElNRS4xMDAwLjQvMS8yMDI1AQAAAN62AQADAAAAAAC/9vp8uXPdCDOa7vHBc90IJ0NJUS5OWVNFOklCTS5JUV9QQVJUX1RJTUUuMjAwMC40LzEvMjAyNQEAAADetgEAAwAAAAAAv/b6fLlz3Qgzmu7xwXPdCCxDSVEuTllTRTpJQk0uSVFfVE9UQUxfRU1QTE9ZRUVTLjk5MC40LzEvMjAyNQEAAADetgEAAgAAAAYzNzk1OTIAv/b6fLlz3Qgzmu7xwXPdCCxDSVEuTllTRTpJQk0uSVFfVE9UQUxfRU1QTE9ZRUVTLjk5MS40LzEvMjAyNQEAAADetgEAAgAAAAYzNzc3NTcAv/b6fLlz3Qgzmu7xwXPdCCZDSVEuTllTRTpJQk0uSVFfUEFSVF9USU1FLjk5NC40LzEvMjAyNQEAAADetgEAAwAAAAAAv/b6fLlz3Qgzmu7xwXPdCCZDSVEuTllTRTpJQk0uSVFfUEFSVF9USU1FLjk5NS40LzEvMjAyNQEAAADe</t>
  </si>
  <si>
    <t>tgEAAwAAAAAAv/b6fLlz3Qgzmu7xwXPdCCZDSVEuTllTRTpJQk0uSVFfUEFSVF9USU1FLjk5Ni40LzEvMjAyNQEAAADetgEAAwAAAAAAv/b6fLlz3Qgzmu7xwXPdCCZDSVEuTllTRTpJQk0uSVFfUEFSVF9USU1FLjk5Ny40LzEvMjAyNQEAAADetgEAAwAAAAAAv/b6fLlz3Qgzmu7xwXPdCCZDSVEuTllTRTpJQk0uSVFfUEFSVF9USU1FLjk5OC40LzEvMjAyNQEAAADetgEAAwAAAAAAv/b6fLlz3Qgzmu7xwXPdCCdDSVEuTllTRTpJQk0uSVFfRlVMTF9USU1FLjIwMDAuNC8xLzIwMjUBAAAA3rYBAAIAAAAGMjcwMzAwAL/2+ny5c90IM5ru8cFz3QgmQ0lRLk5ZU0U6SUJNLklRX1BBUlRfVElNRS45OTAuNC8xLzIwMjUBAAAA3rYBAAMAAAAAAL/2+ny5c90IM5ru8cFz3QgmQ0lRLk5ZU0U6SUJNLklRX1BBUlRfVElNRS45OTEuNC8xLzIwMjUBAAAA3rYBAAMAAAAAAL/2+ny5c90IM5ru8cFz3QgmQ0lRLk5ZU0U6SUJNLklRX1BBUlRfVElNRS45OTIuNC8xLzIwMjUBAAAA3rYBAAMAAAAAAL/2+ny5c90IM5ru8cFz3QgmQ0lRLk5ZU0U6SUJNLklRX1BBUlRfVElNRS45OTMuNC8xLzIwMjUBAAAA3rYBAAMAAAAAAL/2+ny5c90IM5ru8cFz3QgmQ0lRLk5ZU0U6SUJNLklRX0ZVTExfVElNRS45OTYuNC8xLzIwMjUBAAAA3rYBAAIAAAAGMzQ1OTAwAL/2+ny5c90IM5ru8cFz3QgmQ0lRLk5ZU0U6SUJNLklRX0ZVTExf</t>
  </si>
  <si>
    <t>VElNRS45OTcuNC8xLzIwMjUBAAAA3rYBAAIAAAAGMjgyMTAwAL/2+ny5c90IM5ru8cFz3QgmQ0lRLk5ZU0U6SUJNLklRX0ZVTExfVElNRS45OTguNC8xLzIwMjUBAAAA3rYBAAIAAAAGMjg4MzAwAL/2+ny5c90IM5ru8cFz3QgmQ0lRLk5ZU0U6SUJNLklRX0ZVTExfVElNRS45OTkuNC8xLzIwMjUBAAAA3rYBAAIAAAAGMjgyMjAwAL/2+ny5c90IM5ru8cFz3QgnQ0lRLk5ZU0U6SUJNLklRX0ZVTExfVElNRS4xMDAwLjQvMS8yMDI1AQAAAN62AQACAAAABjI3MDMwMAC/9vp8uXPdCDOa7vHBc90IJkNJUS5OWVNFOklCTS5JUV9GVUxMX1RJTUUuOTkxLjQvMS8yMDI1AQAAAN62AQACAAAABjM3Nzc1NwC/9vp8uXPdCDOa7vHBc90IJkNJUS5OWVNFOklCTS5JUV9GVUxMX1RJTUUuOTkyLjQvMS8yMDI1AQAAAN62AQACAAAABjM4MDMwMAC/9vp8uXPdCDOa7vHBc90IJkNJUS5OWVNFOklCTS5JUV9GVUxMX1RJTUUuOTkzLjQvMS8yMDI1AQAAAN62AQACAAAABjM2NjYwMAC/9vp8uXPdCDOa7vHBc90IJkNJUS5OWVNFOklCTS5JUV9GVUxMX1RJTUUuOTk0LjQvMS8yMDI1AQAAAN62AQACAAAABjM1MDYwMAC/9vp8uXPdCDOa7vHBc90IJkNJUS5OWVNFOklCTS5JUV9GVUxMX1RJTUUuOTk1LjQvMS8yMDI1AQAAAN62AQACAAAABjM1MjYwMAC/9vp8uXPdCDOa7vHBc90IRENJUS5OWVNFOklCTS5JUV9GQUlSX1ZBTFVF</t>
  </si>
  <si>
    <t>X0NIQU5HRV9JTkNMX0VBUk5JTkdTLjk5OC40LzEvMjAyNS4uLlVTRC5IAQAAAN62AQADAAAAAAC/9vp8uXPdCDOa7vHBc90IRENJUS5OWVNFOklCTS5JUV9GQUlSX1ZBTFVFX0NIQU5HRV9JTkNMX0VBUk5JTkdTLjk5OS40LzEvMjAyNS4uLlVTRC5IAQAAAN62AQADAAAAAAC/9vp8uXPdCDOa7vHBc90IRUNJUS5OWVNFOklCTS5JUV9GQUlSX1ZBTFVFX0NIQU5HRV9JTkNMX0VBUk5JTkdTLjEwMDAuNC8xLzIwMjUuLi5VU0QuSAEAAADetgEAAwAAAAAAv/b6fLlz3Qgzmu7xwXPdCEVDSVEuTllTRTpJQk0uSVFfRkFJUl9WQUxVRV9DSEFOR0VfSU5DTF9FQVJOSU5HUy4yMDAwLjQvMS8yMDI1Li4uVVNELkgBAAAA3rYBAAMAAAAAAL/2+ny5c90IM5ru8cFz3QgmQ0lRLk5ZU0U6SUJNLklRX0ZVTExfVElNRS45OTAuNC8xLzIwMjUBAAAA3rYBAAIAAAAGMzc5NTkyAL/2+ny5c90IM5ru8cFz3QhEQ0lRLk5ZU0U6SUJNLklRX0ZBSVJfVkFMVUVfQ0hBTkdFX0lOQ0xfRUFSTklOR1MuOTkzLjQvMS8yMDI1Li4uVVNELkgBAAAA3rYBAAMAAAAAAL/2+ny5c90IM5ru8cFz3QhEQ0lRLk5ZU0U6SUJNLklRX0ZBSVJfVkFMVUVfQ0hBTkdFX0lOQ0xfRUFSTklOR1MuOTk0LjQvMS8yMDI1Li4uVVNELkgBAAAA3rYBAAMAAAAAAL/2+ny5c90IM5ru8cFz3QhEQ0lRLk5ZU0U6SUJNLklRX0ZBSVJfVkFMVUVfQ0hBTkdFX0lO</t>
  </si>
  <si>
    <t>Q0xfRUFSTklOR1MuOTk1LjQvMS8yMDI1Li4uVVNELkgBAAAA3rYBAAMAAAAAAL/2+ny5c90IM5ru8cFz3QhEQ0lRLk5ZU0U6SUJNLklRX0ZBSVJfVkFMVUVfQ0hBTkdFX0lOQ0xfRUFSTklOR1MuOTk2LjQvMS8yMDI1Li4uVVNELkgBAAAA3rYBAAMAAAAAAL/2+ny5c90IM5ru8cFz3QhEQ0lRLk5ZU0U6SUJNLklRX0ZBSVJfVkFMVUVfQ0hBTkdFX0lOQ0xfRUFSTklOR1MuOTk3LjQvMS8yMDI1Li4uVVNELkgBAAAA3rYBAAMAAAAAAL/2+ny5c90IM5ru8cFz3Qg8Q0lRLk5ZU0U6SUJNLklRX0xJQUJJTElUSUVTX0ZBSVJfVkFMVUUuMTAwMC40LzEvMjAyNS4uLlVTRC5IAQAAAN62AQACAAAABTQ4MTE1AL/2+ny5c90IM5ru8cFz3Qg8Q0lRLk5ZU0U6SUJNLklRX0xJQUJJTElUSUVTX0ZBSVJfVkFMVUUuMjAwMC40LzEvMjAyNS4uLlVTRC5IAQAAAN62AQACAAAABTQ4MTE1AL/2+ny5c90IM5ru8cFz3QhEQ0lRLk5ZU0U6SUJNLklRX0ZBSVJfVkFMVUVfQ0hBTkdFX0lOQ0xfRUFSTklOR1MuOTkwLjQvMS8yMDI1Li4uVVNELkgBAAAA3rYBAAMAAAAAAL/2+ny5c90IM5ru8cFz3QhEQ0lRLk5ZU0U6SUJNLklRX0ZBSVJfVkFMVUVfQ0hBTkdFX0lOQ0xfRUFSTklOR1MuOTkxLjQvMS8yMDI1Li4uVVNELkgBAAAA3rYBAAMAAAAAAL/2+ny5c90IM5ru8cFz3QhEQ0lRLk5ZU0U6SUJNLklRX0ZBSVJfVkFMVUVfQ0hB</t>
  </si>
  <si>
    <t>TkdFX0lOQ0xfRUFSTklOR1MuOTkyLjQvMS8yMDI1Li4uVVNELkgBAAAA3rYBAAMAAAAAAL/2+ny5c90Ikuju8cFz3Qg7Q0lRLk5ZU0U6SUJNLklRX0xJQUJJTElUSUVTX0ZBSVJfVkFMVUUuOTk1LjQvMS8yMDI1Li4uVVNELkgBAAAA3rYBAAIAAAAFNTkwOTkAv/b6fLlz3QiS6O7xwXPdCDtDSVEuTllTRTpJQk0uSVFfTElBQklMSVRJRVNfRkFJUl9WQUxVRS45OTYuNC8xLzIwMjUuLi5VU0QuSAEAAADetgEAAgAAAAU2MjA4NwC/9vp8uXPdCJLo7vHBc90IO0NJUS5OWVNFOklCTS5JUV9MSUFCSUxJVElFU19GQUlSX1ZBTFVFLjk5Ny40LzEvMjAyNS4uLlVTRC5IAQAAAN62AQACAAAABTQ5NjI0AL/2+ny5c90Ikuju8cFz3Qg7Q0lRLk5ZU0U6SUJNLklRX0xJQUJJTElUSUVTX0ZBSVJfVkFMVUUuOTk4LjQvMS8yMDI1Li4uVVNELkgBAAAA3rYBAAIAAAAFNDM1NDgAv/b6fLlz3QiS6O7xwXPdCDtDSVEuTllTRTpJQk0uSVFfTElBQklMSVRJRVNfRkFJUl9WQUxVRS45OTkuNC8xLzIwMjUuLi5VU0QuSAEAAADetgEAAgAAAAU0ODg3NwC/9vp8uXPdCJLo7vHBc90IO0NJUS5OWVNFOklCTS5JUV9MSUFCSUxJVElFU19GQUlSX1ZBTFVFLjk5MC40LzEvMjAyNS4uLlVTRC5IAQAAAN62AQACAAAABTM3NzIwAL/2+ny5c90Ikuju8cFz3Qg7Q0lRLk5ZU0U6SUJNLklRX0xJQUJJTElUSUVTX0ZBSVJfVkFMVUUuOTkx</t>
  </si>
  <si>
    <t>LjQvMS8yMDI1Li4uVVNELkgBAAAA3rYBAAIAAAAFMzU0MDYAv/b6fLlz3QiS6O7xwXPdCDtDSVEuTllTRTpJQk0uSVFfTElBQklMSVRJRVNfRkFJUl9WQUxVRS45OTIuNC8xLzIwMjUuLi5VU0QuSAEAAADetgEAAgAAAAUzNzA0NAC/9vp8uXPdCJLo7vHBc90IO0NJUS5OWVNFOklCTS5JUV9MSUFCSUxJVElFU19GQUlSX1ZBTFVFLjk5My40LzEvMjAyNS4uLlVTRC5IAQAAAN62AQACAAAABTQyNjc5AL/2+ny5c90Ikuju8cFz3Qg7Q0lRLk5ZU0U6SUJNLklRX0xJQUJJTElUSUVTX0ZBSVJfVkFMVUUuOTk0LjQvMS8yMDI1Li4uVVNELkgBAAAA3rYBAAIAAAAFMzY5MzEAv/b6fLlz3QiS6O7xwXPdCEpDSVEuTllTRTpJQk0uSVFfTElBQklMSVRJRVNfTkVUVElOR19PVEhFUl9BREpVU1RNRU5UUy45OTcuNC8xLzIwMjUuLi5VU0QuSAEAAADetgEAAwAAAAAAv/b6fLlz3QiS6O7xwXPdCEpDSVEuTllTRTpJQk0uSVFfTElBQklMSVRJRVNfTkVUVElOR19PVEhFUl9BREpVU1RNRU5UUy45OTguNC8xLzIwMjUuLi5VU0QuSAEAAADetgEAAwAAAAAAv/b6fLlz3QiS6O7xwXPdCEpDSVEuTllTRTpJQk0uSVFfTElBQklMSVRJRVNfTkVUVElOR19PVEhFUl9BREpVU1RNRU5UUy45OTkuNC8xLzIwMjUuLi5VU0QuSAEAAADetgEAAwAAAAAAZhv9fLlz3QiS6O7xwXPdCEtDSVEuTllTRTpJQk0uSVFfTElBQklMSVRJRVNf</t>
  </si>
  <si>
    <t>TkVUVElOR19PVEhFUl9BREpVU1RNRU5UUy4xMDAwLjQvMS8yMDI1Li4uVVNELkgBAAAA3rYBAAMAAAAAAGYb/Xy5c90Ikuju8cFz3QhLQ0lRLk5ZU0U6SUJNLklRX0xJQUJJTElUSUVTX05FVFRJTkdfT1RIRVJfQURKVVNUTUVOVFMuMjAwMC40LzEvMjAyNS4uLlVTRC5IAQAAAN62AQADAAAAAABmG/18uXPdCJLo7vHBc90ISkNJUS5OWVNFOklCTS5JUV9MSUFCSUxJVElFU19ORVRUSU5HX09USEVSX0FESlVTVE1FTlRTLjk5Mi40LzEvMjAyNS4uLlVTRC5IAQAAAN62AQADAAAAAABmG/18uXPdCJLo7vHBc90ISkNJUS5OWVNFOklCTS5JUV9MSUFCSUxJVElFU19ORVRUSU5HX09USEVSX0FESlVTVE1FTlRTLjk5My40LzEvMjAyNS4uLlVTRC5IAQAAAN62AQADAAAAAABmG/18uXPdCJLo7vHBc90ISkNJUS5OWVNFOklCTS5JUV9MSUFCSUxJVElFU19ORVRUSU5HX09USEVSX0FESlVTVE1FTlRTLjk5NC40LzEvMjAyNS4uLlVTRC5IAQAAAN62AQADAAAAAABmG/18uXPdCJLo7vHBc90ISkNJUS5OWVNFOklCTS5JUV9MSUFCSUxJVElFU19ORVRUSU5HX09USEVSX0FESlVTVE1FTlRTLjk5NS40LzEvMjAyNS4uLlVTRC5IAQAAAN62AQADAAAAAABmG/18uXPdCJLo7vHBc90ISkNJUS5OWVNFOklCTS5JUV9MSUFCSUxJVElFU19ORVRUSU5HX09USEVSX0FESlVTVE1FTlRTLjk5Ni40LzEvMjAyNS4uLlVTRC5IAQAA</t>
  </si>
  <si>
    <t>AN62AQADAAAAAABmG/18uXPdCJLo7vHBc90IOENJUS5OWVNFOklCTS5JUV9MSUFCSUxJVElFU19MRVZFTF8zLjk5OS40LzEvMjAyNS4uLlVTRC5IAQAAAN62AQADAAAAAABmG/18uXPdCJLo7vHBc90IOUNJUS5OWVNFOklCTS5JUV9MSUFCSUxJVElFU19MRVZFTF8zLjEwMDAuNC8xLzIwMjUuLi5VU0QuSAEAAADetgEAAwAAAAAAZhv9fLlz3QiS6O7xwXPdCDlDSVEuTllTRTpJQk0uSVFfTElBQklMSVRJRVNfTEVWRUxfMy4yMDAwLjQvMS8yMDI1Li4uVVNELkgBAAAA3rYBAAMAAAAAAGYb/Xy5c90Ikuju8cFz3QhKQ0lRLk5ZU0U6SUJNLklRX0xJQUJJTElUSUVTX05FVFRJTkdfT1RIRVJfQURKVVNUTUVOVFMuOTkwLjQvMS8yMDI1Li4uVVNELkgBAAAA3rYBAAMAAAAAAGYb/Xy5c90Ikuju8cFz3QhKQ0lRLk5ZU0U6SUJNLklRX0xJQUJJTElUSUVTX05FVFRJTkdfT1RIRVJfQURKVVNUTUVOVFMuOTkxLjQvMS8yMDI1Li4uVVNELkgBAAAA3rYBAAMAAAAAAGYb/Xy5c90Ikuju8cFz3Qg4Q0lRLk5ZU0U6SUJNLklRX0xJQUJJTElUSUVTX0xFVkVMXzMuOTk0LjQvMS8yMDI1Li4uVVNELkgBAAAA3rYBAAMAAAAAAGYb/Xy5c90Ikuju8cFz3Qg4Q0lRLk5ZU0U6SUJNLklRX0xJQUJJTElUSUVTX0xFVkVMXzMuOTk1LjQvMS8yMDI1Li4uVVNELkgBAAAA3rYBAAMAAAAAAGYb/Xy5c90Ikuju8cFz3Qg4Q0lRLk5Z</t>
  </si>
  <si>
    <t>U0U6SUJNLklRX0xJQUJJTElUSUVTX0xFVkVMXzMuOTk2LjQvMS8yMDI1Li4uVVNELkgBAAAA3rYBAAMAAAAAAGYb/Xy5c90Ikuju8cFz3Qg4Q0lRLk5ZU0U6SUJNLklRX0xJQUJJTElUSUVTX0xFVkVMXzMuOTk3LjQvMS8yMDI1Li4uVVNELkgBAAAA3rYBAAMAAAAAAGYb/Xy5c90Ikuju8cFz3Qg4Q0lRLk5ZU0U6SUJNLklRX0xJQUJJTElUSUVTX0xFVkVMXzMuOTk4LjQvMS8yMDI1Li4uVVNELkgBAAAA3rYBAAMAAAAAAGYb/Xy5c90Ikuju8cFz3Qg5Q0lRLk5ZU0U6SUJNLklRX0xJQUJJTElUSUVTX0xFVkVMXzIuMjAwMC40LzEvMjAyNS4uLlVTRC5IAQAAAN62AQACAAAABTQ4MTE1AGYb/Xy5c90Ikuju8cFz3Qg4Q0lRLk5ZU0U6SUJNLklRX0xJQUJJTElUSUVTX0xFVkVMXzMuOTkwLjQvMS8yMDI1Li4uVVNELkgBAAAA3rYBAAMAAAAAAGYb/Xy5c90Ikuju8cFz3Qg4Q0lRLk5ZU0U6SUJNLklRX0xJQUJJTElUSUVTX0xFVkVMXzMuOTkxLjQvMS8yMDI1Li4uVVNELkgBAAAA3rYBAAMAAAAAAGYb/Xy5c90Ikuju8cFz3Qg4Q0lRLk5ZU0U6SUJNLklRX0xJQUJJTElUSUVTX0xFVkVMXzMuOTkyLjQvMS8yMDI1Li4uVVNELkgBAAAA3rYBAAMAAAAAAGYb/Xy5c90Ikuju8cFz3Qg4Q0lRLk5ZU0U6SUJNLklRX0xJQUJJTElUSUVTX0xFVkVMXzMuOTkzLjQvMS8yMDI1Li4uVVNELkgBAAAA3rYBAAMAAAAAAGYb</t>
  </si>
  <si>
    <t>/Xy5c90Ikuju8cFz3Qg4Q0lRLk5ZU0U6SUJNLklRX0xJQUJJTElUSUVTX0xFVkVMXzIuOTk2LjQvMS8yMDI1Li4uVVNELkgBAAAA3rYBAAIAAAAFNjIwODcAZhv9fLlz3QiS6O7xwXPdCDhDSVEuTllTRTpJQk0uSVFfTElBQklMSVRJRVNfTEVWRUxfMi45OTcuNC8xLzIwMjUuLi5VU0QuSAEAAADetgEAAgAAAAU0OTYyNABmG/18uXPdCJLo7vHBc90IOENJUS5OWVNFOklCTS5JUV9MSUFCSUxJVElFU19MRVZFTF8yLjk5OC40LzEvMjAyNS4uLlVTRC5IAQAAAN62AQACAAAABTQzNTQ4AGYb/Xy5c90Ikuju8cFz3Qg4Q0lRLk5ZU0U6SUJNLklRX0xJQUJJTElUSUVTX0xFVkVMXzIuOTk5LjQvMS8yMDI1Li4uVVNELkgBAAAA3rYBAAIAAAAFNDg4NzcAZhv9fLlz3QiS6O7xwXPdCDlDSVEuTllTRTpJQk0uSVFfTElBQklMSVRJRVNfTEVWRUxfMi4xMDAwLjQvMS8yMDI1Li4uVVNELkgBAAAA3rYBAAIAAAAFNDgxMTUAZhv9fLlz3QiS6O7xwXPdCDhDSVEuTllTRTpJQk0uSVFfTElBQklMSVRJRVNfTEVWRUxfMi45OTEuNC8xLzIwMjUuLi5VU0QuSAEAAADetgEAAgAAAAUzNTQwNgBmG/18uXPdCJLo7vHBc90IOENJUS5OWVNFOklCTS5JUV9MSUFCSUxJVElFU19MRVZFTF8yLjk5Mi40LzEvMjAyNS4uLlVTRC5IAQAAAN62AQACAAAABTM3MDQ0AGYb/Xy5c90I4Dbv8cFz3Qg4Q0lRLk5ZU0U6SUJNLklRX0xJQUJJ</t>
  </si>
  <si>
    <t>TElUSUVTX0xFVkVMXzIuOTkzLjQvMS8yMDI1Li4uVVNELkgBAAAA3rYBAAIAAAAFNDI2NzkAZhv9fLlz3QjgNu/xwXPdCDhDSVEuTllTRTpJQk0uSVFfTElBQklMSVRJRVNfTEVWRUxfMi45OTQuNC8xLzIwMjUuLi5VU0QuSAEAAADetgEAAgAAAAUzNjkzMQBmG/18uXPdCOA27/HBc90IOENJUS5OWVNFOklCTS5JUV9MSUFCSUxJVElFU19MRVZFTF8yLjk5NS40LzEvMjAyNS4uLlVTRC5IAQAAAN62AQACAAAABTU5MDk5AGYb/Xy5c90I4Dbv8cFz3Qg4Q0lRLk5ZU0U6SUJNLklRX0xJQUJJTElUSUVTX0xFVkVMXzEuOTk4LjQvMS8yMDI1Li4uVVNELkgBAAAA3rYBAAMAAAAAAGYb/Xy5c90I4Dbv8cFz3Qg4Q0lRLk5ZU0U6SUJNLklRX0xJQUJJTElUSUVTX0xFVkVMXzEuOTk5LjQvMS8yMDI1Li4uVVNELkgBAAAA3rYBAAMAAAAAAGYb/Xy5c90I4Dbv8cFz3Qg5Q0lRLk5ZU0U6SUJNLklRX0xJQUJJTElUSUVTX0xFVkVMXzEuMTAwMC40LzEvMjAyNS4uLlVTRC5IAQAAAN62AQADAAAAAABmG/18uXPdCOA27/HBc90IOUNJUS5OWVNFOklCTS5JUV9MSUFCSUxJVElFU19MRVZFTF8xLjIwMDAuNC8xLzIwMjUuLi5VU0QuSAEAAADetgEAAwAAAAAAZhv9fLlz3QjgNu/xwXPdCDhDSVEuTllTRTpJQk0uSVFfTElBQklMSVRJRVNfTEVWRUxfMi45OTAuNC8xLzIwMjUuLi5VU0QuSAEAAADetgEAAgAAAAUzNzcyMABm</t>
  </si>
  <si>
    <t>G/18uXPdCOA27/HBc90IOENJUS5OWVNFOklCTS5JUV9MSUFCSUxJVElFU19MRVZFTF8xLjk5My40LzEvMjAyNS4uLlVTRC5IAQAAAN62AQADAAAAAABmG/18uXPdCOA27/HBc90IOENJUS5OWVNFOklCTS5JUV9MSUFCSUxJVElFU19MRVZFTF8xLjk5NC40LzEvMjAyNS4uLlVTRC5IAQAAAN62AQADAAAAAABmG/18uXPdCOA27/HBc90IOENJUS5OWVNFOklCTS5JUV9MSUFCSUxJVElFU19MRVZFTF8xLjk5NS40LzEvMjAyNS4uLlVTRC5IAQAAAN62AQADAAAAAABmG/18uXPdCOA27/HBc90IOENJUS5OWVNFOklCTS5JUV9MSUFCSUxJVElFU19MRVZFTF8xLjk5Ni40LzEvMjAyNS4uLlVTRC5IAQAAAN62AQADAAAAAABmG/18uXPdCOA27/HBc90IOENJUS5OWVNFOklCTS5JUV9MSUFCSUxJVElFU19MRVZFTF8xLjk5Ny40LzEvMjAyNS4uLlVTRC5IAQAAAN62AQADAAAAAABmG/18uXPdCOA27/HBc90IN0NJUS5OWVNFOklCTS5JUV9BU1NFVFNfRkFJUl9WQUxVRS4xMDAwLjQvMS8yMDI1Li4uVVNELkgBAAAA3rYBAAIAAAAEODI2MgBmG/18uXPdCOA27/HBc90IN0NJUS5OWVNFOklCTS5JUV9BU1NFVFNfRkFJUl9WQUxVRS4yMDAwLjQvMS8yMDI1Li4uVVNELkgBAAAA3rYBAAIAAAAEODI2MgBmG/18uXPdCOA27/HBc90IOENJUS5OWVNFOklCTS5JUV9MSUFCSUxJVElFU19MRVZFTF8xLjk5MC40LzEvMjAyNS4u</t>
  </si>
  <si>
    <t>LlVTRC5IAQAAAN62AQADAAAAAABmG/18uXPdCOA27/HBc90IOENJUS5OWVNFOklCTS5JUV9MSUFCSUxJVElFU19MRVZFTF8xLjk5MS40LzEvMjAyNS4uLlVTRC5IAQAAAN62AQADAAAAAABmG/18uXPdCOA27/HBc90IOENJUS5OWVNFOklCTS5JUV9MSUFCSUxJVElFU19MRVZFTF8xLjk5Mi40LzEvMjAyNS4uLlVTRC5IAQAAAN62AQADAAAAAABmG/18uXPdCOA27/HBc90INkNJUS5OWVNFOklCTS5JUV9BU1NFVFNfRkFJUl9WQUxVRS45OTUuNC8xLzIwMjUuLi5VU0QuSAEAAADetgEAAgAAAAQ1ODIxAGYb/Xy5c90I4Dbv8cFz3Qg2Q0lRLk5ZU0U6SUJNLklRX0FTU0VUU19GQUlSX1ZBTFVFLjk5Ni40LzEvMjAyNS4uLlVTRC5IAQAAAN62AQACAAAABDkxMzIAZhv9fLlz3QjgNu/xwXPdCDZDSVEuTllTRTpJQk0uSVFfQVNTRVRTX0ZBSVJfVkFMVUUuOTk3LjQvMS8yMDI1Li4uVVNELkgBAAAA3rYBAAIAAAAENDU2NABmG/18uXPdCOA27/HBc90INkNJUS5OWVNFOklCTS5JUV9BU1NFVFNfRkFJUl9WQUxVRS45OTguNC8xLzIwMjUuLi5VU0QuSAEAAADetgEAAgAAAAQ1MTQ4AGYb/Xy5c90I4Dbv8cFz3Qg2Q0lRLk5ZU0U6SUJNLklRX0FTU0VUU19GQUlSX1ZBTFVFLjk5OS40LzEvMjAyNS4uLlVTRC5IAQAAAN62AQACAAAABDg0MzkAZhv9fLlz3QjgNu/xwXPdCDZDSVEuTllTRTpJQk0uSVFfQVNTRVRTX0ZB</t>
  </si>
  <si>
    <t>SVJfVkFMVUUuOTkwLjQvMS8yMDI1Li4uVVNELkgBAAAA3rYBAAIAAAAENzExOABmG/18uXPdCOA27/HBc90INkNJUS5OWVNFOklCTS5JUV9BU1NFVFNfRkFJUl9WQUxVRS45OTEuNC8xLzIwMjUuLi5VU0QuSAEAAADetgEAAgAAAAQ2NjcxAGYb/Xy5c90I4Dbv8cFz3Qg2Q0lRLk5ZU0U6SUJNLklRX0FTU0VUU19GQUlSX1ZBTFVFLjk5Mi40LzEvMjAyNS4uLlVTRC5IAQAAAN62AQACAAAABDY2NzIAZhv9fLlz3QjgNu/xwXPdCDZDSVEuTllTRTpJQk0uSVFfQVNTRVRTX0ZBSVJfVkFMVUUuOTkzLjQvMS8yMDI1Li4uVVNELkgBAAAA3rYBAAIAAAAFMTAxNTEAZhv9fLlz3QjgNu/xwXPdCDZDSVEuTllTRTpJQk0uSVFfQVNTRVRTX0ZBSVJfVkFMVUUuOTk0LjQvMS8yMDI1Li4uVVNELkgBAAAA3rYBAAIAAAAEOTA1MQBmG/18uXPdCOA27/HBc90IRUNJUS5OWVNFOklCTS5JUV9BU1NFVFNfTkVUVElOR19PVEhFUl9BREpVU1RNRU5UUy45OTcuNC8xLzIwMjUuLi5VU0QuSAEAAADetgEAAwAAAAAAZhv9fLlz3QjgNu/xwXPdCEVDSVEuTllTRTpJQk0uSVFfQVNTRVRTX05FVFRJTkdfT1RIRVJfQURKVVNUTUVOVFMuOTk4LjQvMS8yMDI1Li4uVVNELkgBAAAA3rYBAAMAAAAAAGYb/Xy5c90I4Dbv8cFz3QhFQ0lRLk5ZU0U6SUJNLklRX0FTU0VUU19ORVRUSU5HX09USEVSX0FESlVTVE1FTlRTLjk5OS40LzEvMjAy</t>
  </si>
  <si>
    <t>NS4uLlVTRC5IAQAAAN62AQADAAAAAABmG/18uXPdCOA27/HBc90IRkNJUS5OWVNFOklCTS5JUV9BU1NFVFNfTkVUVElOR19PVEhFUl9BREpVU1RNRU5UUy4xMDAwLjQvMS8yMDI1Li4uVVNELkgBAAAA3rYBAAMAAAAAAGYb/Xy5c90I4Dbv8cFz3QhGQ0lRLk5ZU0U6SUJNLklRX0FTU0VUU19ORVRUSU5HX09USEVSX0FESlVTVE1FTlRTLjIwMDAuNC8xLzIwMjUuLi5VU0QuSAEAAADetgEAAwAAAAAAZhv9fLlz3QjgNu/xwXPdCEVDSVEuTllTRTpJQk0uSVFfQVNTRVRTX05FVFRJTkdfT1RIRVJfQURKVVNUTUVOVFMuOTkyLjQvMS8yMDI1Li4uVVNELkgBAAAA3rYBAAMAAAAAAGYb/Xy5c90I4Dbv8cFz3QhFQ0lRLk5ZU0U6SUJNLklRX0FTU0VUU19ORVRUSU5HX09USEVSX0FESlVTVE1FTlRTLjk5My40LzEvMjAyNS4uLlVTRC5IAQAAAN62AQADAAAAAABmG/18uXPdCOA27/HBc90IRUNJUS5OWVNFOklCTS5JUV9BU1NFVFNfTkVUVElOR19PVEhFUl9BREpVU1RNRU5UUy45OTQuNC8xLzIwMjUuLi5VU0QuSAEAAADetgEAAwAAAAAAZhv9fLlz3QjgNu/xwXPdCEVDSVEuTllTRTpJQk0uSVFfQVNTRVRTX05FVFRJTkdfT1RIRVJfQURKVVNUTUVOVFMuOTk1LjQvMS8yMDI1Li4uVVNELkgBAAAA3rYBAAMAAAAAAGYb/Xy5c90I4Dbv8cFz3QhFQ0lRLk5ZU0U6SUJNLklRX0FTU0VUU19ORVRUSU5HX09USEVSX0FE</t>
  </si>
  <si>
    <t>SlVTVE1FTlRTLjk5Ni40LzEvMjAyNS4uLlVTRC5IAQAAAN62AQADAAAAAABmG/18uXPdCOA27/HBc90IM0NJUS5OWVNFOklCTS5JUV9BU1NFVFNfTEVWRUxfMy45OTkuNC8xLzIwMjUuLi5VU0QuSAEAAADetgEAAwAAAAAAZhv9fLlz3QjgNu/xwXPdCDRDSVEuTllTRTpJQk0uSVFfQVNTRVRTX0xFVkVMXzMuMTAwMC40LzEvMjAyNS4uLlVTRC5IAQAAAN62AQADAAAAAABmG/18uXPdCOA27/HBc90INENJUS5OWVNFOklCTS5JUV9BU1NFVFNfTEVWRUxfMy4yMDAwLjQvMS8yMDI1Li4uVVNELkgBAAAA3rYBAAMAAAAAAGYb/Xy5c90I4Dbv8cFz3QhFQ0lRLk5ZU0U6SUJNLklRX0FTU0VUU19ORVRUSU5HX09USEVSX0FESlVTVE1FTlRTLjk5MC40LzEvMjAyNS4uLlVTRC5IAQAAAN62AQADAAAAAABmG/18uXPdCOA27/HBc90IRUNJUS5OWVNFOklCTS5JUV9BU1NFVFNfTkVUVElOR19PVEhFUl9BREpVU1RNRU5UUy45OTEuNC8xLzIwMjUuLi5VU0QuSAEAAADetgEAAwAAAAAAZhv9fLlz3QjgNu/xwXPdCDNDSVEuTllTRTpJQk0uSVFfQVNTRVRTX0xFVkVMXzMuOTk0LjQvMS8yMDI1Li4uVVNELkgBAAAA3rYBAAMAAAAAAGYb/Xy5c90I4Dbv8cFz3QgzQ0lRLk5ZU0U6SUJNLklRX0FTU0VUU19MRVZFTF8zLjk5NS40LzEvMjAyNS4uLlVTRC5IAQAAAN62AQADAAAAAABmG/18uXPdCOA27/HBc90IM0NJUS5OWVNF</t>
  </si>
  <si>
    <t>OklCTS5JUV9BU1NFVFNfTEVWRUxfMy45OTYuNC8xLzIwMjUuLi5VU0QuSAEAAADetgEAAwAAAAAAZhv9fLlz3QjgNu/xwXPdCDNDSVEuTllTRTpJQk0uSVFfQVNTRVRTX0xFVkVMXzMuOTk3LjQvMS8yMDI1Li4uVVNELkgBAAAA3rYBAAMAAAAAAGYb/Xy5c90I4Dbv8cFz3QgzQ0lRLk5ZU0U6SUJNLklRX0FTU0VUU19MRVZFTF8zLjk5OC40LzEvMjAyNS4uLlVTRC5IAQAAAN62AQADAAAAAABmG/18uXPdCOA27/HBc90INENJUS5OWVNFOklCTS5JUV9BU1NFVFNfTEVWRUxfMi4yMDAwLjQvMS8yMDI1Li4uVVNELkgBAAAA3rYBAAIAAAAENzk3OABmG/18uXPdCOA27/HBc90IM0NJUS5OWVNFOklCTS5JUV9BU1NFVFNfTEVWRUxfMy45OTAuNC8xLzIwMjUuLi5VU0QuSAEAAADetgEAAwAAAAAAZhv9fLlz3QjgNu/xwXPdCDNDSVEuTllTRTpJQk0uSVFfQVNTRVRTX0xFVkVMXzMuOTkxLjQvMS8yMDI1Li4uVVNELkgBAAAA3rYBAAMAAAAAAGYb/Xy5c90I4Dbv8cFz3QgzQ0lRLk5ZU0U6SUJNLklRX0FTU0VUU19MRVZFTF8zLjk5Mi40LzEvMjAyNS4uLlVTRC5IAQAAAN62AQADAAAAAABmG/18uXPdCOA27/HBc90IM0NJUS5OWVNFOklCTS5JUV9BU1NFVFNfTEVWRUxfMy45OTMuNC8xLzIwMjUuLi5VU0QuSAEAAADetgEAAwAAAAAAZhv9fLlz3QjgNu/xwXPdCDNDSVEuTllTRTpJQk0uSVFfQVNTRVRTX0xFVkVM</t>
  </si>
  <si>
    <t>XzIuOTk2LjQvMS8yMDI1Li4uVVNELkgBAAAA3rYBAAIAAAAEODk4MgBmG/18uXPdCOA27/HBc90IM0NJUS5OWVNFOklCTS5JUV9BU1NFVFNfTEVWRUxfMi45OTcuNC8xLzIwMjUuLi5VU0QuSAEAAADetgEAAgAAAAQzNDk0AGYb/Xy5c90I4Dbv8cFz3QgzQ0lRLk5ZU0U6SUJNLklRX0FTU0VUU19MRVZFTF8yLjk5OC40LzEvMjAyNS4uLlVTRC5IAQAAAN62AQACAAAABDQ4NDIAZhv9fLlz3QjgNu/xwXPdCDNDSVEuTllTRTpJQk0uSVFfQVNTRVRTX0xFVkVMXzIuOTk5LjQvMS8yMDI1Li4uVVNELkgBAAAA3rYBAAIAAAAENzkyMABmG/18uXPdCOA27/HBc90INENJUS5OWVNFOklCTS5JUV9BU1NFVFNfTEVWRUxfMi4xMDAwLjQvMS8yMDI1Li4uVVNELkgBAAAA3rYBAAIAAAAENzk3OABmG/18uXPdCOA27/HBc90IM0NJUS5OWVNFOklCTS5JUV9BU1NFVFNfTEVWRUxfMi45OTEuNC8xLzIwMjUuLi5VU0QuSAEAAADetgEAAgAAAAQ0MzgxAGYb/Xy5c90I4Dbv8cFz3QgzQ0lRLk5ZU0U6SUJNLklRX0FTU0VUU19MRVZFTF8yLjk5Mi40LzEvMjAyNS4uLlVTRC5IAQAAAN62AQACAAAABDU0NjAAZhv9fLlz3QjgNu/xwXPdCDNDSVEuTllTRTpJQk0uSVFfQVNTRVRTX0xFVkVMXzIuOTkzLjQvMS8yMDI1Li4uVVNELkgBAAAA3rYBAAIAAAAFMTAxMTcAZhv9fLlz3QjgNu/xwXPdCDNDSVEuTllTRTpJQk0uSVFfQVNT</t>
  </si>
  <si>
    <t>RVRTX0xFVkVMXzIuOTk0LjQvMS8yMDI1Li4uVVNELkgBAAAA3rYBAAIAAAAEOTAyNgBmG/18uXPdCOA27/HBc90IM0NJUS5OWVNFOklCTS5JUV9BU1NFVFNfTEVWRUxfMi45OTUuNC8xLzIwMjUuLi5VU0QuSAEAAADetgEAAgAAAAQ1Mzk0AGYb/Xy5c90I4Dbv8cFz3QgzQ0lRLk5ZU0U6SUJNLklRX0FTU0VUU19MRVZFTF8xLjk5OC40LzEvMjAyNS4uLlVTRC5IAQAAAN62AQACAAAAAzMwNgBmG/18uXPdCOA27/HBc90IM0NJUS5OWVNFOklCTS5JUV9BU1NFVFNfTEVWRUxfMS45OTkuNC8xLzIwMjUuLi5VU0QuSAEAAADetgEAAgAAAAM1MTkAZhv9fLlz3QjgNu/xwXPdCDRDSVEuTllTRTpJQk0uSVFfQVNTRVRTX0xFVkVMXzEuMTAwMC40LzEvMjAyNS4uLlVTRC5IAQAAAN62AQACAAAAAzI4NABmG/18uXPdCOA27/HBc90INENJUS5OWVNFOklCTS5JUV9BU1NFVFNfTEVWRUxfMS4yMDAwLjQvMS8yMDI1Li4uVVNELkgBAAAA3rYBAAIAAAADMjg0AGYb/Xy5c90I4Dbv8cFz3QgzQ0lRLk5ZU0U6SUJNLklRX0FTU0VUU19MRVZFTF8yLjk5MC40LzEvMjAyNS4uLlVTRC5IAQAAAN62AQACAAAABDYxMzgAZhv9fLlz3QjgNu/xwXPdCDNDSVEuTllTRTpJQk0uSVFfQVNTRVRTX0xFVkVMXzEuOTkzLjQvMS8yMDI1Li4uVVNELkgBAAAA3rYBAAIAAAACMzQAZhv9fLlz3QgCuO/xwXPdCDNDSVEuTllTRTpJQk0uSVFf</t>
  </si>
  <si>
    <t>QVNTRVRTX0xFVkVMXzEuOTk0LjQvMS8yMDI1Li4uVVNELkgBAAAA3rYBAAIAAAACMjUAZhv9fLlz3QgCuO/xwXPdCEhDSVEuTllTRTpJQk0uSVFfTElRVUlEQVRJT05fVkFMVUVfUFJFRkVSUkVEX0NPTlZFUlQuOTk0LjQvMS8yMDI1Li4uVVNELkgBAAAA3rYBAAMAAAAAAGYb/Xy5c90IArjv8cFz3QhIQ0lRLk5ZU0U6SUJNLklRX0xJUVVJREFUSU9OX1ZBTFVFX1BSRUZFUlJFRF9DT05WRVJULjk5NS40LzEvMjAyNS4uLlVTRC5IAQAAAN62AQADAAAAAABmG/18uXPdCAK47/HBc90ISENJUS5OWVNFOklCTS5JUV9MSVFVSURBVElPTl9WQUxVRV9QUkVGRVJSRURfQ09OVkVSVC45OTYuNC8xLzIwMjUuLi5VU0QuSAEAAADetgEAAwAAAAAAZhv9fLlz3QgCuO/xwXPdCEhDSVEuTllTRTpJQk0uSVFfTElRVUlEQVRJT05fVkFMVUVfUFJFRkVSUkVEX0NPTlZFUlQuOTk3LjQvMS8yMDI1Li4uVVNELkgBAAAA3rYBAAMAAAAAAGYb/Xy5c90IArjv8cFz3QhIQ0lRLk5ZU0U6SUJNLklRX0xJUVVJREFUSU9OX1ZBTFVFX1BSRUZFUlJFRF9DT05WRVJULjk5OC40LzEvMjAyNS4uLlVTRC5IAQAAAN62AQADAAAAAABmG/18uXPdCAK47/HBc90IRENJUS5OWVNFOklCTS5JUV9UT1RBTF9HRU5FUkFMX1BBUlRORVJfSU5URVJFU1QuMjAwMC40LzEvMjAyNS4uLlVTRC5IAQAAAN62AQADAAAAAABmG/18uXPdCAK47/HBc90I</t>
  </si>
  <si>
    <t>SENJUS5OWVNFOklCTS5JUV9MSVFVSURBVElPTl9WQUxVRV9QUkVGRVJSRURfQ09OVkVSVC45OTAuNC8xLzIwMjUuLi5VU0QuSAEAAADetgEAAwAAAAAAZhv9fLlz3QgCuO/xwXPdCEhDSVEuTllTRTpJQk0uSVFfTElRVUlEQVRJT05fVkFMVUVfUFJFRkVSUkVEX0NPTlZFUlQuOTkxLjQvMS8yMDI1Li4uVVNELkgBAAAA3rYBAAMAAAAAAGYb/Xy5c90IArjv8cFz3QhIQ0lRLk5ZU0U6SUJNLklRX0xJUVVJREFUSU9OX1ZBTFVFX1BSRUZFUlJFRF9DT05WRVJULjk5Mi40LzEvMjAyNS4uLlVTRC5IAQAAAN62AQADAAAAAABmG/18uXPdCAK47/HBc90ISENJUS5OWVNFOklCTS5JUV9MSVFVSURBVElPTl9WQUxVRV9QUkVGRVJSRURfQ09OVkVSVC45OTMuNC8xLzIwMjUuLi5VU0QuSAEAAADetgEAAwAAAAAAZhv9fLlz3QgCuO/xwXPdCENDSVEuTllTRTpJQk0uSVFfVE9UQUxfR0VORVJBTF9QQVJUTkVSX0lOVEVSRVNULjk5Ni40LzEvMjAyNS4uLlVTRC5IAQAAAN62AQADAAAAAABmG/18uXPdCAK47/HBc90IQ0NJUS5OWVNFOklCTS5JUV9UT1RBTF9HRU5FUkFMX1BBUlRORVJfSU5URVJFU1QuOTk3LjQvMS8yMDI1Li4uVVNELkgBAAAA3rYBAAMAAAAAAGYb/Xy5c90IArjv8cFz3QhDQ0lRLk5ZU0U6SUJNLklRX1RPVEFMX0dFTkVSQUxfUEFSVE5FUl9JTlRFUkVTVC45OTguNC8xLzIwMjUuLi5VU0QuSAEAAADe</t>
  </si>
  <si>
    <t>tgEAAwAAAAAAZhv9fLlz3QgCuO/xwXPdCENDSVEuTllTRTpJQk0uSVFfVE9UQUxfR0VORVJBTF9QQVJUTkVSX0lOVEVSRVNULjk5OS40LzEvMjAyNS4uLlVTRC5IAQAAAN62AQADAAAAAABmG/18uXPdCAK47/HBc90IRENJUS5OWVNFOklCTS5JUV9UT1RBTF9HRU5FUkFMX1BBUlRORVJfSU5URVJFU1QuMTAwMC40LzEvMjAyNS4uLlVTRC5IAQAAAN62AQADAAAAAABmG/18uXPdCAK47/HBc90IQ0NJUS5OWVNFOklCTS5JUV9UT1RBTF9HRU5FUkFMX1BBUlRORVJfSU5URVJFU1QuOTkxLjQvMS8yMDI1Li4uVVNELkgBAAAA3rYBAAMAAAAAAGYb/Xy5c90IArjv8cFz3QhDQ0lRLk5ZU0U6SUJNLklRX1RPVEFMX0dFTkVSQUxfUEFSVE5FUl9JTlRFUkVTVC45OTIuNC8xLzIwMjUuLi5VU0QuSAEAAADetgEAAwAAAAAAZhv9fLlz3QgCuO/xwXPdCENDSVEuTllTRTpJQk0uSVFfVE9UQUxfR0VORVJBTF9QQVJUTkVSX0lOVEVSRVNULjk5My40LzEvMjAyNS4uLlVTRC5IAQAAAN62AQADAAAAAABmG/18uXPdCAK47/HBc90IQ0NJUS5OWVNFOklCTS5JUV9UT1RBTF9HRU5FUkFMX1BBUlRORVJfSU5URVJFU1QuOTk0LjQvMS8yMDI1Li4uVVNELkgBAAAA3rYBAAMAAAAAAGYb/Xy5c90IArjv8cFz3QhDQ0lRLk5ZU0U6SUJNLklRX1RPVEFMX0dFTkVSQUxfUEFSVE5FUl9JTlRFUkVTVC45OTUuNC8xLzIwMjUuLi5VU0Qu</t>
  </si>
  <si>
    <t>SAEAAADetgEAAwAAAAAAZhv9fLlz3QgCuO/xwXPdCEZDSVEuTllTRTpJQk0uSVFfR0VORVJBTF9QQVJUTkVSX01JTk9SSVRZX0lOVEVSRVNULjk5OC40LzEvMjAyNS4uLlVTRC5IAQAAAN62AQADAAAAAABmG/18uXPdCAK47/HBc90IRkNJUS5OWVNFOklCTS5JUV9HRU5FUkFMX1BBUlRORVJfTUlOT1JJVFlfSU5URVJFU1QuOTk5LjQvMS8yMDI1Li4uVVNELkgBAAAA3rYBAAMAAAAAAGYb/Xy5c90IArjv8cFz3QhHQ0lRLk5ZU0U6SUJNLklRX0dFTkVSQUxfUEFSVE5FUl9NSU5PUklUWV9JTlRFUkVTVC4xMDAwLjQvMS8yMDI1Li4uVVNELkgBAAAA3rYBAAMAAAAAAGYb/Xy5c90IArjv8cFz3QhHQ0lRLk5ZU0U6SUJNLklRX0dFTkVSQUxfUEFSVE5FUl9NSU5PUklUWV9JTlRFUkVTVC4yMDAwLjQvMS8yMDI1Li4uVVNELkgBAAAA3rYBAAMAAAAAAGYb/Xy5c90IArjv8cFz3QhDQ0lRLk5ZU0U6SUJNLklRX1RPVEFMX0dFTkVSQUxfUEFSVE5FUl9JTlRFUkVTVC45OTAuNC8xLzIwMjUuLi5VU0QuSAEAAADetgEAAwAAAAAAZhv9fLlz3QgCuO/xwXPdCEZDSVEuTllTRTpJQk0uSVFfR0VORVJBTF9QQVJUTkVSX01JTk9SSVRZX0lOVEVSRVNULjk5My40LzEvMjAyNS4uLlVTRC5IAQAAAN62AQADAAAAAABmG/18uXPdCAK47/HBc90IRkNJUS5OWVNFOklCTS5JUV9HRU5FUkFMX1BBUlRORVJfTUlOT1JJVFlfSU5U</t>
  </si>
  <si>
    <t>RVJFU1QuOTk0LjQvMS8yMDI1Li4uVVNELkgBAAAA3rYBAAMAAAAAAGYb/Xy5c90IArjv8cFz3QhGQ0lRLk5ZU0U6SUJNLklRX0dFTkVSQUxfUEFSVE5FUl9NSU5PUklUWV9JTlRFUkVTVC45OTUuNC8xLzIwMjUuLi5VU0QuSAEAAADetgEAAwAAAAAAZhv9fLlz3QgCuO/xwXPdCEZDSVEuTllTRTpJQk0uSVFfR0VORVJBTF9QQVJUTkVSX01JTk9SSVRZX0lOVEVSRVNULjk5Ni40LzEvMjAyNS4uLlVTRC5IAQAAAN62AQADAAAAAABmG/18uXPdCAK47/HBc90IRkNJUS5OWVNFOklCTS5JUV9HRU5FUkFMX1BBUlRORVJfTUlOT1JJVFlfSU5URVJFU1QuOTk3LjQvMS8yMDI1Li4uVVNELkgBAAAA3rYBAAMAAAAAAGYb/Xy5c90IArjv8cFz3QhBQ0lRLk5ZU0U6SUJNLklRX0dFTkVSQUxfUEFSVE5FUl9QUkVGX0VRVUlUWS4xMDAwLjQvMS8yMDI1Li4uVVNELkgBAAAA3rYBAAMAAAAAAGYb/Xy5c90IArjv8cFz3QhBQ0lRLk5ZU0U6SUJNLklRX0dFTkVSQUxfUEFSVE5FUl9QUkVGX0VRVUlUWS4yMDAwLjQvMS8yMDI1Li4uVVNELkgBAAAA3rYBAAMAAAAAAGYb/Xy5c90IArjv8cFz3QhGQ0lRLk5ZU0U6SUJNLklRX0dFTkVSQUxfUEFSVE5FUl9NSU5PUklUWV9JTlRFUkVTVC45OTAuNC8xLzIwMjUuLi5VU0QuSAEAAADetgEAAwAAAAAAZhv9fLlz3QgCuO/xwXPdCEZDSVEuTllTRTpJQk0uSVFfR0VORVJBTF9QQVJU</t>
  </si>
  <si>
    <t>TkVSX01JTk9SSVRZX0lOVEVSRVNULjk5MS40LzEvMjAyNS4uLlVTRC5IAQAAAN62AQADAAAAAABmG/18uXPdCAK47/HBc90IRkNJUS5OWVNFOklCTS5JUV9HRU5FUkFMX1BBUlRORVJfTUlOT1JJVFlfSU5URVJFU1QuOTkyLjQvMS8yMDI1Li4uVVNELkgBAAAA3rYBAAMAAAAAAGYb/Xy5c90IArjv8cFz3QhAQ0lRLk5ZU0U6SUJNLklRX0dFTkVSQUxfUEFSVE5FUl9QUkVGX0VRVUlUWS45OTUuNC8xLzIwMjUuLi5VU0QuSAEAAADetgEAAwAAAAAAZhv9fLlz3QgCuO/xwXPdCEBDSVEuTllTRTpJQk0uSVFfR0VORVJBTF9QQVJUTkVSX1BSRUZfRVFVSVRZLjk5Ni40LzEvMjAyNS4uLlVTRC5IAQAAAN62AQADAAAAAABmG/18uXPdCAK47/HBc90IQENJUS5OWVNFOklCTS5JUV9HRU5FUkFMX1BBUlRORVJfUFJFRl9FUVVJVFkuOTk3LjQvMS8yMDI1Li4uVVNELkgBAAAA3rYBAAMAAAAAAGYb/Xy5c90IArjv8cFz3QhAQ0lRLk5ZU0U6SUJNLklRX0dFTkVSQUxfUEFSVE5FUl9QUkVGX0VRVUlUWS45OTguNC8xLzIwMjUuLi5VU0QuSAEAAADetgEAAwAAAAAAZhv9fLlz3QgCuO/xwXPdCEBDSVEuTllTRTpJQk0uSVFfR0VORVJBTF9QQVJUTkVSX1BSRUZfRVFVSVRZLjk5OS40LzEvMjAyNS4uLlVTRC5IAQAAAN62AQADAAAAAABmG/18uXPdCAK47/HBc90IQENJUS5OWVNFOklCTS5JUV9HRU5FUkFMX1BBUlRORVJf</t>
  </si>
  <si>
    <t>UFJFRl9FUVVJVFkuOTkwLjQvMS8yMDI1Li4uVVNELkgBAAAA3rYBAAMAAAAAAGYb/Xy5c90IArjv8cFz3QhAQ0lRLk5ZU0U6SUJNLklRX0dFTkVSQUxfUEFSVE5FUl9QUkVGX0VRVUlUWS45OTEuNC8xLzIwMjUuLi5VU0QuSAEAAADetgEAAwAAAAAAZhv9fLlz3QgCuO/xwXPdCEBDSVEuTllTRTpJQk0uSVFfR0VORVJBTF9QQVJUTkVSX1BSRUZfRVFVSVRZLjk5Mi40LzEvMjAyNS4uLlVTRC5IAQAAAN62AQADAAAAAABmG/18uXPdCFsG8PHBc90IQENJUS5OWVNFOklCTS5JUV9HRU5FUkFMX1BBUlRORVJfUFJFRl9FUVVJVFkuOTkzLjQvMS8yMDI1Li4uVVNELkgBAAAA3rYBAAMAAAAAAGYb/Xy5c90IWwbw8cFz3QhAQ0lRLk5ZU0U6SUJNLklRX0dFTkVSQUxfUEFSVE5FUl9QUkVGX0VRVUlUWS45OTQuNC8xLzIwMjUuLi5VU0QuSAEAAADetgEAAwAAAAAAZhv9fLlz3QhbBvDxwXPdCEJDSVEuTllTRTpJQk0uSVFfR0VORVJBTF9QQVJUTkVSX0NPTU1PTl9FUVVJVFkuOTk3LjQvMS8yMDI1Li4uVVNELkgBAAAA3rYBAAMAAAAAAGYb/Xy5c90IWwbw8cFz3QhCQ0lRLk5ZU0U6SUJNLklRX0dFTkVSQUxfUEFSVE5FUl9DT01NT05fRVFVSVRZLjk5OC40LzEvMjAyNS4uLlVTRC5IAQAAAN62AQADAAAAAABmG/18uXPdCFsG8PHBc90IQkNJUS5OWVNFOklCTS5JUV9HRU5FUkFMX1BBUlRORVJfQ09NTU9OX0VRVUlU</t>
  </si>
  <si>
    <t>WS45OTkuNC8xLzIwMjUuLi5VU0QuSAEAAADetgEAAwAAAAAAZhv9fLlz3QhbBvDxwXPdCENDSVEuTllTRTpJQk0uSVFfR0VORVJBTF9QQVJUTkVSX0NPTU1PTl9FUVVJVFkuMTAwMC40LzEvMjAyNS4uLlVTRC5IAQAAAN62AQADAAAAAABmG/18uXPdCFsG8PHBc90IQ0NJUS5OWVNFOklCTS5JUV9HRU5FUkFMX1BBUlRORVJfQ09NTU9OX0VRVUlUWS4yMDAwLjQvMS8yMDI1Li4uVVNELkgBAAAA3rYBAAMAAAAAAGYb/Xy5c90IWwbw8cFz3QhCQ0lRLk5ZU0U6SUJNLklRX0dFTkVSQUxfUEFSVE5FUl9DT01NT05fRVFVSVRZLjk5Mi40LzEvMjAyNS4uLlVTRC5IAQAAAN62AQADAAAAAABmG/18uXPdCFsG8PHBc90IQkNJUS5OWVNFOklCTS5JUV9HRU5FUkFMX1BBUlRORVJfQ09NTU9OX0VRVUlUWS45OTMuNC8xLzIwMjUuLi5VU0QuSAEAAADetgEAAwAAAAAAZhv9fLlz3QhbBvDxwXPdCEJDSVEuTllTRTpJQk0uSVFfR0VORVJBTF9QQVJUTkVSX0NPTU1PTl9FUVVJVFkuOTk0LjQvMS8yMDI1Li4uVVNELkgBAAAA3rYBAAMAAAAAAGYb/Xy5c90IWwbw8cFz3QhCQ0lRLk5ZU0U6SUJNLklRX0dFTkVSQUxfUEFSVE5FUl9DT01NT05fRVFVSVRZLjk5NS40LzEvMjAyNS4uLlVTRC5IAQAAAN62AQADAAAAAABmG/18uXPdCFsG8PHBc90IQkNJUS5OWVNFOklCTS5JUV9HRU5FUkFMX1BBUlRORVJfQ09NTU9OX0VRVUlU</t>
  </si>
  <si>
    <t>WS45OTYuNC8xLzIwMjUuLi5VU0QuSAEAAADetgEAAwAAAAAAZhv9fLlz3QhbBvDxwXPdCEBDSVEuTllTRTpJQk0uSVFfREVGX1RBWF9WQUxVQVRJT05fQUxMT1dBTkNFLjk5OS40LzEvMjAyNS4uLlVTRC5IAQAAAN62AQACAAAAAzc2NQEIAAAABQAAAAExAQAAAAstMTk1ODI4MTA5NQMAAAADMTYwAgAAAAU0NjA0NQQAAAABMAcAAAAINC8xLzIwMjUIAAAACjEyLzMxLzIwMjMJAAAAATBmG/18uXPdCFsG8PHBc90IQUNJUS5OWVNFOklCTS5JUV9ERUZfVEFYX1ZBTFVBVElPTl9BTExPV0FOQ0UuMTAwMC40LzEvMjAyNS4uLlVTRC5IAQAAAN62AQACAAAABDEyMjMBCAAAAAUAAAABMQEAAAALLTE5NTgyODEwOTcDAAAAAzE2MAIAAAAFNDYwNDUEAAAAATAHAAAACDQvMS8yMDI1CAAAAAoxMi8zMS8yMDI0CQAAAAEwZhv9fLlz3QhbBvDxwXPdCEFDSVEuTllTRTpJQk0uSVFfREVGX1RBWF9WQUxVQVRJT05fQUxMT1dBTkNFLjIwMDAuNC8xLzIwMjUuLi5VU0QuSAEAAADetgEAAgAAAAQxMjIzAQgAAAAFAAAAATEBAAAACy0xOTU4MjgwNjE1AwAAAAMxNjACAAAABTQ2MDQ1BAAAAAEwBwAAAAg0LzEvMjAyNQgAAAAKMTIvMzEvMjAyNAkAAAABMGYb/Xy5c90IWwbw8cFz3QhCQ0lRLk5ZU0U6SUJNLklRX0dFTkVSQUxfUEFSVE5FUl9DT01NT05fRVFVSVRZLjk5MC40LzEvMjAyNS4uLlVTRC5IAQAAAN62AQADAAAA</t>
  </si>
  <si>
    <t>AABmG/18uXPdCFsG8PHBc90IQkNJUS5OWVNFOklCTS5JUV9HRU5FUkFMX1BBUlRORVJfQ09NTU9OX0VRVUlUWS45OTEuNC8xLzIwMjUuLi5VU0QuSAEAAADetgEAAwAAAAAAZhv9fLlz3QhbBvDxwXPdCEBDSVEuTllTRTpJQk0uSVFfREVGX1RBWF9WQUxVQVRJT05fQUxMT1dBTkNFLjk5NC40LzEvMjAyNS4uLlVTRC5IAQAAAN62AQACAAAAAzkxNQEIAAAABQAAAAExAQAAAAoyMDgxNTA1NDAxAwAAAAMxNjACAAAABTQ2MDQ1BAAAAAEwBwAAAAg0LzEvMjAyNQgAAAAKMTIvMzEvMjAxOAkAAAABMGYb/Xy5c90IWwbw8cFz3QhAQ0lRLk5ZU0U6SUJNLklRX0RFRl9UQVhfVkFMVUFUSU9OX0FMTE9XQU5DRS45OTUuNC8xLzIwMjUuLi5VU0QuSAEAAADetgEAAgAAAAM2MDgBCAAAAAUAAAABMQEAAAALLTIxMTA3NjkzNTUDAAAAAzE2MAIAAAAFNDYwNDUEAAAAATAHAAAACDQvMS8yMDI1CAAAAAoxMi8zMS8yMDE5CQAAAAEwZhv9fLlz3QhbBvDxwXPdCEBDSVEuTllTRTpJQk0uSVFfREVGX1RBWF9WQUxVQVRJT05fQUxMT1dBTkNFLjk5Ni40LzEvMjAyNS4uLlVTRC5IAQAAAN62AQACAAAAAzg1MAEIAAAABQAAAAExAQAAAAstMjA1OTA3MzIwMgMAAAADMTYwAgAAAAU0NjA0NQQAAAABMAcAAAAINC8xLzIwMjUIAAAACjEyLzMxLzIwMjAJAAAAATBmG/18uXPdCFsG8PHBc90IQENJUS5OWVNFOklCTS5JUV9ERUZf</t>
  </si>
  <si>
    <t>VEFYX1ZBTFVBVElPTl9BTExPV0FOQ0UuOTk3LjQvMS8yMDI1Li4uVVNELkgBAAAA3rYBAAIAAAADODgzAQgAAAAFAAAAATEBAAAACy0yMDA4NjQ3MTk4AwAAAAMxNjACAAAABTQ2MDQ1BAAAAAEwBwAAAAg0LzEvMjAyNQgAAAAKMTIvMzEvMjAyMQkAAAABMGYb/Xy5c90IWwbw8cFz3QhAQ0lRLk5ZU0U6SUJNLklRX0RFRl9UQVhfVkFMVUFUSU9OX0FMTE9XQU5DRS45OTguNC8xLzIwMjUuLi5VU0QuSAEAAADetgEAAgAAAAM3NzABCAAAAAUAAAABMQEAAAALLTE5NTgyODEwOTYDAAAAAzE2MAIAAAAFNDYwNDUEAAAAATAHAAAACDQvMS8yMDI1CAAAAAoxMi8zMS8yMDIyCQAAAAEwZhv9fLlz3QhbBvDxwXPdCD9DSVEuTllTRTpJQk0uSVFfRklOX0RJVl9NSU5PUklUWV9JTlRFUkVTVC4yMDAwLjQvMS8yMDI1Li4uVVNELkgBAAAA3rYBAAMAAAAAAGYb/Xy5c90IWwbw8cFz3QhAQ0lRLk5ZU0U6SUJNLklRX0RFRl9UQVhfVkFMVUFUSU9OX0FMTE9XQU5DRS45OTAuNC8xLzIwMjUuLi5VU0QuSAEAAADetgEAAgAAAAM2NDYBCAAAAAUAAAABMQEAAAAKMTgyOTkxMTk2OAMAAAADMTYwAgAAAAU0NjA0NQQAAAABMAcAAAAINC8xLzIwMjUIAAAACjEyLzMxLzIwMTQJAAAAATBmG/18uXPdCFsG8PHBc90IQENJUS5OWVNFOklCTS5JUV9ERUZfVEFYX1ZBTFVBVElPTl9BTExPV0FOQ0UuOTkxLjQvMS8yMDI1Li4uVVNE</t>
  </si>
  <si>
    <t>LkgBAAAA3rYBAAIAAAADNzQwAQgAAAAFAAAAATEBAAAACjE4NzY0MzI4NzIDAAAAAzE2MAIAAAAFNDYwNDUEAAAAATAHAAAACDQvMS8yMDI1CAAAAAoxMi8zMS8yMDE1CQAAAAEwZhv9fLlz3QhbBvDxwXPdCEBDSVEuTllTRTpJQk0uSVFfREVGX1RBWF9WQUxVQVRJT05fQUxMT1dBTkNFLjk5Mi40LzEvMjAyNS4uLlVTRC5IAQAAAN62AQACAAAAAzkxNgEIAAAABQAAAAExAQAAAAoxOTQ3MTc5NTgzAwAAAAMxNjACAAAABTQ2MDQ1BAAAAAEwBwAAAAg0LzEvMjAyNQgAAAAKMTIvMzEvMjAxNgkAAAABMGYb/Xy5c90IWwbw8cFz3QhAQ0lRLk5ZU0U6SUJNLklRX0RFRl9UQVhfVkFMVUFUSU9OX0FMTE9XQU5DRS45OTMuNC8xLzIwMjUuLi5VU0QuSAEAAADetgEAAgAAAAQxMDA0AQgAAAAFAAAAATEBAAAACjIwMTcxNjQyNDQDAAAAAzE2MAIAAAAFNDYwNDUEAAAAATAHAAAACDQvMS8yMDI1CAAAAAoxMi8zMS8yMDE3CQAAAAEwZhv9fLlz3QhbBvDxwXPdCD5DSVEuTllTRTpJQk0uSVFfRklOX0RJVl9NSU5PUklUWV9JTlRFUkVTVC45OTYuNC8xLzIwMjUuLi5VU0QuSAEAAADetgEAAwAAAAAAZhv9fLlz3QhbBvDxwXPdCD5DSVEuTllTRTpJQk0uSVFfRklOX0RJVl9NSU5PUklUWV9JTlRFUkVTVC45OTcuNC8xLzIwMjUuLi5VU0QuSAEAAADetgEAAwAAAAAAZhv9fLlz3QhbBvDxwXPdCD5DSVEuTllTRTpJQk0u</t>
  </si>
  <si>
    <t>SVFfRklOX0RJVl9NSU5PUklUWV9JTlRFUkVTVC45OTguNC8xLzIwMjUuLi5VU0QuSAEAAADetgEAAwAAAAAAZhv9fLlz3QhbBvDxwXPdCD5DSVEuTllTRTpJQk0uSVFfRklOX0RJVl9NSU5PUklUWV9JTlRFUkVTVC45OTkuNC8xLzIwMjUuLi5VU0QuSAEAAADetgEAAwAAAAAAZhv9fLlz3QhbBvDxwXPdCD9DSVEuTllTRTpJQk0uSVFfRklOX0RJVl9NSU5PUklUWV9JTlRFUkVTVC4xMDAwLjQvMS8yMDI1Li4uVVNELkgBAAAA3rYBAAMAAAAAAGYb/Xy5c90IWwbw8cFz3Qg+Q0lRLk5ZU0U6SUJNLklRX0ZJTl9ESVZfTUlOT1JJVFlfSU5URVJFU1QuOTkxLjQvMS8yMDI1Li4uVVNELkgBAAAA3rYBAAMAAAAAAGYb/Xy5c90IWwbw8cFz3Qg+Q0lRLk5ZU0U6SUJNLklRX0ZJTl9ESVZfTUlOT1JJVFlfSU5URVJFU1QuOTkyLjQvMS8yMDI1Li4uVVNELkgBAAAA3rYBAAMAAAAAAGYb/Xy5c90IWwbw8cFz3Qg+Q0lRLk5ZU0U6SUJNLklRX0ZJTl9ESVZfTUlOT1JJVFlfSU5URVJFU1QuOTkzLjQvMS8yMDI1Li4uVVNELkgBAAAA3rYBAAMAAAAAAGYb/Xy5c90IWwbw8cFz3Qg+Q0lRLk5ZU0U6SUJNLklRX0ZJTl9ESVZfTUlOT1JJVFlfSU5URVJFU1QuOTk0LjQvMS8yMDI1Li4uVVNELkgBAAAA3rYBAAMAAAAAAGYb/Xy5c90IWwbw8cFz3Qg+Q0lRLk5ZU0U6SUJNLklRX0ZJTl9ESVZfTUlOT1JJVFlfSU5URVJFU1Qu</t>
  </si>
  <si>
    <t>OTk1LjQvMS8yMDI1Li4uVVNELkgBAAAA3rYBAAMAAAAAAGYb/Xy5c90IWwbw8cFz3Qg8Q0lRLk5ZU0U6SUJNLklRX01JTk9SSVRZX0lOVF9SRURFRU1fVE9ULjk5OC40LzEvMjAyNS4uLlVTRC5IAQAAAN62AQADAAAAAABmG/18uXPdCFsG8PHBc90IPENJUS5OWVNFOklCTS5JUV9NSU5PUklUWV9JTlRfUkVERUVNX1RPVC45OTkuNC8xLzIwMjUuLi5VU0QuSAEAAADetgEAAwAAAAAAZhv9fLlz3QhbBvDxwXPdCD1DSVEuTllTRTpJQk0uSVFfTUlOT1JJVFlfSU5UX1JFREVFTV9UT1QuMTAwMC40LzEvMjAyNS4uLlVTRC5IAQAAAN62AQADAAAAAABmG/18uXPdCFsG8PHBc90IPUNJUS5OWVNFOklCTS5JUV9NSU5PUklUWV9JTlRfUkVERUVNX1RPVC4yMDAwLjQvMS8yMDI1Li4uVVNELkgBAAAA3rYBAAMAAAAAAGYb/Xy5c90IWwbw8cFz3Qg+Q0lRLk5ZU0U6SUJNLklRX0ZJTl9ESVZfTUlOT1JJVFlfSU5URVJFU1QuOTkwLjQvMS8yMDI1Li4uVVNELkgBAAAA3rYBAAMAAAAAAGYb/Xy5c90IWwbw8cFz3Qg8Q0lRLk5ZU0U6SUJNLklRX01JTk9SSVRZX0lOVF9SRURFRU1fVE9ULjk5My40LzEvMjAyNS4uLlVTRC5IAQAAAN62AQADAAAAAABmG/18uXPdCFsG8PHBc90IPENJUS5OWVNFOklCTS5JUV9NSU5PUklUWV9JTlRfUkVERUVNX1RPVC45OTQuNC8xLzIwMjUuLi5VU0QuSAEAAADetgEAAwAAAAAAZhv9fLlz</t>
  </si>
  <si>
    <t>3QiyVPDxwXPdCDxDSVEuTllTRTpJQk0uSVFfTUlOT1JJVFlfSU5UX1JFREVFTV9UT1QuOTk1LjQvMS8yMDI1Li4uVVNELkgBAAAA3rYBAAMAAAAAAGYb/Xy5c90IslTw8cFz3Qg8Q0lRLk5ZU0U6SUJNLklRX01JTk9SSVRZX0lOVF9SRURFRU1fVE9ULjk5Ni40LzEvMjAyNS4uLlVTRC5IAQAAAN62AQADAAAAAABmG/18uXPdCLJU8PHBc90IPENJUS5OWVNFOklCTS5JUV9NSU5PUklUWV9JTlRfUkVERUVNX1RPVC45OTcuNC8xLzIwMjUuLi5VU0QuSAEAAADetgEAAwAAAAAAZhv9fLlz3QiyVPDxwXPdCEFDSVEuTllTRTpJQk0uSVFfRklOX0RJVl9NSU5PUklUWV9JTlRfUkVERUVNLjEwMDAuNC8xLzIwMjUuLi5VU0QuSAEAAADetgEAAwAAAAAAZhv9fLlz3QiyVPDxwXPdCEFDSVEuTllTRTpJQk0uSVFfRklOX0RJVl9NSU5PUklUWV9JTlRfUkVERUVNLjIwMDAuNC8xLzIwMjUuLi5VU0QuSAEAAADetgEAAwAAAAAAZhv9fLlz3QiyVPDxwXPdCDxDSVEuTllTRTpJQk0uSVFfTUlOT1JJVFlfSU5UX1JFREVFTV9UT1QuOTkwLjQvMS8yMDI1Li4uVVNELkgBAAAA3rYBAAMAAAAAAGYb/Xy5c90IslTw8cFz3Qg8Q0lRLk5ZU0U6SUJNLklRX01JTk9SSVRZX0lOVF9SRURFRU1fVE9ULjk5MS40LzEvMjAyNS4uLlVTRC5IAQAAAN62AQADAAAAAABmG/18uXPdCLJU8PHBc90IPENJUS5OWVNFOklCTS5JUV9NSU5PUklU</t>
  </si>
  <si>
    <t>WV9JTlRfUkVERUVNX1RPVC45OTIuNC8xLzIwMjUuLi5VU0QuSAEAAADetgEAAwAAAAAAZhv9fLlz3QiyVPDxwXPdCEBDSVEuTllTRTpJQk0uSVFfRklOX0RJVl9NSU5PUklUWV9JTlRfUkVERUVNLjk5NS40LzEvMjAyNS4uLlVTRC5IAQAAAN62AQADAAAAAABmG/18uXPdCLJU8PHBc90IQENJUS5OWVNFOklCTS5JUV9GSU5fRElWX01JTk9SSVRZX0lOVF9SRURFRU0uOTk2LjQvMS8yMDI1Li4uVVNELkgBAAAA3rYBAAMAAAAAAGYb/Xy5c90IslTw8cFz3QhAQ0lRLk5ZU0U6SUJNLklRX0ZJTl9ESVZfTUlOT1JJVFlfSU5UX1JFREVFTS45OTcuNC8xLzIwMjUuLi5VU0QuSAEAAADetgEAAwAAAAAAZhv9fLlz3QiyVPDxwXPdCEBDSVEuTllTRTpJQk0uSVFfRklOX0RJVl9NSU5PUklUWV9JTlRfUkVERUVNLjk5OC40LzEvMjAyNS4uLlVTRC5IAQAAAN62AQADAAAAAABmG/18uXPdCLJU8PHBc90IQENJUS5OWVNFOklCTS5JUV9GSU5fRElWX01JTk9SSVRZX0lOVF9SRURFRU0uOTk5LjQvMS8yMDI1Li4uVVNELkgBAAAA3rYBAAMAAAAAAGYb/Xy5c90IslTw8cFz3QhAQ0lRLk5ZU0U6SUJNLklRX0ZJTl9ESVZfTUlOT1JJVFlfSU5UX1JFREVFTS45OTAuNC8xLzIwMjUuLi5VU0QuSAEAAADetgEAAwAAAAAAZhv9fLlz3QiyVPDxwXPdCEBDSVEuTllTRTpJQk0uSVFfRklOX0RJVl9NSU5PUklUWV9JTlRfUkVERUVN</t>
  </si>
  <si>
    <t>Ljk5MS40LzEvMjAyNS4uLlVTRC5IAQAAAN62AQADAAAAAABmG/18uXPdCLJU8PHBc90IQENJUS5OWVNFOklCTS5JUV9GSU5fRElWX01JTk9SSVRZX0lOVF9SRURFRU0uOTkyLjQvMS8yMDI1Li4uVVNELkgBAAAA3rYBAAMAAAAAAGYb/Xy5c90IslTw8cFz3QhAQ0lRLk5ZU0U6SUJNLklRX0ZJTl9ESVZfTUlOT1JJVFlfSU5UX1JFREVFTS45OTMuNC8xLzIwMjUuLi5VU0QuSAEAAADetgEAAwAAAAAAZhv9fLlz3QiyVPDxwXPdCEBDSVEuTllTRTpJQk0uSVFfRklOX0RJVl9NSU5PUklUWV9JTlRfUkVERUVNLjk5NC40LzEvMjAyNS4uLlVTRC5IAQAAAN62AQADAAAAAABmG/18uXPdCLJU8PHBc90IOENJUS5OWVNFOklCTS5JUV9NSU5PUklUWV9JTlRfUkVERUVNLjk5Ny40LzEvMjAyNS4uLlVTRC5IAQAAAN62AQADAAAAAABmG/18uXPdCLJU8PHBc90IOENJUS5OWVNFOklCTS5JUV9NSU5PUklUWV9JTlRfUkVERUVNLjk5OC40LzEvMjAyNS4uLlVTRC5IAQAAAN62AQADAAAAAABmG/18uXPdCLJU8PHBc90IOENJUS5OWVNFOklCTS5JUV9NSU5PUklUWV9JTlRfUkVERUVNLjk5OS40LzEvMjAyNS4uLlVTRC5IAQAAAN62AQADAAAAAABmG/18uXPdCLJU8PHBc90IOUNJUS5OWVNFOklCTS5JUV9NSU5PUklUWV9JTlRfUkVERUVNLjEwMDAuNC8xLzIwMjUuLi5VU0QuSAEAAADetgEAAwAAAAAAZhv9fLlz3QiyVPDx</t>
  </si>
  <si>
    <t>wXPdCDlDSVEuTllTRTpJQk0uSVFfTUlOT1JJVFlfSU5UX1JFREVFTS4yMDAwLjQvMS8yMDI1Li4uVVNELkgBAAAA3rYBAAMAAAAAAGYb/Xy5c90IslTw8cFz3Qg4Q0lRLk5ZU0U6SUJNLklRX01JTk9SSVRZX0lOVF9SRURFRU0uOTkyLjQvMS8yMDI1Li4uVVNELkgBAAAA3rYBAAMAAAAAAGYb/Xy5c90IslTw8cFz3Qg4Q0lRLk5ZU0U6SUJNLklRX01JTk9SSVRZX0lOVF9SRURFRU0uOTkzLjQvMS8yMDI1Li4uVVNELkgBAAAA3rYBAAMAAAAAAGYb/Xy5c90IslTw8cFz3Qg4Q0lRLk5ZU0U6SUJNLklRX01JTk9SSVRZX0lOVF9SRURFRU0uOTk0LjQvMS8yMDI1Li4uVVNELkgBAAAA3rYBAAMAAAAAAGYb/Xy5c90IslTw8cFz3Qg4Q0lRLk5ZU0U6SUJNLklRX01JTk9SSVRZX0lOVF9SRURFRU0uOTk1LjQvMS8yMDI1Li4uVVNELkgBAAAA3rYBAAMAAAAAAGYb/Xy5c90IslTw8cFz3Qg4Q0lRLk5ZU0U6SUJNLklRX01JTk9SSVRZX0lOVF9SRURFRU0uOTk2LjQvMS8yMDI1Li4uVVNELkgBAAAA3rYBAAMAAAAAAGYb/Xy5c90IslTw8cFz3Qg6Q0lRLk5ZU0U6SUJNLklRX0xFQVNFSE9MRF9JTVBST1ZFTUVOVC45OTkuNC8xLzIwMjUuLi5VU0QuSAEAAADetgEAAwAAAAAAZhv9fLlz3QiyVPDxwXPdCDtDSVEuTllTRTpJQk0uSVFfTEVBU0VIT0xEX0lNUFJPVkVNRU5ULjEwMDAuNC8xLzIwMjUuLi5VU0QuSAEAAADe</t>
  </si>
  <si>
    <t>tgEAAwAAAAAAZhv9fLlz3QiyVPDxwXPdCDtDSVEuTllTRTpJQk0uSVFfTEVBU0VIT0xEX0lNUFJPVkVNRU5ULjIwMDAuNC8xLzIwMjUuLi5VU0QuSAEAAADetgEAAwAAAAAAZhv9fLlz3QiyVPDxwXPdCDhDSVEuTllTRTpJQk0uSVFfTUlOT1JJVFlfSU5UX1JFREVFTS45OTAuNC8xLzIwMjUuLi5VU0QuSAEAAADetgEAAwAAAAAAZhv9fLlz3QiyVPDxwXPdCDhDSVEuTllTRTpJQk0uSVFfTUlOT1JJVFlfSU5UX1JFREVFTS45OTEuNC8xLzIwMjUuLi5VU0QuSAEAAADetgEAAwAAAAAAZhv9fLlz3QiyVPDxwXPdCDpDSVEuTllTRTpJQk0uSVFfTEVBU0VIT0xEX0lNUFJPVkVNRU5ULjk5NC40LzEvMjAyNS4uLlVTRC5IAQAAAN62AQADAAAAAABmG/18uXPdCLJU8PHBc90IOkNJUS5OWVNFOklCTS5JUV9MRUFTRUhPTERfSU1QUk9WRU1FTlQuOTk1LjQvMS8yMDI1Li4uVVNELkgBAAAA3rYBAAMAAAAAAGYb/Xy5c90IslTw8cFz3Qg6Q0lRLk5ZU0U6SUJNLklRX0xFQVNFSE9MRF9JTVBST1ZFTUVOVC45OTYuNC8xLzIwMjUuLi5VU0QuSAEAAADetgEAAwAAAAAAZhv9fLlz3QiyVPDxwXPdCDpDSVEuTllTRTpJQk0uSVFfTEVBU0VIT0xEX0lNUFJPVkVNRU5ULjk5Ny40LzEvMjAyNS4uLlVTRC5IAQAAAN62AQADAAAAAABmG/18uXPdCLJU8PHBc90IOkNJUS5OWVNFOklCTS5JUV9MRUFTRUhPTERfSU1QUk9WRU1F</t>
  </si>
  <si>
    <t>TlQuOTk4LjQvMS8yMDI1Li4uVVNELkgBAAAA3rYBAAMAAAAAAGYb/Xy5c90IslTw8cFz3QgpQ0lRLk5ZU0U6SUJNLklRX0NJUC4yMDAwLjQvMS8yMDI1Li4uVVNELkgBAAAA3rYBAAMAAAAAAGYb/Xy5c90IslTw8cFz3Qg6Q0lRLk5ZU0U6SUJNLklRX0xFQVNFSE9MRF9JTVBST1ZFTUVOVC45OTAuNC8xLzIwMjUuLi5VU0QuSAEAAADetgEAAwAAAAAAZhv9fLlz3QiyVPDxwXPdCDpDSVEuTllTRTpJQk0uSVFfTEVBU0VIT0xEX0lNUFJPVkVNRU5ULjk5MS40LzEvMjAyNS4uLlVTRC5IAQAAAN62AQADAAAAAABmG/18uXPdCLJU8PHBc90IOkNJUS5OWVNFOklCTS5JUV9MRUFTRUhPTERfSU1QUk9WRU1FTlQuOTkyLjQvMS8yMDI1Li4uVVNELkgBAAAA3rYBAAMAAAAAAGYb/Xy5c90IslTw8cFz3Qg6Q0lRLk5ZU0U6SUJNLklRX0xFQVNFSE9MRF9JTVBST1ZFTUVOVC45OTMuNC8xLzIwMjUuLi5VU0QuSAEAAADetgEAAwAAAAAAZhv9fLlz3QiyVPDxwXPdCChDSVEuTllTRTpJQk0uSVFfQ0lQLjk5Ni40LzEvMjAyNS4uLlVTRC5IAQAAAN62AQADAAAAAABmG/18uXPdCLJU8PHBc90IKENJUS5OWVNFOklCTS5JUV9DSVAuOTk3LjQvMS8yMDI1Li4uVVNELkgBAAAA3rYBAAMAAAAAAGYb/Xy5c90IslTw8cFz3QgoQ0lRLk5ZU0U6SUJNLklRX0NJUC45OTguNC8xLzIwMjUuLi5VU0QuSAEAAADetgEAAwAAAAAAZhv9</t>
  </si>
  <si>
    <t>fLlz3Qj1svDxwXPdCChDSVEuTllTRTpJQk0uSVFfQ0lQLjk5OS40LzEvMjAyNS4uLlVTRC5IAQAAAN62AQADAAAAAABmG/18uXPdCPWy8PHBc90IKUNJUS5OWVNFOklCTS5JUV9DSVAuMTAwMC40LzEvMjAyNS4uLlVTRC5IAQAAAN62AQADAAAAAABmG/18uXPdCPWy8PHBc90IKENJUS5OWVNFOklCTS5JUV9DSVAuOTkxLjQvMS8yMDI1Li4uVVNELkgBAAAA3rYBAAMAAAAAAGYb/Xy5c90I9bLw8cFz3QgoQ0lRLk5ZU0U6SUJNLklRX0NJUC45OTIuNC8xLzIwMjUuLi5VU0QuSAEAAADetgEAAwAAAAAAZhv9fLlz3Qj1svDxwXPdCChDSVEuTllTRTpJQk0uSVFfQ0lQLjk5My40LzEvMjAyNS4uLlVTRC5IAQAAAN62AQADAAAAAABmG/18uXPdCPWy8PHBc90IKENJUS5OWVNFOklCTS5JUV9DSVAuOTk0LjQvMS8yMDI1Li4uVVNELkgBAAAA3rYBAAMAAAAAAGYb/Xy5c90I9bLw8cFz3QgoQ0lRLk5ZU0U6SUJNLklRX0NJUC45OTUuNC8xLzIwMjUuLi5VU0QuSAEAAADetgEAAwAAAAAAZhv9fLlz3Qj1svDxwXPdCDtDSVEuTllTRTpJQk0uSVFfTkFUVVJBTF9SRVNPVVJDRVNfQ09TVC45OTguNC8xLzIwMjUuLi5VU0QuSAEAAADetgEAAwAAAAAAZhv9fLlz3Qj1svDxwXPdCDtDSVEuTllTRTpJQk0uSVFfTkFUVVJBTF9SRVNPVVJDRVNfQ09TVC45OTkuNC8xLzIwMjUuLi5VU0QuSAEAAADetgEAAwAAAAAAZhv9fLlz</t>
  </si>
  <si>
    <t>3Qj1svDxwXPdCDxDSVEuTllTRTpJQk0uSVFfTkFUVVJBTF9SRVNPVVJDRVNfQ09TVC4xMDAwLjQvMS8yMDI1Li4uVVNELkgBAAAA3rYBAAMAAAAAAGYb/Xy5c90I9bLw8cFz3Qg8Q0lRLk5ZU0U6SUJNLklRX05BVFVSQUxfUkVTT1VSQ0VTX0NPU1QuMjAwMC40LzEvMjAyNS4uLlVTRC5IAQAAAN62AQADAAAAAABmG/18uXPdCPWy8PHBc90IKENJUS5OWVNFOklCTS5JUV9DSVAuOTkwLjQvMS8yMDI1Li4uVVNELkgBAAAA3rYBAAMAAAAAAGYb/Xy5c90I9bLw8cFz3Qg7Q0lRLk5ZU0U6SUJNLklRX05BVFVSQUxfUkVTT1VSQ0VTX0NPU1QuOTkzLjQvMS8yMDI1Li4uVVNELkgBAAAA3rYBAAMAAAAAAGYb/Xy5c90I9bLw8cFz3Qg7Q0lRLk5ZU0U6SUJNLklRX05BVFVSQUxfUkVTT1VSQ0VTX0NPU1QuOTk0LjQvMS8yMDI1Li4uVVNELkgBAAAA3rYBAAMAAAAAAGYb/Xy5c90I9bLw8cFz3Qg7Q0lRLk5ZU0U6SUJNLklRX05BVFVSQUxfUkVTT1VSQ0VTX0NPU1QuOTk1LjQvMS8yMDI1Li4uVVNELkgBAAAA3rYBAAMAAAAAAGYb/Xy5c90I9bLw8cFz3Qg7Q0lRLk5ZU0U6SUJNLklRX05BVFVSQUxfUkVTT1VSQ0VTX0NPU1QuOTk2LjQvMS8yMDI1Li4uVVNELkgBAAAA3rYBAAMAAAAAAGYb/Xy5c90I9bLw8cFz3Qg7Q0lRLk5ZU0U6SUJNLklRX05BVFVSQUxfUkVTT1VSQ0VTX0NPU1QuOTk3LjQvMS8yMDI1Li4uVVNE</t>
  </si>
  <si>
    <t>LkgBAAAA3rYBAAMAAAAAAGYb/Xy5c90I9bLw8cFz3QguQ0lRLk5ZU0U6SUJNLklRX1NPRlRXQVJFLjEwMDAuNC8xLzIwMjUuLi5VU0QuSAEAAADetgEAAgAAAAM3OTABCAAAAAUAAAABMQEAAAALLTE5NTgyODEwOTcDAAAAAzE2MAIAAAAEMTI0MwQAAAABMAcAAAAINC8xLzIwMjUIAAAACjEyLzMxLzIwMjQJAAAAATBmG/18uXPdCPWy8PHBc90ILkNJUS5OWVNFOklCTS5JUV9TT0ZUV0FSRS4yMDAwLjQvMS8yMDI1Li4uVVNELkgBAAAA3rYBAAIAAAADNzkwAQgAAAAFAAAAATEBAAAACy0xOTU4MjgwNjE1AwAAAAMxNjACAAAABDEyNDMEAAAAATAHAAAACDQvMS8yMDI1CAAAAAoxMi8zMS8yMDI0CQAAAAEwZhv9fLlz3Qj1svDxwXPdCDtDSVEuTllTRTpJQk0uSVFfTkFUVVJBTF9SRVNPVVJDRVNfQ09TVC45OTAuNC8xLzIwMjUuLi5VU0QuSAEAAADetgEAAwAAAAAAZhv9fLlz3Qj1svDxwXPdCDtDSVEuTllTRTpJQk0uSVFfTkFUVVJBTF9SRVNPVVJDRVNfQ09TVC45OTEuNC8xLzIwMjUuLi5VU0QuSAEAAADetgEAAwAAAAAAZhv9fLlz3Qj1svDxwXPdCDtDSVEuTllTRTpJQk0uSVFfTkFUVVJBTF9SRVNPVVJDRVNfQ09TVC45OTIuNC8xLzIwMjUuLi5VU0QuSAEAAADetgEAAwAAAAAAZhv9fLlz3Qj1svDxwXPdCC1DSVEuTllTRTpJQk0uSVFfU09GVFdBUkUuOTk1LjQvMS8yMDI1Li4uVVNELkgBAAAA3rYB</t>
  </si>
  <si>
    <t>AAIAAAAEMTAwNgEIAAAABQAAAAExAQAAAAstMjExMDc2OTM1NQMAAAADMTYwAgAAAAQxMjQzBAAAAAEwBwAAAAg0LzEvMjAyNQgAAAAKMTIvMzEvMjAxOQkAAAABMGYb/Xy5c90I9bLw8cFz3QgtQ0lRLk5ZU0U6SUJNLklRX1NPRlRXQVJFLjk5Ni40LzEvMjAyNS4uLlVTRC5IAQAAAN62AQACAAAAAzk2MwEIAAAABQAAAAExAQAAAAstMjA1OTA3MzIwMgMAAAADMTYwAgAAAAQxMjQzBAAAAAEwBwAAAAg0LzEvMjAyNQgAAAAKMTIvMzEvMjAyMAkAAAABMGYb/Xy5c90I9bLw8cFz3QgtQ0lRLk5ZU0U6SUJNLklRX1NPRlRXQVJFLjk5Ny40LzEvMjAyNS4uLlVTRC5IAQAAAN62AQACAAAAAzk0NQEIAAAABQAAAAExAQAAAAstMjAwODY0NzE5OAMAAAADMTYwAgAAAAQxMjQzBAAAAAEwBwAAAAg0LzEvMjAyNQgAAAAKMTIvMzEvMjAyMQkAAAABMGYb/Xy5c90I9bLw8cFz3QgtQ0lRLk5ZU0U6SUJNLklRX1NPRlRXQVJFLjk5OC40LzEvMjAyNS4uLlVTRC5IAQAAAN62AQACAAAAAzk0NQEIAAAABQAAAAExAQAAAAstMTk1ODI4MTA5NgMAAAADMTYwAgAAAAQxMjQzBAAAAAEwBwAAAAg0LzEvMjAyNQgAAAAKMTIvMzEvMjAyMgkAAAABMGYb/Xy5c90I9bLw8cFz3QgtQ0lRLk5ZU0U6SUJNLklRX1NPRlRXQVJFLjk5OS40LzEvMjAyNS4uLlVTRC5IAQAAAN62AQACAAAAAzg3NAEIAAAABQAAAAExAQAAAAstMTk1ODI4</t>
  </si>
  <si>
    <t>MTA5NQMAAAADMTYwAgAAAAQxMjQzBAAAAAEwBwAAAAg0LzEvMjAyNQgAAAAKMTIvMzEvMjAyMwkAAAABMGYb/Xy5c90I9bLw8cFz3QgtQ0lRLk5ZU0U6SUJNLklRX1NPRlRXQVJFLjk5MC40LzEvMjAyNS4uLlVTRC5IAQAAAN62AQACAAAAAzY5NgEIAAAABQAAAAExAQAAAAoxODI5OTExOTY4AwAAAAMxNjACAAAABDEyNDMEAAAAATAHAAAACDQvMS8yMDI1CAAAAAoxMi8zMS8yMDE0CQAAAAEwZhv9fLlz3Qj1svDxwXPdCC1DSVEuTllTRTpJQk0uSVFfU09GVFdBUkUuOTkxLjQvMS8yMDI1Li4uVVNELkgBAAAA3rYBAAIAAAADNzY3AQgAAAAFAAAAATEBAAAACjE4NzY0MzI4NzIDAAAAAzE2MAIAAAAEMTI0MwQAAAABMAcAAAAINC8xLzIwMjUIAAAACjEyLzMxLzIwMTUJAAAAATBmG/18uXPdCPWy8PHBc90ILUNJUS5OWVNFOklCTS5JUV9TT0ZUV0FSRS45OTIuNC8xLzIwMjUuLi5VU0QuSAEAAADetgEAAgAAAAM4NzYBCAAAAAUAAAABMQEAAAAKMTk0NzE3OTU4MwMAAAADMTYwAgAAAAQxMjQzBAAAAAEwBwAAAAg0LzEvMjAyNQgAAAAKMTIvMzEvMjAxNgkAAAABMGYb/Xy5c90I9bLw8cFz3QgtQ0lRLk5ZU0U6SUJNLklRX1NPRlRXQVJFLjk5My40LzEvMjAyNS4uLlVTRC5IAQAAAN62AQACAAAAAzgxMAEIAAAABQAAAAExAQAAAAoyMDE3MTY0MjQ0AwAAAAMxNjACAAAABDEyNDMEAAAAATAHAAAACDQvMS8y</t>
  </si>
  <si>
    <t>MDI1CAAAAAoxMi8zMS8yMDE3CQAAAAEwZhv9fLlz3Qj1svDxwXPdCC1DSVEuTllTRTpJQk0uSVFfU09GVFdBUkUuOTk0LjQvMS8yMDI1Li4uVVNELkgBAAAA3rYBAAIAAAADOTM4AQgAAAAFAAAAATEBAAAACjIwODE1MDU0MDEDAAAAAzE2MAIAAAAEMTI0MwQAAAABMAcAAAAINC8xLzIwMjUIAAAACjEyLzMxLzIwMTgJAAAAATBmG/18uXPdCPWy8PHBc90ILkNJUS5OWVNFOklCTS5JUV9NQUNISU5FUlkuOTk3LjQvMS8yMDI1Li4uVVNELkgBAAAA3rYBAAIAAAAFMTM4MTEBCAAAAAUAAAABMQEAAAALLTIwMDg2NDcxOTgDAAAAAzE2MAIAAAAEMzExNAQAAAABMAcAAAAINC8xLzIwMjUIAAAACjEyLzMxLzIwMjEJAAAAATBmG/18uXPdCPWy8PHBc90ILkNJUS5OWVNFOklCTS5JUV9NQUNISU5FUlkuOTk4LjQvMS8yMDI1Li4uVVNELkgBAAAA3rYBAAIAAAAFMTI4MDQBCAAAAAUAAAABMQEAAAALLTE5NTgyODEwOTYDAAAAAzE2MAIAAAAEMzExNAQAAAABMAcAAAAINC8xLzIwMjUIAAAACjEyLzMxLzIwMjIJAAAAATBmG/18uXPdCPWy8PHBc90ILkNJUS5OWVNFOklCTS5JUV9NQUNISU5FUlkuOTk5LjQvMS8yMDI1Li4uVVNELkgBAAAA3rYBAAIAAAAFMTI2MDcBCAAAAAUAAAABMQEAAAALLTE5NTgyODEwOTUDAAAAAzE2MAIAAAAEMzExNAQAAAABMAcAAAAINC8xLzIwMjUIAAAACjEyLzMxLzIwMjMJAAAAATBm</t>
  </si>
  <si>
    <t>G/18uXPdCPWy8PHBc90IL0NJUS5OWVNFOklCTS5JUV9NQUNISU5FUlkuMTAwMC40LzEvMjAyNS4uLlVTRC5IAQAAAN62AQACAAAABTEyNjg3AQgAAAAFAAAAATEBAAAACy0xOTU4MjgxMDk3AwAAAAMxNjACAAAABDMxMTQEAAAAATAHAAAACDQvMS8yMDI1CAAAAAoxMi8zMS8yMDI0CQAAAAEwZhv9fLlz3Qj1svDxwXPdCC9DSVEuTllTRTpJQk0uSVFfTUFDSElORVJZLjIwMDAuNC8xLzIwMjUuLi5VU0QuSAEAAADetgEAAgAAAAUxMjY4NwEIAAAABQAAAAExAQAAAAstMTk1ODI4MDYxNQMAAAADMTYwAgAAAAQzMTE0BAAAAAEwBwAAAAg0LzEvMjAyNQgAAAAKMTIvMzEvMjAyNAkAAAABMGYb/Xy5c90I9bLw8cFz3QguQ0lRLk5ZU0U6SUJNLklRX01BQ0hJTkVSWS45OTIuNC8xLzIwMjUuLi5VU0QuSAEAAADetgEAAgAAAAUxNTk5NQEIAAAABQAAAAExAQAAAAoxOTQ3MTc5NTgzAwAAAAMxNjACAAAABDMxMTQEAAAAATAHAAAACDQvMS8yMDI1CAAAAAoxMi8zMS8yMDE2CQAAAAEwZhv9fLlz3Qj1svDxwXPdCC5DSVEuTllTRTpJQk0uSVFfTUFDSElORVJZLjk5Ni40LzEvMjAyNS4uLlVTRC5IAQAAAN62AQACAAAABTEzNDYwAQgAAAAFAAAAATEBAAAACy0yMDU5MDczMjAyAwAAAAMxNjACAAAABDMxMTQEAAAAATAHAAAACDQvMS8yMDI1CAAAAAoxMi8zMS8yMDIwCQAAAAEwZhv9fLlz3Qj1svDxwXPdCC5DSVEu</t>
  </si>
  <si>
    <t>TllTRTpJQk0uSVFfQlVJTERJTkdTLjk5OS40LzEvMjAyNS4uLlVTRC5IAQAAAN62AQACAAAABDUzMzMBCAAAAAUAAAABMQEAAAALLTE5NTgyODEwOTUDAAAAAzE2MAIAAAAEMzAyMwQAAAABMAcAAAAINC8xLzIwMjUIAAAACjEyLzMxLzIwMjMJAAAAATBmG/18uXPdCPWy8PHBc90IL0NJUS5OWVNFOklCTS5JUV9CVUlMRElOR1MuMTAwMC40LzEvMjAyNS4uLlVTRC5IAQAAAN62AQACAAAABDQ4MjUBCAAAAAUAAAABMQEAAAALLTE5NTgyODEwOTcDAAAAAzE2MAIAAAAEMzAyMwQAAAABMAcAAAAINC8xLzIwMjUIAAAACjEyLzMxLzIwMjQJAAAAATBmG/18uXPdCPWy8PHBc90IIkNJUS5OWVNFOklCTS5JUV9QVEJWLjIwMDAuNC8xLzIwMjUBAAAA3rYBAAMAAAACTk0BBwAAAAUAAAABMQEAAAALLTE5NTgyODA2MTUDAAAAATACAAAABjEwMDA2OAQAAAABMAcAAAAINC8xLzIwMjUIAAAACDQvMS8yMDI1SOpQE79z3Qiq6ueUxHPdCCVDSVEuTllTRTpJQk0uSVFfUEVfRVhDTC4yMDAwLjQvMS8yMDI1AQAAAN62AQACAAAAEDM4Ljk5Mzc3NTU0NDIwMTgBBwAAAAUAAAABMQEAAAALLTE5NTgyODA2MTUDAAAAATACAAAABjEwMDA2NgQAAAABMAcAAAAINC8xLzIwMjUIAAAACDQvMS8yMDI1SOpQE79z3Qiq6ueUxHPdCCFDSVEuTllTRTpJQk0uSVFfUEJWLjIwMDAuNC8xLzIwMjUBAAAA3rYBAAIAAAAQOC40OTE4Njg2</t>
  </si>
  <si>
    <t>ODEyNTk2NwEHAAAABQAAAAExAQAAAAstMTk1ODI4MDYxNQMAAAABMAIAAAAGMTAwMDY3BAAAAAEwBwAAAAg0LzEvMjAyNQgAAAAINC8xLzIwMjVI6lATv3PdCKrq55TEc90IK0NJUS5OWVNFOklCTS5JUV9URVZfVE9UQUxfUkVWLjIwMDAuNC8xLzIwMjUBAAAA3rYBAAIAAAAQNC4zOTg1NTIzMDYyMzA0NgEHAAAABQAAAAExAQAAAAstMTk1ODI4MDYxNQMAAAABMAIAAAAGMTAwMDYxBAAAAAEwBwAAAAg0LzEvMjAyNQgAAAAINC8xLzIwMjVI6lATv3PdCKrq55TEc90IKENJUS5OWVNFOklCTS5JUV9URVZfRUJJVERBLjIwMDAuNC8xLzIwMjUBAAAA3rYBAAIAAAAQMjMuNDg5MjY0OTg3OTA1NwEHAAAABQAAAAExAQAAAAstMTk1ODI4MDYxNQMAAAABMAIAAAAGMTAwMDYzBAAAAAEwBwAAAAg0LzEvMjAyNQgAAAAINC8xLzIwMjVI6lATv3PdCKrq55TEc90ILENJUS5OWVNFOklCTS5JUV9MQVNUU0FMRVBSSUNFLjQvMS8yMDI1LlVTRC5IAQAAAN62AQACAAAABjI1MC4zNABI6lATv3PdCP846JTEc90IJ0NJUS5OWVNFOklCTS5JUV9ZRUFSSElHSC40LzEvMjAyNS5VU0QuSAEAAADetgEAAgAAAAYyNjYuNDUASOpQE79z3Qj/OOiUxHPdCCZDSVEuTllTRTpJQk0uSVFfWUVBUkxPVy40LzEvMjAyNS5VU0QuSAEAAADetgEAAgAAAAYxNjIuNjIASOpQE79z3Qj/OOiUxHPdCCpDSVEuTllTRTpJQk0uSVFfU0hBUkVT</t>
  </si>
  <si>
    <t>T1VUU1RBTkRJTkcuNC8xLzIwMjUBAAAA3rYBAAIAAAAKOTI3LjI2NDMzMgBI6lATv3PdCP846JTEc90ILUNJUS5OWVNFOklCTS5JUV9URVZfRUJJVERBX0ZXRC4xMDAwMS40LzEvMjAyNQEAAADetgEAAgAAABAxNi4xMDkwOTk1NzUzNDgyAQ0AAAAFAAAAATkBAAAABzI2MjE2OTcCAAAACjEwMDIwMzk0MzEDAAAABjEwMDMwOAQAAAABMgYAAAABMAcAAAADMTYwCAAAAAEwCQAAAAExCgAAAAEwCwAAAAsxNDIwMjM2NTIxNwwAAAABNw0AAAAINC8yLzIwMjVI6lATv3PdCKrq55TEc90ILUNJUS5OWVNFOklCTS5JUV9URVZfRUJJVERBX0ZXRC4xMDAwMi40LzEvMjAyNQEAAADetgEAAgAAABAxNS4yNzczODI0MjgyMjM2AQ0AAAAFAAAAATkBAAAABzI2MjE2OTcCAAAACjEwMDI1MzY2MzQDAAAABjEwMDMwOAQAAAABMgYAAAABMAcAAAADMTYwCAAAAAEwCQAAAAExCgAAAAEwCwAAAAsxNDIwMjM2NTIwMwwAAAABNw0AAAAINC8yLzIwMjVI6lATv3PdCKrq55TEc90IKkNJUS5OWVNFOklCTS5JUV9QRV9FWENMX0ZXRC4xMDAwMS40LzEvMjAyNQEAAADetgEAAgAAABAyMy4zNTI3NjQ0MzAzNjQ4AQ0AAAAFAAAAATkBAAAABzI2MjE2OTcCAAAACjEwMDIwMzk0MzEDAAAABjEwMDMwOQQAAAABMgYAAAABMAcAAAADMTYwCAAAAAEwCQAAAAExCgAAAAEwCwAAAAsxNDIwMjM2NTM3NQwAAAABNw0AAAAINC8yLzIwMjVI</t>
  </si>
  <si>
    <t>6lATv3PdCKrq55TEc90IKkNJUS5OWVNFOklCTS5JUV9QRV9FWENMX0ZXRC4xMDAwMi40LzEvMjAyNQEAAADetgEAAgAAABAyMS45NTMyNzQ5NzAxNjIyAQ0AAAAFAAAAATkBAAAABzI2MjE2OTcCAAAACjEwMDI1MzY2MzQDAAAABjEwMDMwOQQAAAABMgYAAAABMAcAAAADMTYwCAAAAAEwCQAAAAExCgAAAAEwCwAAAAsxNDIwMjM2NTM2MwwAAAABNw0AAAAINC8yLzIwMjVI6lATv3PdCKrq55TEc90ILkNJUS5OWVNFOklCTS5JUV9FUFNfRVNULjEwMDAxLjQvMS8yMDI1Li4uVVNELkgBAAAA3rYBAAIAAAAIMTAuNzE5OTMBDgAAAAUAAAACMTEBAAAABzI2MjE2OTcCAAAACjEwMDIwMzk0MzEDAAAABjEwMDE3MwQAAAABMgYAAAABMAcAAAADMTYwCAAAAAEwCQAAAAExCgAAAAEwCwAAAAsxNDIwMjM2NTM3NQwAAAABNw0AAAAINC8yLzIwMjUQAAAACDQvMS8yMDI1SOpQE79z3QhTnOeUxHPdCC5DSVEuTllTRTpJQk0uSVFfRVBTX0VTVC4xMDAwMi40LzEvMjAyNS4uLlVTRC5IAQAAAN62AQACAAAACDExLjQwMzMxAQ4AAAAFAAAAAjExAQAAAAcyNjIxNjk3AgAAAAoxMDAyNTM2NjM0AwAAAAYxMDAxNzMEAAAAATIGAAAAATAHAAAAAzE2MAgAAAABMAkAAAABMQoAAAABMAsAAAALMTQyMDIzNjUzNjMMAAAAATcNAAAACDQvMi8yMDI1EAAAAAg0LzEvMjAyNUjqUBO/c90IqurnlMRz3QgxQ0lRLk5ZU0U6SUJNLklR</t>
  </si>
  <si>
    <t>X0VCSVREQV9FU1QuMTAwMDEuNC8xLzIwMjUuLi5VU0QuSAEAAADetgEAAgAAAAsxNzEzNC41NjEyMgEOAAAABQAAAAIxMQEAAAABMAIAAAAKMTAwMjAzOTQzMQMAAAAGMTAwMTg3BAAAAAEyBgAAAAEwBwAAAAMxNjAIAAAAATAJAAAAATEKAAAAATALAAAACzE0MjAyMzY1MjE3DAAAAAE3DQAAAAg0LzIvMjAyNRAAAAAINC8xLzIwMjVI6lATv3PdCKrq55TEc90IMUNJUS5OWVNFOklCTS5JUV9FQklUREFfRVNULjEwMDAyLjQvMS8yMDI1Li4uVVNELkgBAAAA3rYBAAIAAAALMTgwNjcuMzg1MTgBDgAAAAUAAAACMTEBAAAAATACAAAACjEwMDI1MzY2MzQDAAAABjEwMDE4NwQAAAABMgYAAAABMAcAAAADMTYwCAAAAAEwCQAAAAExCgAAAAEwCwAAAAsxNDIwMjM2NTIwMwwAAAABNw0AAAAINC8yLzIwMjUQAAAACDQvMS8yMDI1SOpQE79z3Qiq6ueUxHPdCDJDSVEuTllTRTpJQk0uSVFfUkVWRU5VRV9FU1QuMTAwMDEuNC8xLzIwMjUuLi5VU0QuSAEAAADetgEAAgAAAAs2NDk5OC4yNzU1NAEOAAAABQAAAAIxMQEAAAABMAIAAAAKMTAwMjAzOTQzMQMAAAAGMTAwMTgwBAAAAAEyBgAAAAEwBwAAAAMxNjAIAAAAATAJAAAAATEKAAAAATALAAAACzE0MjAyMzY1MzI3DAAAAAE3DQAAAAg0LzIvMjAyNRAAAAAINC8xLzIwMjVI6lATv3PdCP846JTEc90IMkNJUS5OWVNFOklCTS5JUV9SRVZFTlVFX0VTVC4xMDAwMi40</t>
  </si>
  <si>
    <t>LzEvMjAyNS4uLlVTRC5IAQAAAN62AQACAAAACzY4MTIwLjQyNTY1AQ4AAAAFAAAAAjExAQAAAAEwAgAAAAoxMDAyNTM2NjM0AwAAAAYxMDAxODAEAAAAATIGAAAAATAHAAAAAzE2MAgAAAABMAkAAAABMQoAAAABMAsAAAALMTQyMDIzNjUzMjEMAAAAATcNAAAACDQvMi8yMDI1EAAAAAg0LzEvMjAyNUjqUBO/c90I/zjolMRz3QgmQ0lRLk5ZU0U6SUJNLklRX0FSX1RVUk5TLjIwMDAuNC8xLzIwMjUBAAAA3rYBAAIAAAAHOC4yOTY4NwEIAAAABQAAAAExAQAAAAstMTk1ODI4MDYxNQMAAAADMTYwAgAAAAQ0MDAxBAAAAAEwBwAAAAg0LzEvMjAyNQgAAAAKMTIvMzEvMjAyNAkAAAABMEjqUBO/c90IU5znlMRz3QgtQ0lRLk5ZU0U6SUJNLklRX0lOVkVOVE9SWV9UVVJOUy4yMDAwLjQvMS8yMDI1AQAAAN62AQACAAAACTIxLjkwMzY3MwEIAAAABQAAAAExAQAAAAstMTk1ODI4MDYxNQMAAAADMTYwAgAAAAQ0MDgyBAAAAAEwBwAAAAg0LzEvMjAyNQgAAAAKMTIvMzEvMjAyNAkAAAABMEjqUBO/c90IU5znlMRz3QgsQ0lRLk5ZU0U6SUJNLklRX0RBWVNfU0FMRVNfT1VULjIwMDAuNC8xLzIwMjUBAAAA3rYBAAIAAAAJNDQuMTEyODgyAQgAAAAFAAAAATEBAAAACy0xOTU4MjgwNjE1AwAAAAMxNjACAAAABDQwNDIEAAAAATAHAAAACDQvMS8yMDI1CAAAAAoxMi8zMS8yMDI0CQAAAAEwSOpQE79z3QhTnOeUxHPdCDBD</t>
  </si>
  <si>
    <t>SVEuTllTRTpJQk0uSVFfREFZU19JTlZFTlRPUllfT1VULjIwMDAuNC8xLzIwMjUBAAAA3rYBAAIAAAAJMTYuNzA5MzY0AQgAAAAFAAAAATEBAAAACy0xOTU4MjgwNjE1AwAAAAMxNjACAAAABDQwMzUEAAAAATAHAAAACDQvMS8yMDI1CAAAAAoxMi8zMS8yMDI0CQAAAAEwSOpQE79z3QhTnOeUxHPdCC5DSVEuTllTRTpJQk0uSVFfREFZU19QQVlBQkxFX09VVC4yMDAwLjQvMS8yMDI1AQAAAN62AQACAAAACTU1LjQxNTY5NAEIAAAABQAAAAExAQAAAAstMTk1ODI4MDYxNQMAAAADMTYwAgAAAAQ0MTgzBAAAAAEwBwAAAAg0LzEvMjAyNQgAAAAKMTIvMzEvMjAyNAkAAAABMEjqUBO/c90IU5znlMRz3QgtQ0lRLk5ZU0U6SUJNLklRX0NBU0hfQ09OVkVSU0lPTi4yMDAwLjQvMS8yMDI1AQAAAN62AQACAAAACDUuNDA2NTUyAQgAAAAFAAAAATEBAAAACy0xOTU4MjgwNjE1AwAAAAMxNjACAAAABDQxODQEAAAAATAHAAAACDQvMS8yMDI1CAAAAAoxMi8zMS8yMDI0CQAAAAEwSOpQE79z3QhTnOeUxHPdCClDSVEuTllTRTpJQk0uSVFfQVNTRVRfVFVSTlMuMjAwMC40LzEvMjAyNQEAAADetgEAAgAAAAgwLjQ2MDcxNAEIAAAABQAAAAExAQAAAAstMTk1ODI4MDYxNQMAAAADMTYwAgAAAAQ0MTc3BAAAAAEwBwAAAAg0LzEvMjAyNQgAAAAKMTIvMzEvMjAyNAkAAAABMEjqUBO/c90IU5znlMRz3QgvQ0lRLk5ZU0U6SUJN</t>
  </si>
  <si>
    <t>LklRX0ZJWEVEX0FTU0VUX1RVUk5TLjIwMDAuNC8xLzIwMjUBAAAA3rYBAAIAAAAINy4xMTA4MjEBCAAAAAUAAAABMQEAAAALLTE5NTgyODA2MTUDAAAAAzE2MAIAAAAENDA2NgQAAAABMAcAAAAINC8xLzIwMjUIAAAACjEyLzMxLzIwMjQJAAAAATBI6lATv3PdCFOc55TEc90IL0NJUS5OWVNFOklCTS5JUV9UT1RBTF9ERUJUX0NBUElUQUwuNTAwLjQvMS8yMDI1AQAAAN62AQACAAAABzY4LjA2OTMBCAAAAAUAAAABMQEAAAALLTE5NTgyODA2MTcDAAAAAzE2MAIAAAAENDE4NgQAAAABMAcAAAAINC8xLzIwMjUIAAAACjEyLzMxLzIwMjQJAAAAATBI6lATv3PdCFOc55TEc90IK0NJUS5OWVNFOklCTS5JUV9SRVRVUk5fRVFVSVRZLjIwMDAuNC8xLzIwMjUBAAAA3rYBAAIAAAAHMjQuMDU3MQEIAAAABQAAAAExAQAAAAstMTk1ODI4MDYxNQMAAAADMTYwAgAAAAQ0MTI4BAAAAAEwBwAAAAg0LzEvMjAyNQgAAAAKMTIvMzEvMjAyNAkAAAABMEjqUBO/c90IU5znlMRz3QgrQ0lRLk5ZU0U6SUJNLklRX1JFVFVSTl9BU1NFVFMuMjAwMC40LzEvMjAyNQEAAADetgEAAgAAAAYzLjA2MjgBCAAAAAUAAAABMQEAAAALLTE5NTgyODA2MTUDAAAAAzE2MAIAAAAENDE3OAQAAAABMAcAAAAINC8xLzIwMjUIAAAACjEyLzMxLzIwMjQJAAAAATBI6lATv3PdCFOc55TEc90INUNJUS5OWVNFOklCTS5JUV9SRVRVUk5fSU5WRVNU</t>
  </si>
  <si>
    <t>RURfQ0FQSVRBTC4yMDAwLjQvMS8yMDI1AQAAAN62AQACAAAABy0wLjE0NzMASOpQE79z3QhTnOeUxHPdCCpDSVEuTllTRTpJQk0uSVFfQ1VSUkVOVF9SQVRJTy41MDAuNC8xLzIwMjUBAAAA3rYBAAIAAAAIMS4wNDA0MzIBCAAAAAUAAAABMQEAAAALLTE5NTgyODA2MTcDAAAAAzE2MAIAAAAENDAzMAQAAAABMAcAAAAINC8xLzIwMjUIAAAACjEyLzMxLzIwMjQJAAAAATBI6lATv3PdCFOc55TEc90IKENJUS5OWVNFOklCTS5JUV9RVUlDS19SQVRJTy41MDAuNC8xLzIwMjUBAAAA3rYBAAIAAAAIMC44NzUxNzMBCAAAAAUAAAABMQEAAAALLTE5NTgyODA2MTcDAAAAAzE2MAIAAAAENDEyMQQAAAABMAcAAAAINC8xLzIwMjUIAAAACjEyLzMxLzIwMjQJAAAAATBI6lATv3PdCFOc55TEc90IMENJUS5OWVNFOklCTS5JUV9FUFNfMVlSX0FOTl9HUk9XVEguMjAwMC40LzEvMjAyNQEAAADetgEAAgAAAActMjEuMjI3AQgAAAAFAAAAATEBAAAACy0xOTU4MjgwNjE1AwAAAAMxNjACAAAABDQyMDAEAAAAATAHAAAACDQvMS8yMDI1CAAAAAoxMi8zMS8yMDI0CQAAAAEwSOpQE79z3QhTnOeUxHPdCC9DSVEuTllTRTpJQk0uSVFfVE9UQUxfREVCVF9FQklUREEuMjAwMC40LzEvMjAyNQEAAADetgEAAgAAAAg0Ljk2OTQ0OQEIAAAABQAAAAExAQAAAAstMTk1ODI4MDYxNQMAAAADMTYwAgAAAAQ0MTkyBAAAAAEwBwAAAAg0</t>
  </si>
  <si>
    <t>LzEvMjAyNQgAAAAKMTIvMzEvMjAyNAkAAAABMEjqUBO/c90IU5znlMRz3QgtQ0lRLk5ZU0U6SUJNLklRX05FVF9ERUJUX0VCSVREQS4yMDAwLjQvMS8yMDI1AQAAAN62AQACAAAACDMuNzI3NzY3AQgAAAAFAAAAATEBAAAACy0xOTU4MjgwNjE1AwAAAAMxNjACAAAABDQxOTMEAAAAATAHAAAACDQvMS8yMDI1CAAAAAoxMi8zMS8yMDI0CQAAAAEwSOpQE79z3QhTnOeUxHPdCChDSVEuTllTRTpJQk0uSVFfRUJJVERBX0lOVC4yMDAwLjQvMS8yMDI1AQAAAN62AQACAAAACDYuODYzOTAxAQgAAAAFAAAAATEBAAAACy0xOTU4MjgwNjE1AwAAAAMxNjACAAAABDQxOTAEAAAAATAHAAAACDQvMS8yMDI1CAAAAAoxMi8zMS8yMDI0CQAAAAEwSOpQE79z3QhTnOeUxHPdCC5DSVEuTllTRTpJQk0uSVFfRUJJVERBX0NBUEVYX0lOVC4yMDAwLjQvMS8yMDI1AQAAAN62AQACAAAACDYuMjUxNzUyAQgAAAAFAAAAATEBAAAACy0xOTU4MjgwNjE1AwAAAAMxNjACAAAABDQxOTEEAAAAATAHAAAACDQvMS8yMDI1CAAAAAoxMi8zMS8yMDI0CQAAAAEwSOpQE79z3QhTnOeUxHPdCC5DSVEuTllTRTpJQk0uSVFfVE9UQUxfREVCVF9FUVVJVFkuNTAwLjQvMS8yMDI1AQAAAN62AQACAAAACDIxMy4xNzg1AQgAAAAFAAAAATEBAAAACy0xOTU4MjgwNjE3AwAAAAMxNjACAAAABDQwMzQEAAAAATAHAAAACDQvMS8yMDI1CAAAAAoxMi8z</t>
  </si>
  <si>
    <t>MS8yMDI0CQAAAAEwSOpQE79z3Qiq6ueUxHPdCDFDSVEuTllTRTpJQk0uSVFfRUJJVERBXzNZUl9BTk5fQ0FHUi4yMDAwLjQvMS8yMDI1AQAAAN62AQACAAAABy00LjUyOTkBCAAAAAUAAAABMQEAAAALLTE5NTgyODA2MTUDAAAAAzE2MAIAAAAENDIyMgQAAAABMAcAAAAINC8xLzIwMjUIAAAACjEyLzMxLzIwMjQJAAAAATBI6lATv3PdCKrq55TEc90IM0NJUS5OWVNFOklCTS5JUV9FQklUREFfMVlSX0FOTl9HUk9XVEguMTAwMC40LzEvMjAyNQEAAADetgEAAgAAAAgtMjIuMDY4OQEIAAAABQAAAAExAQAAAAstMTk1ODI4MTA5NwMAAAADMTYwAgAAAAQ0MTk2BAAAAAEwBwAAAAg0LzEvMjAyNQgAAAAKMTIvMzEvMjAyNAkAAAABMEjqUBO/c90IqurnlMRz3QgzQ0lRLk5ZU0U6SUJNLklRX0VCSVREQV8xWVJfQU5OX0dST1dUSC4yMDAwLjQvMS8yMDI1AQAAAN62AQACAAAACC0yMi4wNjg5AQgAAAAFAAAAATEBAAAACy0xOTU4MjgwNjE1AwAAAAMxNjACAAAABDQxOTYEAAAAATAHAAAACDQvMS8yMDI1CAAAAAoxMi8zMS8yMDI0CQAAAAEwSOpQE79z3Qiq6ueUxHPdCC5DSVEuTllTRTpJQk0uSVFfRVBTXzVZUl9BTk5fQ0FHUi4yMDAwLjQvMS8yMDI1AQAAAN62AQACAAAABy00LjMwNTEBCAAAAAUAAAABMQEAAAALLTE5NTgyODA2MTUDAAAAAzE2MAIAAAAENDIzOQQAAAABMAcAAAAINC8xLzIwMjUIAAAACjEy</t>
  </si>
  <si>
    <t>LzMxLzIwMjQJAAAAATBI6lATv3PdCKrq55TEc90ILkNJUS5OWVNFOklCTS5JUV9FUFNfM1lSX0FOTl9DQUdSLjIwMDAuNC8xLzIwMjUBAAAA3rYBAAIAAAAGNy4yMDkzAQgAAAAFAAAAATEBAAAACy0xOTU4MjgwNjE1AwAAAAMxNjACAAAABDQyMjYEAAAAATAHAAAACDQvMS8yMDI1CAAAAAoxMi8zMS8yMDI0CQAAAAEwSOpQE79z3Qiq6ueUxHPdCDBDSVEuTllTRTpJQk0uSVFfRVBTXzFZUl9BTk5fR1JPV1RILjEwMDAuNC8xLzIwMjUBAAAA3rYBAAIAAAAHLTIxLjIyNwEIAAAABQAAAAExAQAAAAstMTk1ODI4MTA5NwMAAAADMTYwAgAAAAQ0MjAwBAAAAAEwBwAAAAg0LzEvMjAyNQgAAAAKMTIvMzEvMjAyNAkAAAABMEjqUBO/c90IqurnlMRz3QgnQ0lRLk5ZU0U6SUJNLklRX05JX01BUkdJTi4yMDAwLjQvMS8yMDI1AQAAAN62AQACAAAABjkuNTk3OQEIAAAABQAAAAExAQAAAAstMTk1ODI4MDYxNQMAAAADMTYwAgAAAAQ0MDk0BAAAAAEwBwAAAAg0LzEvMjAyNQgAAAAKMTIvMzEvMjAyNAkAAAABMEjqUBO/c90IqurnlMRz3Qg0Q0lRLk5ZU0U6SUJNLklRX1RPVEFMX1JFVl81WVJfQU5OX0NBR1IuMjAwMC40LzEvMjAyNQEAAADetgEAAgAAAAYxLjY4ODIBCAAAAAUAAAABMQEAAAALLTE5NTgyODA2MTUDAAAAAzE2MAIAAAAENDIzMwQAAAABMAcAAAAINC8xLzIwMjUIAAAACjEyLzMxLzIwMjQJAAAAATBI</t>
  </si>
  <si>
    <t>6lATv3PdCKrq55TEc90INENJUS5OWVNFOklCTS5JUV9UT1RBTF9SRVZfM1lSX0FOTl9DQUdSLjIwMDAuNC8xLzIwMjUBAAAA3rYBAAIAAAAFMy4wNDYBCAAAAAUAAAABMQEAAAALLTE5NTgyODA2MTUDAAAAAzE2MAIAAAAENDIyMAQAAAABMAcAAAAINC8xLzIwMjUIAAAACjEyLzMxLzIwMjQJAAAAATBI6lATv3PdCKrq55TEc90INkNJUS5OWVNFOklCTS5JUV9UT1RBTF9SRVZfMVlSX0FOTl9HUk9XVEguMTAwMC40LzEvMjAyNQEAAADetgEAAgAAAAYxLjQ0MzUBCAAAAAUAAAABMQEAAAALLTE5NTgyODEwOTcDAAAAAzE2MAIAAAAENDE5NAQAAAABMAcAAAAINC8xLzIwMjUIAAAACjEyLzMxLzIwMjQJAAAAATBI6lATv3PdCKrq55TEc90INkNJUS5OWVNFOklCTS5JUV9UT1RBTF9SRVZfMVlSX0FOTl9HUk9XVEguMjAwMC40LzEvMjAyNQEAAADetgEAAgAAAAYxLjQ0MzUBCAAAAAUAAAABMQEAAAALLTE5NTgyODA2MTUDAAAAAzE2MAIAAAAENDE5NAQAAAABMAcAAAAINC8xLzIwMjUIAAAACjEyLzMxLzIwMjQJAAAAATBI6lATv3PdCKrq55TEc90IMUNJUS5OWVNFOklCTS5JUV9FQklUREFfNVlSX0FOTl9DQUdSLjIwMDAuNC8xLzIwMjUBAAAA3rYBAAIAAAAHLTUuMTQ0NwEIAAAABQAAAAExAQAAAAstMTk1ODI4MDYxNQMAAAADMTYwAgAAAAQ0MjM1BAAAAAEwBwAAAAg0LzEvMjAyNQgAAAAKMTIvMzEvMjAy</t>
  </si>
  <si>
    <t>NAkAAAABMEjqUBO/c90IqurnlMRz3QgqQ0lRLk5ZU0U6SUJNLklRX0VCSVREQV9NQVJHSU4uOTk5LjQvMS8yMDI1AQAAAN62AQACAAAABzIxLjY2MDIBCAAAAAUAAAABMQEAAAALLTE5NTgyODEwOTUDAAAAAzE2MAIAAAAENDA0NwQAAAABMAcAAAAINC8xLzIwMjUIAAAACjEyLzMxLzIwMjMJAAAAATBI6lATv3PdCKrq55TEc90IK0NJUS5OWVNFOklCTS5JUV9FQklUREFfTUFSR0lOLjEwMDAuNC8xLzIwMjUBAAAA3rYBAAIAAAAHMTYuNjM5OAEIAAAABQAAAAExAQAAAAstMTk1ODI4MTA5NwMAAAADMTYwAgAAAAQ0MDQ3BAAAAAEwBwAAAAg0LzEvMjAyNQgAAAAKMTIvMzEvMjAyNAkAAAABMEjqUBO/c90IqurnlMRz3QgrQ0lRLk5ZU0U6SUJNLklRX0VCSVREQV9NQVJHSU4uMjAwMC40LzEvMjAyNQEAAADetgEAAgAAAAcxNi42Mzk4AQgAAAAFAAAAATEBAAAACy0xOTU4MjgwNjE1AwAAAAMxNjACAAAABDQwNDcEAAAAATAHAAAACDQvMS8yMDI1CAAAAAoxMi8zMS8yMDI0CQAAAAEwSOpQE79z3Qiq6ueUxHPdCCZDSVEuTllTRTpJQk0uSVFfTklfTUFSR0lOLjk5OC40LzEvMjAyNQEAAADetgEAAgAAAAYyLjcwNzcBCAAAAAUAAAABMQEAAAALLTE5NTgyODEwOTYDAAAAAzE2MAIAAAAENDA5NAQAAAABMAcAAAAINC8xLzIwMjUIAAAACjEyLzMxLzIwMjIJAAAAATBI6lATv3PdCKrq55TEc90IJkNJUS5OWVNF</t>
  </si>
  <si>
    <t>OklCTS5JUV9OSV9NQVJHSU4uOTk5LjQvMS8yMDI1AQAAAN62AQACAAAABzEyLjEyNzMBCAAAAAUAAAABMQEAAAALLTE5NTgyODEwOTUDAAAAAzE2MAIAAAAENDA5NAQAAAABMAcAAAAINC8xLzIwMjUIAAAACjEyLzMxLzIwMjMJAAAAATBI6lATv3PdCKrq55TEc90IJ0NJUS5OWVNFOklCTS5JUV9OSV9NQVJHSU4uMTAwMC40LzEvMjAyNQEAAADetgEAAgAAAAY5LjU5NzkBCAAAAAUAAAABMQEAAAALLTE5NTgyODEwOTcDAAAAAzE2MAIAAAAENDA5NAQAAAABMAcAAAAINC8xLzIwMjUIAAAACjEyLzMxLzIwMjQJAAAAATBI6lATv3PdCKrq55TEc90IKUNJUS5OWVNFOklCTS5JUV9HUk9TU19NQVJHSU4uOTk4LjQvMS8yMDI1AQAAAN62AQACAAAABzU0LjAwMjkBCAAAAAUAAAABMQEAAAALLTE5NTgyODEwOTYDAAAAAzE2MAIAAAAENDA3NAQAAAABMAcAAAAINC8xLzIwMjUIAAAACjEyLzMxLzIwMjIJAAAAATBI6lATv3PdCKrq55TEc90IKUNJUS5OWVNFOklCTS5JUV9HUk9TU19NQVJHSU4uOTk5LjQvMS8yMDI1AQAAAN62AQACAAAABzU1LjQ0NzcBCAAAAAUAAAABMQEAAAALLTE5NTgyODEwOTUDAAAAAzE2MAIAAAAENDA3NAQAAAABMAcAAAAINC8xLzIwMjUIAAAACjEyLzMxLzIwMjMJAAAAATBI6lATv3PdCKrq55TEc90IKkNJUS5OWVNFOklCTS5JUV9HUk9TU19NQVJHSU4uMTAwMC40LzEvMjAyNQEAAADe</t>
  </si>
  <si>
    <t>tgEAAgAAAAc1Ni42NTM4AQgAAAAFAAAAATEBAAAACy0xOTU4MjgxMDk3AwAAAAMxNjACAAAABDQwNzQEAAAAATAHAAAACDQvMS8yMDI1CAAAAAoxMi8zMS8yMDI0CQAAAAEwSOpQE79z3Qiq6ueUxHPdCCpDSVEuTllTRTpJQk0uSVFfR1JPU1NfTUFSR0lOLjIwMDAuNC8xLzIwMjUBAAAA3rYBAAIAAAAHNTYuNjUzOAEIAAAABQAAAAExAQAAAAstMTk1ODI4MDYxNQMAAAADMTYwAgAAAAQ0MDc0BAAAAAEwBwAAAAg0LzEvMjAyNQgAAAAKMTIvMzEvMjAyNAkAAAABMEjqUBO/c90IqurnlMRz3QgqQ0lRLk5ZU0U6SUJNLklRX0VCSVREQV9NQVJHSU4uOTk4LjQvMS8yMDI1AQAAAN62AQACAAAABjkuMTM0MwEIAAAABQAAAAExAQAAAAstMTk1ODI4MTA5NgMAAAADMTYwAgAAAAQ0MDQ3BAAAAAEwBwAAAAg0LzEvMjAyNQgAAAAKMTIvMzEvMjAyMgkAAAABMEjqUBO/c90IqurnlMRz3QgxQ0lRLk5ZU0U6SUJNLklRX1BSRUZfRVFVSVRZLjUwMC40LzEvMjAyNS4uRi5VU0QuSAEAAADetgEAAwAAAAAASOpQE79z3Qiq6ueUxHPdCD1DSVEuTllTRTpJQk0uSVFfTUlOT1JJVFlfSU5URVJFU1RfVE9UQUwuNTAwLjQvMS8yMDI1Li5GLlVTRC5IAQAAAN62AQACAAAAAjg2AQgAAAAFAAAAATEBAAAACy0xOTU4MjgwNjE3AwAAAAMxNjACAAAABDEzMTIEAAAAATAHAAAACDQvMS8yMDI1CAAAAAoxMi8zMS8yMDI0CQAAAAEw</t>
  </si>
  <si>
    <t>SOpQE79z3Qiq6ueUxHPdCDRDSVEuTllTRTpJQk0uSVFfQ0FTSF9TVF9JTlZFU1QuNTAwLjQvMS8yMDI1Li5GLlVTRC5IAQAAAN62AQACAAAABTE0NTkxAQgAAAAFAAAAATEBAAAACy0xOTU4MjgwNjE3AwAAAAMxNjACAAAABDEwMDIEAAAAATAHAAAACDQvMS8yMDI1CAAAAAoxMi8zMS8yMDI0CQAAAAEwSOpQE79z3Qj/OOiUxHPdCDBDSVEuTllTRTpJQk0uSVFfVE9UQUxfREVCVC41MDAuNC8xLzIwMjUuLkYuVVNELkgBAAAA3rYBAAIAAAAFNTgzOTYBCAAAAAUAAAABMQEAAAALLTE5NTgyODA2MTcDAAAAAzE2MAIAAAAENDE3MwQAAAABMAcAAAAINC8xLzIwMjUIAAAACjEyLzMxLzIwMjQJAAAAATBI6lATv3PdCP846JTEc90ILUNJUS5OWVNFOklCTS5JUV9URVZfVE9UQUxfUkVWLjIwMDAuMTIvMzEvMjAyNAEAAADetgEAAgAAABAzLjk5MTIyMzEzNDYxNDI1AQcAAAAFAAAAATEBAAAACy0xOTcxMTc1MjgwAwAAAAEwAgAAAAYxMDAwNjEEAAAAATAHAAAACjEyLzMxLzIwMjQIAAAACjEyLzMxLzIwMjTljI6BuXPdCFOc55TEc90ILUNJUS5OWVNFOk9SQ0wuSVFfVEVWX1RPVEFMX1JFVi4yMDAwLjUvMzEvMjAyNAEAAADnVgAAAgAAABA3LjYzMTU2MjY2NzMwMTQ3AQcAAAAFAAAAATEBAAAACy0yMDA2NDgwNDAzAwAAAAEwAgAAAAYxMDAwNjEEAAAAATAHAAAACTUvMzEvMjAyNAgAAAAJNS8zMS8yMDI05YyO</t>
  </si>
  <si>
    <t>gblz3QhPy+KUxHPdCCpDSVEuTllTRTpPUkNMLklRX1RFVl9FQklUREEuMjAwMC41LzMxLzIwMjQBAAAA51YAAAIAAAAQMTguNDg5MTI3Nzg3MjEwNQEHAAAABQAAAAExAQAAAAstMjAwNjQ4MDQwMwMAAAABMAIAAAAGMTAwMDYzBAAAAAEwBwAAAAk1LzMxLzIwMjQIAAAACTUvMzEvMjAyNOWMjoG5c90IT8vilMRz3QgnQ0lRLk5ZU0U6T1JDTC5JUV9QRV9FWENMLjIwMDAuNS8zMS8yMDI0AQAAAOdWAAACAAAADzMwLjk4NDA3MTQ1MzQ2MgEHAAAABQAAAAExAQAAAAstMjAwNjQ4MDQwMwMAAAABMAIAAAAGMTAwMDY2BAAAAAEwBwAAAAk1LzMxLzIwMjQIAAAACTUvMzEvMjAyNOWMjoG5c90IT8vilMRz3QgsQ0lRLk5ZU0U6QUNOLklRX1RFVl9UT1RBTF9SRVYuMjAwMC44LzMxLzIwMjQBAAAAntUOAAIAAAAQMy4zMjEwMzk4NDU4NzQ4NAEHAAAABQAAAAExAQAAAAstMTk4OTE4MjQ2MQMAAAABMAIAAAAGMTAwMDYxBAAAAAEwBwAAAAk4LzMwLzIwMjQIAAAACTgvMzAvMjAyNOWMjoG5c90IT8vilMRz3QgpQ0lRLk5ZU0U6QUNOLklRX1RFVl9FQklUREEuMjAwMC44LzMxLzIwMjQBAAAAntUOAAIAAAAPMTcuNDY2ODQwMjM3MDczAQcAAAAFAAAAATEBAAAACy0xOTg5MTgyNDYxAwAAAAEwAgAAAAYxMDAwNjMEAAAAATAHAAAACTgvMzAvMjAyNAgAAAAJOC8zMC8yMDI05YyOgblz3QhPy+KUxHPdCCZDSVEuTllT</t>
  </si>
  <si>
    <t>RTpBQ04uSVFfUEVfRVhDTC4yMDAwLjgvMzEvMjAyNAEAAACe1Q4AAgAAABAzMC44MTUzOTI2ODI5MDU1AQcAAAAFAAAAATEBAAAACy0xOTg5MTgyNDYxAwAAAAEwAgAAAAYxMDAwNjYEAAAAATAHAAAACTgvMzAvMjAyNAgAAAAJOC8zMC8yMDI05YyOgblz3QhPy+KUxHPdCDJDSVEuTkFTREFRR1M6Q1RTSC5JUV9URVZfVE9UQUxfUkVWLjIwMDAuMTIvMzEvMjAyNAEAAADo4wUAAgAAABAxLjk1NTg0NjE1NjcwNzE5AQcAAAAFAAAAATEBAAAACy0xOTcxMzIyMTc3AwAAAAEwAgAAAAYxMDAwNjEEAAAAATAHAAAACjEyLzMxLzIwMjQIAAAACjEyLzMxLzIwMjTljI6BuXPdCE/L4pTEc90IL0NJUS5OQVNEQVFHUzpDVFNILklRX1RFVl9FQklUREEuMjAwMC4xMi8zMS8yMDI0AQAAAOjjBQACAAAAEDkuOTAxMzkxNDcwNTk1OTEBBwAAAAUAAAABMQEAAAALLTE5NzEzMjIxNzcDAAAAATACAAAABjEwMDA2MwQAAAABMAcAAAAKMTIvMzEvMjAyNAgAAAAKMTIvMzEvMjAyNOWMjoG5c90IT8vilMRz3QgsQ0lRLk5BU0RBUUdTOkNUU0guSVFfUEVfRVhDTC4yMDAwLjEyLzMxLzIwMjQBAAAA6OMFAAIAAAAPMTcuMDEzOTU1NjQ3MzM5AQcAAAAFAAAAATEBAAAACy0xOTcxMzIyMTc3AwAAAAEwAgAAAAYxMDAwNjYEAAAAATAHAAAACjEyLzMxLzIwMjQIAAAACjEyLzMxLzIwMjTljI6BuXPdCE/L4pTEc90ILENJUS5OWVNF</t>
  </si>
  <si>
    <t>OkNSTS5JUV9URVZfVE9UQUxfUkVWLjIwMDAuMS8zMS8yMDI1AQAAACXgAQACAAAAEDguNzc3NTM5MDU3MjQ4MTEBBwAAAAUAAAABMQEAAAALLTE5NjUxNTQ3OTMDAAAAATACAAAABjEwMDA2MQQAAAABMAcAAAAJMS8zMS8yMDI1CAAAAAkxLzMxLzIwMjXljI6BuXPdCE/L4pTEc90IKUNJUS5OWVNFOkNSTS5JUV9URVZfRUJJVERBLjIwMDAuMS8zMS8yMDI1AQAAACXgAQACAAAAEDMxLjcyMjgyNzk4ODMzODIBBwAAAAUAAAABMQEAAAALLTE5NjUxNTQ3OTMDAAAAATACAAAABjEwMDA2MwQAAAABMAcAAAAJMS8zMS8yMDI1CAAAAAkxLzMxLzIwMjXljI6BuXPdCE/L4pTEc90IJkNJUS5OWVNFOkNSTS5JUV9QRV9FWENMLjIwMDAuMS8zMS8yMDI1AQAAACXgAQACAAAAEDU2LjI4MDAwNTI5Njk0MTcBBwAAAAUAAAABMQEAAAALLTE5NjUxNTQ3OTMDAAAAATACAAAABjEwMDA2NgQAAAABMAcAAAAJMS8zMS8yMDI1CAAAAAkxLzMxLzIwMjXljI6BuXPdCE/L4pTEc90ILUNJUS5OWVNFOkhQRS5JUV9URVZfVE9UQUxfUkVWLjIwMDAuMTAvMzEvMjAyNAEAAAAOqVQQAgAAABAxLjE3NjYwNDEyNzI5NTMxAQcAAAAFAAAAATEBAAAACy0xOTc3NzYyMDI4AwAAAAEwAgAAAAYxMDAwNjEEAAAAATAHAAAACjEwLzMxLzIwMjQIAAAACjEwLzMxLzIwMjTljI6BuXPdCMGnxJTEc90IKkNJUS5OWVNFOkhQRS5JUV9URVZfRUJJ</t>
  </si>
  <si>
    <t>VERBLjIwMDAuMTAvMzEvMjAyNAEAAAAOqVQQAgAAAA82LjQyNzkwODg0MzAxNzcBBwAAAAUAAAABMQEAAAALLTE5Nzc3NjIwMjgDAAAAATACAAAABjEwMDA2MwQAAAABMAcAAAAKMTAvMzEvMjAyNAgAAAAKMTAvMzEvMjAyNOWMjoG5c90IT8vilMRz3QgnQ0lRLk5ZU0U6SFBFLklRX1BFX0VYQ0wuMjAwMC4xMC8zMS8yMDI0AQAAAA6pVBACAAAAEDEzLjgzMTgyNzk2NTg0MTMBBwAAAAUAAAABMQEAAAALLTE5Nzc3NjIwMjgDAAAAATACAAAABjEwMDA2NgQAAAABMAcAAAAKMTAvMzEvMjAyNAgAAAAKMTAvMzEvMjAyNOWMjoG5c90IT8vilMRz3QgxQ0lRLk5BU0RBUUdTOk1TRlQuSVFfVEVWX1RPVEFMX1JFVi4yMDAwLjYvMzAvMjAyNAEAAABLVQAAAgAAABAxNC4xNTE3ODE1MDA5ODE5AQcAAAAFAAAAATEBAAAACy0xOTk5MjQ4ODI1AwAAAAEwAgAAAAYxMDAwNjEEAAAAATAHAAAACTYvMjgvMjAyNAgAAAAJNi8yOC8yMDI05YyOgblz3QhPy+KUxHPdCC5DSVEuTkFTREFRR1M6TVNGVC5JUV9URVZfRUJJVERBLjIwMDAuNi8zMC8yMDI0AQAAAEtVAAACAAAADzI1LjkxMDM2MTM2MzE4NwEHAAAABQAAAAExAQAAAAstMTk5OTI0ODgyNQMAAAABMAIAAAAGMTAwMDYzBAAAAAEwBwAAAAk2LzI4LzIwMjQIAAAACTYvMjgvMjAyNOWMjoG5c90IT8vilMRz3QgrQ0lRLk5BU0RBUUdTOk1TRlQuSVFfUEVfRVhDTC4y</t>
  </si>
  <si>
    <t>MDAwLjYvMzAvMjAyNAEAAABLVQAAAgAAABAzOC43Mjk0NDU0MjY3NDk2AQcAAAAFAAAAATEBAAAACy0xOTk5MjQ4ODI1AwAAAAEwAgAAAAYxMDAwNjYEAAAAATAHAAAACTYvMjgvMjAyNAgAAAAJNi8yOC8yMDI05YyOgblz3QhPy+KUxHPdCCxDSVEuTllTRTpEWEMuSVFfVEVWX1RPVEFMX1JFVi4yMDAwLjMvMzEvMjAyNAEAAAC1AwQAAgAAABEwLjU2NDA2MzMyMTkxODk3MwEHAAAABQAAAAExAQAAAAstMjAxMTgzNDExOAMAAAABMAIAAAAGMTAwMDYxBAAAAAEwBwAAAAkzLzI4LzIwMjQIAAAACTMvMjgvMjAyNOWMjoG5c90IT8vilMRz3QgpQ0lRLk5ZU0U6RFhDLklRX1RFVl9FQklUREEuMjAwMC4zLzMxLzIwMjQBAAAAtQMEAAIAAAAQOC42NzQ4MTg2MjcxMTc1MgEHAAAABQAAAAExAQAAAAstMjAxMTgzNDExOAMAAAABMAIAAAAGMTAwMDYzBAAAAAEwBwAAAAkzLzI4LzIwMjQIAAAACTMvMjgvMjAyNOWMjoG5c90IT8vilMRz3QgmQ0lRLk5ZU0U6RFhDLklRX1BFX0VYQ0wuMjAwMC4zLzMxLzIwMjQBAAAAtQMEAAMAAAACTk0BBwAAAAUAAAABMQEAAAALLTIwMTE4MzQxMTgDAAAAATACAAAABjEwMDA2NgQAAAABMAcAAAAJMy8yOC8yMDI0CAAAAAkzLzI4LzIwMjTljI6BuXPdCE/L4pTEc90IMUNJUS5OQVNEQVFHUzpIT04uSVFfVEVWX1RPVEFMX1JFVi4yMDAwLjEyLzMxLzIwMjQBAAAARHUUAAIAAAAQ</t>
  </si>
  <si>
    <t>NC40NTIxNjMyOTM3NDM3MwEHAAAABQAAAAExAQAAAAstMTk3MjU5ODIxOAMAAAABMAIAAAAGMTAwMDYxBAAAAAEwBwAAAAoxMi8zMS8yMDI0CAAAAAoxMi8zMS8yMDI05YyOgblz3QhPy+KUxHPdCC5DSVEuTkFTREFRR1M6SE9OLklRX1RFVl9FQklUREEuMjAwMC4xMi8zMS8yMDI0AQAAAER1FAACAAAAEDE3LjcxODc3MTk1Mzk2NjcBBwAAAAUAAAABMQEAAAALLTE5NzI1OTgyMTgDAAAAATACAAAABjEwMDA2MwQAAAABMAcAAAAKMTIvMzEvMjAyNAgAAAAKMTIvMzEvMjAyNOWMjoG5c90IT8vilMRz3QgrQ0lRLk5BU0RBUUdTOkhPTi5JUV9QRV9FWENMLjIwMDAuMTIvMzEvMjAyNAEAAABEdRQAAgAAAA8yNi4xMDAxNjM2Njc2MzQBBwAAAAUAAAABMQEAAAALLTE5NzI1OTgyMTgDAAAAATACAAAABjEwMDA2NgQAAAABMAcAAAAKMTIvMzEvMjAyNAgAAAAKMTIvMzEvMjAyNOWMjoG5c90IT8vilMRz3QgqQ0lRLk5ZU0U6SUJNLklRX1RFVl9FQklUREEuMjAwMC4xMi8zMS8yMDI0AQAAAN62AQACAAAAEDE4LjgxMjY0MTkzMTUwODgBBwAAAAUAAAABMQEAAAALLTE5NzExNzUyODADAAAAATACAAAABjEwMDA2MwQAAAABMAcAAAAKMTIvMzEvMjAyNAgAAAAKMTIvMzEvMjAyNOWMjoG5c90InxnjlMRz3QgnQ0lRLk5ZU0U6SUJNLklRX1BFX0VYQ0wuMjAwMC4xMi8zMS8yMDI0AQAAAN62AQACAAAAEDMyLjE3MzY3</t>
  </si>
  <si>
    <t>Nzg1NDAwNzEBBwAAAAUAAAABMQEAAAALLTE5NzExNzUyODADAAAAATACAAAABjEwMDA2NgQAAAABMAcAAAAKMTIvMzEvMjAyNAgAAAAKMTIvMzEvMjAyNOWMjoG5c90InxnjlMRz3QgmQ0lRLk5BU0RBUUdTOkhPTi5JUV9QVEJWLjIwMDAuNC8xLzIwMjUBAAAARHUUAAMAAAACTk0BBwAAAAUAAAABMQEAAAALLTE5NTg4MTE3NjMDAAAAATACAAAABjEwMDA2OAQAAAABMAcAAAAINC8xLzIwMjUIAAAACDQvMS8yMDI1CflhEr9z3QifGeOUxHPdCCVDSVEuTkFTREFRR1M6SE9OLklRX1BCVi4yMDAwLjQvMS8yMDI1AQAAAER1FAACAAAAEDcuNDQ5MzY5Njc1ODMzOTMBBwAAAAUAAAABMQEAAAALLTE5NTg4MTE3NjMDAAAAATACAAAABjEwMDA2NwQAAAABMAcAAAAINC8xLzIwMjUIAAAACDQvMS8yMDI1CflhEr9z3QifGeOUxHPdCCFDSVEuTllTRTpEWEMuSVFfUEJWLjIwMDAuNC8xLzIwMjUBAAAAtQMEAAIAAAAQMS4wNDk5MjUyNzkxMDY2NQEHAAAABQAAAAExAQAAAAstMTk2MTAxMDAyOAMAAAABMAIAAAAGMTAwMDY3BAAAAAEwBwAAAAg0LzEvMjAyNQgAAAAINC8xLzIwMjUJ+WESv3PdCBNo45TEc90IIkNJUS5OWVNFOkRYQy5JUV9QVEJWLjIwMDAuNC8xLzIwMjUBAAAAtQMEAAIAAAAQNC41NzYyMDQ4OTU3NDc1MQEHAAAABQAAAAExAQAAAAstMTk2MTAxMDAyOAMAAAABMAIAAAAGMTAwMDY4BAAAAAEwBwAA</t>
  </si>
  <si>
    <t>AAg0LzEvMjAyNQgAAAAINC8xLzIwMjUJ+WESv3PdCBNo45TEc90IJkNJUS5OQVNEQVFHUzpNU0ZULklRX1BCVi4yMDAwLjQvMS8yMDI1AQAAAEtVAAACAAAAEDkuMzg3NjEwMTcyMjEwOTEBBwAAAAUAAAABMQEAAAALLTE5NjE2NjY0NzADAAAAATACAAAABjEwMDA2NwQAAAABMAcAAAAINC8xLzIwMjUIAAAACDQvMS8yMDI1CflhEr9z3QhztuOUxHPdCCdDSVEuTkFTREFRR1M6TVNGVC5JUV9QVEJWLjIwMDAuNC8xLzIwMjUBAAAAS1UAAAIAAAAQMTcuOTcxMTY1OTE1NzcxNwEHAAAABQAAAAExAQAAAAstMTk2MTY2NjQ3MAMAAAABMAIAAAAGMTAwMDY4BAAAAAEwBwAAAAg0LzEvMjAyNQgAAAAINC8xLzIwMjUJ+WESv3PdCHO245TEc90IIUNJUS5OWVNFOkhQRS5JUV9QQlYuMjAwMC40LzEvMjAyNQEAAAAOqVQQAgAAABEwLjgxNDM2MDgyNjIwMzQyNAEHAAAABQAAAAExAQAAAAstMTk1NjYzOTU5MAMAAAABMAIAAAAGMTAwMDY3BAAAAAEwBwAAAAg0LzEvMjAyNQgAAAAINC8xLzIwMjUJ+WESv3PdCNAE5JTEc90IIkNJUS5OWVNFOkhQRS5JUV9QVEJWLjIwMDAuNC8xLzIwMjUBAAAADqlUEAIAAAAQMy4wOTgyNTYxMjE1ODE1OQEHAAAABQAAAAExAQAAAAstMTk1NjYzOTU5MAMAAAABMAIAAAAGMTAwMDY4BAAAAAEwBwAAAAg0LzEvMjAyNQgAAAAINC8xLzIwMjUJ+WESv3PdCNAE5JTEc90IIUNJUS5OWVNF</t>
  </si>
  <si>
    <t>OkNSTS5JUV9QQlYuMjAwMC40LzEvMjAyNQEAAAAl4AEAAgAAABA0LjI0OTEzNjA2MjczMDcxAQcAAAAFAAAAATEBAAAACy0xOTU2OTQwNDU2AwAAAAEwAgAAAAYxMDAwNjcEAAAAATAHAAAACDQvMS8yMDI1CAAAAAg0LzEvMjAyNQn5YRK/c90IKFPklMRz3QgiQ0lRLk5ZU0U6Q1JNLklRX1BUQlYuMjAwMC40LzEvMjAyNQEAAAAl4AEAAgAAABA0Ny41ODkyNDAzOTMyOTY0AQcAAAAFAAAAATEBAAAACy0xOTU2OTQwNDU2AwAAAAEwAgAAAAYxMDAwNjgEAAAAATAHAAAACDQvMS8yMDI1CAAAAAg0LzEvMjAyNQn5YRK/c90IKFPklMRz3QgmQ0lRLk5BU0RBUUdTOkNUU0guSVFfUEJWLjIwMDAuNC8xLzIwMjUBAAAA6OMFAAIAAAAQMi42MjY1MDk2NDE4MTU1NQEHAAAABQAAAAExAQAAAAstMTk1OTk1MjM4NAMAAAABMAIAAAAGMTAwMDY3BAAAAAEwBwAAAAg0LzEvMjAyNQgAAAAINC8xLzIwMjUJ+WESv3PdCHeh5JTEc90IJ0NJUS5OQVNEQVFHUzpDVFNILklRX1BUQlYuMjAwMC40LzEvMjAyNQEAAADo4wUAAgAAABA2LjQ2MjIxODI1NDI1NzczAQcAAAAFAAAAATEBAAAACy0xOTU5OTUyMzg0AwAAAAEwAgAAAAYxMDAwNjgEAAAAATAHAAAACDQvMS8yMDI1CAAAAAg0LzEvMjAyNQn5YRK/c90Id6HklMRz3QghQ0lRLk5ZU0U6QUNOLklRX1BCVi4yMDAwLjQvMS8yMDI1AQAAAJ7VDgACAAAAEDYuNzE2ODIyMjgx</t>
  </si>
  <si>
    <t>MTg5MDQBBwAAAAUAAAABMQEAAAALLTE5NTUxMjgzMDcDAAAAATACAAAABjEwMDA2NwQAAAABMAcAAAAINC8xLzIwMjUIAAAACDQvMS8yMDI1CflhEr9z3Qik5eSUxHPdCCJDSVEuTllTRTpBQ04uSVFfUFRCVi4yMDAwLjQvMS8yMDI1AQAAAJ7VDgACAAAAEDM0LjU3MzU5Njg5ODg1MDUBBwAAAAUAAAABMQEAAAALLTE5NTUxMjgzMDcDAAAAATACAAAABjEwMDA2OAQAAAABMAcAAAAINC8xLzIwMjUIAAAACDQvMS8yMDI1CflhEr9z3Qik5eSUxHPdCCNDSVEuTllTRTpPUkNMLklRX1BUQlYuMjAwMC40LzEvMjAyNQEAAADnVgAAAwAAAAJOTQEHAAAABQAAAAExAQAAAAstMTk1NjMwNDkyMAMAAAABMAIAAAAGMTAwMDY4BAAAAAEwBwAAAAg0LzEvMjAyNQgAAAAINC8xLzIwMjUJ+WESv3PdCAQ05ZTEc90IIkNJUS5OWVNFOk9SQ0wuSVFfUEJWLjIwMDAuNC8xLzIwMjUBAAAA51YAAAIAAAAQMjMuNzgxMTAxMjc5MTA5NgEHAAAABQAAAAExAQAAAAstMTk1NjMwNDkyMAMAAAABMAIAAAAGMTAwMDY3BAAAAAEwBwAAAAg0LzEvMjAyNQgAAAAINC8xLzIwMjUJ+WESv3PdCAQ05ZTEc90ILENJUS5OQVNEQVFHUzpIT04uSVFfVEVWX0VCSVREQS4yMDAwLjQvMS8yMDI1AQAAAER1FAACAAAAEDE2LjIyODk2Mzc5MzAyNDIBBwAAAAUAAAABMQEAAAALLTE5NTg4MTE3NjMDAAAAATACAAAABjEwMDA2MwQAAAABMAcAAAAI</t>
  </si>
  <si>
    <t>NC8xLzIwMjUIAAAACDQvMS8yMDI1CflhEr9z3QjyHuaUxHPdCClDSVEuTkFTREFRR1M6SE9OLklRX1BFX0VYQ0wuMjAwMC40LzEvMjAyNQEAAABEdRQAAgAAABAyNC41MDYzMTQ1ODA5NDE0AQcAAAAFAAAAATEBAAAACy0xOTU4ODExNzYzAwAAAAEwAgAAAAYxMDAwNjYEAAAAATAHAAAACDQvMS8yMDI1CAAAAAg0LzEvMjAyNQn5YRK/c90I8h7mlMRz3QgvQ0lRLk5BU0RBUUdTOkhPTi5JUV9URVZfVE9UQUxfUkVWLjIwMDAuNC8xLzIwMjUBAAAARHUUAAIAAAAQNC4xNjM2ODMxODgzMTM2OAEHAAAABQAAAAExAQAAAAstMTk1ODgxMTc2MwMAAAABMAIAAAAGMTAwMDYxBAAAAAEwBwAAAAg0LzEvMjAyNQgAAAAINC8xLzIwMjUJ+WESv3PdCPIe5pTEc90IK0NJUS5OWVNFOkRYQy5JUV9URVZfVE9UQUxfUkVWLjIwMDAuNC8xLzIwMjUBAAAAtQMEAAIAAAAQMC40NzIxNDEwNDg4Nzk4OQEHAAAABQAAAAExAQAAAAstMTk2MTAxMDAyOAMAAAABMAIAAAAGMTAwMDYxBAAAAAEwBwAAAAg0LzEvMjAyNQgAAAAINC8xLzIwMjUJ+WESv3PdCPIe5pTEc90IKENJUS5OWVNFOkRYQy5JUV9URVZfRUJJVERBLjIwMDAuNC8xLzIwMjUBAAAAtQMEAAIAAAAQMy40ODUyNjkwNjI0NTkxMQEHAAAABQAAAAExAQAAAAstMTk2MTAxMDAyOAMAAAABMAIAAAAGMTAwMDYzBAAAAAEwBwAAAAg0LzEvMjAyNQgAAAAINC8xLzIwMjUJ</t>
  </si>
  <si>
    <t>+WESv3PdCPIe5pTEc90IJUNJUS5OWVNFOkRYQy5JUV9QRV9FWENMLjIwMDAuNC8xLzIwMjUBAAAAtQMEAAMAAAACTk0BBwAAAAUAAAABMQEAAAALLTE5NjEwMTAwMjgDAAAAATACAAAABjEwMDA2NgQAAAABMAcAAAAINC8xLzIwMjUIAAAACDQvMS8yMDI1CflhEr9z3QjyHuaUxHPdCCpDSVEuTkFTREFRR1M6TVNGVC5JUV9QRV9FWENMLjIwMDAuNC8xLzIwMjUBAAAAS1UAAAIAAAAQMzAuNzk3MzE3NjQ2MjIwOAEHAAAABQAAAAExAQAAAAstMTk2MTY2NjQ3MAMAAAABMAIAAAAGMTAwMDY2BAAAAAEwBwAAAAg0LzEvMjAyNQgAAAAINC8xLzIwMjUJ+WESv3PdCPIe5pTEc90IMENJUS5OQVNEQVFHUzpNU0ZULklRX1RFVl9UT1RBTF9SRVYuMjAwMC40LzEvMjAyNQEAAABLVQAAAgAAABAxMC45NzIyMTQzODQ4OTY0AQcAAAAFAAAAATEBAAAACy0xOTYxNjY2NDcwAwAAAAEwAgAAAAYxMDAwNjEEAAAAATAHAAAACDQvMS8yMDI1CAAAAAg0LzEvMjAyNQn5YRK/c90I8h7mlMRz3QgtQ0lRLk5BU0RBUUdTOk1TRlQuSVFfVEVWX0VCSVREQS4yMDAwLjQvMS8yMDI1AQAAAEtVAAACAAAAEDIwLjAwNDIzMTc3NjM5MjYBBwAAAAUAAAABMQEAAAALLTE5NjE2NjY0NzADAAAAATACAAAABjEwMDA2MwQAAAABMAcAAAAINC8xLzIwMjUIAAAACDQvMS8yMDI1CflhEr9z3QjyHuaUxHPdCCtDSVEuTllTRTpIUEUuSVFfVEVW</t>
  </si>
  <si>
    <t>X1RPVEFMX1JFVi4yMDAwLjQvMS8yMDI1AQAAAA6pVBACAAAAETAuODI4NDg3OTE4Mjc4MzU4AQcAAAAFAAAAATEBAAAACy0xOTU2NjM5NTkwAwAAAAEwAgAAAAYxMDAwNjEEAAAAATAHAAAACDQvMS8yMDI1CAAAAAg0LzEvMjAyNQn5YRK/c90I8h7mlMRz3QgoQ0lRLk5ZU0U6SFBFLklRX1RFVl9FQklUREEuMjAwMC40LzEvMjAyNQEAAAAOqVQQAgAAABA0Ljc4MzcyMTEwNTA1OTE3AQcAAAAFAAAAATEBAAAACy0xOTU2NjM5NTkwAwAAAAEwAgAAAAYxMDAwNjMEAAAAATAHAAAACDQvMS8yMDI1CAAAAAg0LzEvMjAyNQn5YRK/c90I8h7mlMRz3QglQ0lRLk5ZU0U6SFBFLklRX1BFX0VYQ0wuMjAwMC40LzEvMjAyNQEAAAAOqVQQAgAAABA3LjUzMjQzNzg4NTA4MDIzAQcAAAAFAAAAATEBAAAACy0xOTU2NjM5NTkwAwAAAAEwAgAAAAYxMDAwNjYEAAAAATAHAAAACDQvMS8yMDI1CAAAAAg0LzEvMjAyNQn5YRK/c90I8h7mlMRz3QglQ0lRLk5ZU0U6Q1JNLklRX1BFX0VYQ0wuMjAwMC40LzEvMjAyNQEAAAAl4AEAAgAAABA0Mi40ODQyNzY3Mjk1NTk3AQcAAAAFAAAAATEBAAAACy0xOTU2OTQwNDU2AwAAAAEwAgAAAAYxMDAwNjYEAAAAATAHAAAACDQvMS8yMDI1CAAAAAg0LzEvMjAyNQn5YRK/c90IPm3mlMRz3QgrQ0lRLk5ZU0U6Q1JNLklRX1RFVl9UT1RBTF9SRVYuMjAwMC40LzEvMjAyNQEAAAAl4AEAAgAA</t>
  </si>
  <si>
    <t>AA02LjgwMDM3NDcxOTYyAQcAAAAFAAAAATEBAAAACy0xOTU2OTQwNDU2AwAAAAEwAgAAAAYxMDAwNjEEAAAAATAHAAAACDQvMS8yMDI1CAAAAAg0LzEvMjAyNQn5YRK/c90IPm3mlMRz3QgoQ0lRLk5ZU0U6Q1JNLklRX1RFVl9FQklUREEuMjAwMC40LzEvMjAyNQEAAAAl4AEAAgAAABAyMS43ODkxNDM0ODUyNDU2AQcAAAAFAAAAATEBAAAACy0xOTU2OTQwNDU2AwAAAAEwAgAAAAYxMDAwNjMEAAAAATAHAAAACDQvMS8yMDI1CAAAAAg0LzEvMjAyNQn5YRK/c90IPm3mlMRz3QgwQ0lRLk5BU0RBUUdTOkNUU0guSVFfVEVWX1RPVEFMX1JFVi4yMDAwLjQvMS8yMDI1AQAAAOjjBQACAAAAEDEuODc4NDYzNTIwNzM4NzUBBwAAAAUAAAABMQEAAAALLTE5NTk5NTIzODQDAAAAATACAAAABjEwMDA2MQQAAAABMAcAAAAINC8xLzIwMjUIAAAACDQvMS8yMDI1CflhEr9z3Qg+beaUxHPdCC1DSVEuTkFTREFRR1M6Q1RTSC5JUV9URVZfRUJJVERBLjIwMDAuNC8xLzIwMjUBAAAA6OMFAAIAAAAQOS44NTczMTM0OTI1MDE5OQEHAAAABQAAAAExAQAAAAstMTk1OTk1MjM4NAMAAAABMAIAAAAGMTAwMDYzBAAAAAEwBwAAAAg0LzEvMjAyNQgAAAAINC8xLzIwMjUJ+WESv3PdCD5t5pTEc90IKkNJUS5OQVNEQVFHUzpDVFNILklRX1BFX0VYQ0wuMjAwMC40LzEvMjAyNQEAAADo4wUAAgAAABAxNi45NTEyMTk1MTIxOTUxAQcA</t>
  </si>
  <si>
    <t>AAAFAAAAATEBAAAACy0xOTU5OTUyMzg0AwAAAAEwAgAAAAYxMDAwNjYEAAAAATAHAAAACDQvMS8yMDI1CAAAAAg0LzEvMjAyNQn5YRK/c90IPm3mlMRz3QgrQ0lRLk5ZU0U6QUNOLklRX1RFVl9UT1RBTF9SRVYuMjAwMC40LzEvMjAyNQEAAACe1Q4AAgAAABAyLjkyNzc4MjM4NjU1NzUzAQcAAAAFAAAAATEBAAAACy0xOTU1MTI4MzA3AwAAAAEwAgAAAAYxMDAwNjEEAAAAATAHAAAACDQvMS8yMDI1CAAAAAg0LzEvMjAyNQn5YRK/c90IPm3mlMRz3QgoQ0lRLk5ZU0U6QUNOLklRX1RFVl9FQklUREEuMjAwMC40LzEvMjAyNQEAAACe1Q4AAgAAABAxNS44NjM1MzE0MjM1MjY0AQcAAAAFAAAAATEBAAAACy0xOTU1MTI4MzA3AwAAAAEwAgAAAAYxMDAwNjMEAAAAATAHAAAACDQvMS8yMDI1CAAAAAg0LzEvMjAyNQn5YRK/c90IPm3mlMRz3QglQ0lRLk5ZU0U6QUNOLklRX1BFX0VYQ0wuMjAwMC40LzEvMjAyNQEAAACe1Q4AAgAAABAyNS44Nzc4ODIyNzUxOTM4AQcAAAAFAAAAATEBAAAACy0xOTU1MTI4MzA3AwAAAAEwAgAAAAYxMDAwNjYEAAAAATAHAAAACDQvMS8yMDI1CAAAAAg0LzEvMjAyNQn5YRK/c90IPm3mlMRz3QgpQ0lRLk5ZU0U6T1JDTC5JUV9URVZfRUJJVERBLjIwMDAuNC8xLzIwMjUBAAAA51YAAAIAAAAQMjAuMzE1MDE3OTk0NjkyMwEHAAAABQAAAAExAQAAAAstMTk1NjMwNDkyMAMAAAABMAIA</t>
  </si>
  <si>
    <t>AAAGMTAwMDYzBAAAAAEwBwAAAAg0LzEvMjAyNQgAAAAINC8xLzIwMjUJ+WESv3PdCD5t5pTEc90IJkNJUS5OWVNFOk9SQ0wuSVFfUEVfRVhDTC4yMDAwLjQvMS8yMDI1AQAAAOdWAAACAAAADzMzLjMyOTMxODAzNTc1NAEHAAAABQAAAAExAQAAAAstMTk1NjMwNDkyMAMAAAABMAIAAAAGMTAwMDY2BAAAAAEwBwAAAAg0LzEvMjAyNQgAAAAINC8xLzIwMjUJ+WESv3PdCD5t5pTEc90ILENJUS5OWVNFOk9SQ0wuSVFfVEVWX1RPVEFMX1JFVi4yMDAwLjQvMS8yMDI1AQAAAOdWAAACAAAAEDguNzgyNTQ5NzcyNTExMzQBBwAAAAUAAAABMQEAAAALLTE5NTYzMDQ5MjADAAAAATACAAAABjEwMDA2MQQAAAABMAcAAAAINC8xLzIwMjUIAAAACDQvMS8yMDI1CflhEr9z3Qg+beaUxHPdCDFDSVEuTkFTREFRR1M6SE9OLklRX1RFVl9FQklUREFfRldELjEwMDAyLjQvMS8yMDI1AQAAAER1FAACAAAAEDE0LjMyNTIwMjE1MTQxNDgBDQAAAAUAAAABOQEAAAAHMjYxODk1MAIAAAAKMTAwNDI0MDIzMgMAAAAGMTAwMzA4BAAAAAEyBgAAAAEwBwAAAAMxNjAIAAAAATAJAAAAATEKAAAAATALAAAACzE0MTkzODIyMjM5DAAAAAE3DQAAAAg0LzIvMjAyNQn5YRK/c90InxnjlMRz3QguQ0lRLk5BU0RBUUdTOkhPTi5JUV9QRV9FWENMX0ZXRC4xMDAwMi40LzEvMjAyNQEAAABEdRQAAgAAABAxOC42MjkwMDMxMTkyMzQzAQ0AAAAF</t>
  </si>
  <si>
    <t>AAAAATkBAAAABzI2MTg5NTACAAAACjEwMDQyNDAyMzIDAAAABjEwMDMwOQQAAAABMgYAAAABMAcAAAADMTYwCAAAAAEwCQAAAAExCgAAAAEwCwAAAAsxNDE5MzgyMzE4OAwAAAABNw0AAAAINC8yLzIwMjUJ+WESv3PdCJ8Z45TEc90ILUNJUS5OWVNFOkRYQy5JUV9URVZfRUJJVERBX0ZXRC4xMDAwMi40LzEvMjAyNQEAAAC1AwQAAgAAABAzLjI5NTkxMzE4MDQ1MzQ1AQ0AAAAFAAAAATkBAAAACTQyMzY1NDg1OQIAAAAJNzA5NTU4NTA2AwAAAAYxMDAzMDgEAAAAATIGAAAAATAHAAAAAzE2MAgAAAABMAkAAAABMQoAAAABMAsAAAALMTQxNzA2NjgzNzAMAAAAATcNAAAACDQvMi8yMDI1CflhEr9z3QgTaOOUxHPdCCpDSVEuTllTRTpEWEMuSVFfUEVfRVhDTF9GV0QuMTAwMDIuNC8xLzIwMjUBAAAAtQMEAAIAAAAQNC43ODA0MTUxODQ4NDgyMwENAAAABQAAAAE5AQAAAAk0MjM2NTQ4NTkCAAAACTcwOTU1ODUwNgMAAAAGMTAwMzA5BAAAAAEyBgAAAAEwBwAAAAMxNjAIAAAAATAJAAAAATEKAAAAATALAAAACzE0MTcwNjcwNjE5DAAAAAE3DQAAAAg0LzIvMjAyNQn5YRK/c90IE2jjlMRz3QgyQ0lRLk5BU0RBUUdTOk1TRlQuSVFfVEVWX0VCSVREQV9GV0QuMTAwMDIuNC8xLzIwMjUBAAAAS1UAAAIAAAAQMTUuOTc3OTIzNDQ5NTE4MQENAAAABQAAAAE5AQAAAAcyNjMwNDEzAgAAAAk0NzU1MDIzNTADAAAABjEw</t>
  </si>
  <si>
    <t>MDMwOAQAAAABMgYAAAABMAcAAAADMTYwCAAAAAEwCQAAAAExCgAAAAEwCwAAAAsxNDIwNDM5ODYxNgwAAAABNw0AAAAINC8yLzIwMjUJ+WESv3PdCHO245TEc90IL0NJUS5OQVNEQVFHUzpNU0ZULklRX1BFX0VYQ0xfRldELjEwMDAyLjQvMS8yMDI1AQAAAEtVAAACAAAAEDIzLjk2MTAwNDM1NzIzMDIBDQAAAAUAAAABOQEAAAAHMjYzMDQxMwIAAAAJNDc1NTAyMzUwAwAAAAYxMDAzMDkEAAAAATIGAAAAATAHAAAAAzE2MAgAAAABMAkAAAABMQoAAAABMAsAAAALMTQyMDUxODc3NTcMAAAAATcNAAAACDQvMi8yMDI1CflhEr9z3QhztuOUxHPdCC1DSVEuTllTRTpIUEUuSVFfVEVWX0VCSVREQV9GV0QuMTAwMDIuNC8xLzIwMjUBAAAADqlUEAIAAAAQNC4xMzA5MzAyNDI0MTY4OQENAAAABQAAAAE5AQAAAAkzMTMwNjQ1MTQCAAAABzM4MzIyMDADAAAABjEwMDMwOAQAAAABMgYAAAABMAcAAAADMTYwCAAAAAEwCQAAAAExCgAAAAEwCwAAAAsxNDE3Mjg4NDQzMAwAAAABNw0AAAAINC8yLzIwMjUJ+WESv3PdCNAE5JTEc90IKkNJUS5OWVNFOkhQRS5JUV9QRV9FWENMX0ZXRC4xMDAwMi40LzEvMjAyNQEAAAAOqVQQAgAAABA3LjI4MzU2NTQwNzcyMTMyAQ0AAAAFAAAAATkBAAAACTMxMzA2NDUxNAIAAAAHMzgzMjIwMAMAAAAGMTAwMzA5BAAAAAEyBgAAAAEwBwAAAAMxNjAIAAAAATAJAAAAATEKAAAAATALAAAA</t>
  </si>
  <si>
    <t>CzE0MTgxNzQwNTczDAAAAAE3DQAAAAg0LzIvMjAyNQn5YRK/c90I0ATklMRz3QgqQ0lRLk5ZU0U6Q1JNLklRX1BFX0VYQ0xfRldELjEwMDAyLjQvMS8yMDI1AQAAACXgAQACAAAADzIxLjUwNDE0NDA0NDMzOQENAAAABQAAAAE5AQAAAAgxMDQ1ODIyNgIAAAAKMTAwMjMyNjEwNwMAAAAGMTAwMzA5BAAAAAEyBgAAAAEwBwAAAAMxNjAIAAAAATAJAAAAATEKAAAAATALAAAACzE0MTg1MTA0MzIxDAAAAAE3DQAAAAg0LzIvMjAyNQn5YRK/c90IKFPklMRz3QgtQ0lRLk5ZU0U6Q1JNLklRX1RFVl9FQklUREFfRldELjEwMDAyLjQvMS8yMDI1AQAAACXgAQACAAAAEDE0LjcxMjczODU2OTc2ODIBDQAAAAUAAAABOQEAAAAIMTA0NTgyMjYCAAAACjEwMDIzMjYxMDcDAAAABjEwMDMwOAQAAAABMgYAAAABMAcAAAADMTYwCAAAAAEwCQAAAAExCgAAAAEwCwAAAAsxNDE5MDA5NDg5NAwAAAABNw0AAAAINC8yLzIwMjUJ+WESv3PdCChT5JTEc90IMkNJUS5OQVNEQVFHUzpDVFNILklRX1RFVl9FQklUREFfRldELjEwMDAyLjQvMS8yMDI1AQAAAOjjBQACAAAAEDkuMTk1ODg0MDg4ODM2MDIBDQAAAAUAAAABOQEAAAAHMjYwMTI3NAIAAAAKMTAwMzYxOTg0OAMAAAAGMTAwMzA4BAAAAAEyBgAAAAEwBwAAAAMxNjAIAAAAATAJAAAAATEKAAAAATALAAAACzE0MTk5NjU3NDI2DAAAAAE3DQAAAAg0LzIvMjAyNQn5YRK/c90I</t>
  </si>
  <si>
    <t>d6HklMRz3QgvQ0lRLk5BU0RBUUdTOkNUU0guSVFfUEVfRVhDTF9GV0QuMTAwMDIuNC8xLzIwMjUBAAAA6OMFAAIAAAAQMTQuMjY1ODU0MzE4NDc2NgENAAAABQAAAAE5AQAAAAcyNjAxMjc0AgAAAAoxMDAzNjE5ODQ4AwAAAAYxMDAzMDkEAAAAATIGAAAAATAHAAAAAzE2MAgAAAABMAkAAAABMQoAAAABMAsAAAALMTQxOTk2NTc3NjUMAAAAATcNAAAACDQvMi8yMDI1CflhEr9z3Qh3oeSUxHPdCC1DSVEuTllTRTpBQ04uSVFfVEVWX0VCSVREQV9GV0QuMTAwMDIuNC8xLzIwMjUBAAAAntUOAAIAAAAQMTMuODA5MjgwNzEwMDk2NwENAAAABQAAAAE5AQAAAAcyNjY1ODQ2AgAAAAk3MDM1MDY2ODEDAAAABjEwMDMwOAQAAAABMgYAAAABMAcAAAADMTYwCAAAAAEwCQAAAAExCgAAAAEwCwAAAAsxNDE4ODIxMzc5MgwAAAABNw0AAAAINC8yLzIwMjUJ+WESv3PdCKTl5JTEc90IKkNJUS5OWVNFOkFDTi5JUV9QRV9FWENMX0ZXRC4xMDAwMi40LzEvMjAyNQEAAACe1Q4AAgAAABAyMi4xMDM2NDU2NDI0MjgyAQ0AAAAFAAAAATkBAAAABzI2NjU4NDYCAAAACTcwMzUwNjY4MQMAAAAGMTAwMzA5BAAAAAEyBgAAAAEwBwAAAAMxNjAIAAAAATAJAAAAATEKAAAAATALAAAACzE0MjAzNTY3MDYzDAAAAAE3DQAAAAg0LzIvMjAyNQn5YRK/c90IpOXklMRz3QguQ0lRLk5ZU0U6T1JDTC5JUV9URVZfRUJJVERBX0ZXRC4xMDAw</t>
  </si>
  <si>
    <t>Mi40LzEvMjAyNQEAAADnVgAAAgAAABAxMy4xOTM1OTY4MDY3MzM0AQ0AAAAFAAAAATkBAAAABzI2MzYwNzcCAAAACTY1MTU3OTYxMgMAAAAGMTAwMzA4BAAAAAEyBgAAAAEwBwAAAAMxNjAIAAAAATAJAAAAATEKAAAAATALAAAACzE0MTk5MjA3NTE2DAAAAAE3DQAAAAg0LzIvMjAyNQn5YRK/c90IBDTllMRz3QgrQ0lRLk5ZU0U6T1JDTC5JUV9QRV9FWENMX0ZXRC4xMDAwMi40LzEvMjAyNQEAAADnVgAAAgAAABAxOS4zMjM2NTgzNDM5OTc2AQ0AAAAFAAAAATkBAAAABzI2MzYwNzcCAAAACTY1MTU3OTYxMgMAAAAGMTAwMzA5BAAAAAEyBgAAAAEwBwAAAAMxNjAIAAAAATAJAAAAATEKAAAAATALAAAACzE0MTk5MjA3NjEyDAAAAAE3DQAAAAg0LzIvMjAyNQn5YRK/c90IBDTllMRz3QgxQ0lRLk5BU0RBUUdTOkhPTi5JUV9URVZfRUJJVERBX0ZXRC4xMDAwMS40LzEvMjAyNQEAAABEdRQAAgAAABAxNS4zNDAyMjEyNDg5Nzc4AQ0AAAAFAAAAATkBAAAABzI2MTg5NTACAAAACjEwMDQyNDAyMjcDAAAABjEwMDMwOAQAAAABMgYAAAABMAcAAAADMTYwCAAAAAEwCQAAAAExCgAAAAEwCwAAAAsxNDE5MzgyMjI5MQwAAAABNw0AAAAINC8yLzIwMjUJ+WESv3PdCPIe5pTEc90ILkNJUS5OQVNEQVFHUzpIT04uSVFfUEVfRVhDTF9GV0QuMTAwMDEuNC8xLzIwMjUBAAAARHUUAAIAAAAQMjAuNjMwODAyODY2MzcxOQEN</t>
  </si>
  <si>
    <t>AAAABQAAAAE5AQAAAAcyNjE4OTUwAgAAAAoxMDA0MjQwMjI3AwAAAAYxMDAzMDkEAAAAATIGAAAAATAHAAAAAzE2MAgAAAABMAkAAAABMQoAAAABMAsAAAALMTQxOTM4MjMyMzEMAAAAATcNAAAACDQvMi8yMDI1CflhEr9z3QjyHuaUxHPdCC1DSVEuTllTRTpEWEMuSVFfVEVWX0VCSVREQV9GV0QuMTAwMDEuNC8xLzIwMjUBAAAAtQMEAAIAAAAQMy4xODE1MzExNzA2MzY4NgENAAAABQAAAAE5AQAAAAk0MjM2NTQ4NTkCAAAACTcwOTU1ODUwNQMAAAAGMTAwMzA4BAAAAAEyBgAAAAEwBwAAAAMxNjAIAAAAATAJAAAAATEKAAAAATALAAAACzE0MTcwNjY4NDE5DAAAAAE3DQAAAAg0LzIvMjAyNQn5YRK/c90I8h7mlMRz3QgqQ0lRLk5ZU0U6RFhDLklRX1BFX0VYQ0xfRldELjEwMDAxLjQvMS8yMDI1AQAAALUDBAACAAAAEDUuMTM5MTQ4MjE3MzAyMzkBDQAAAAUAAAABOQEAAAAJNDIzNjU0ODU5AgAAAAk3MDk1NTg1MDUDAAAABjEwMDMwOQQAAAABMgYAAAABMAcAAAADMTYwCAAAAAEwCQAAAAExCgAAAAEwCwAAAAsxNDE3MDY3MDYxNQwAAAABNw0AAAAINC8yLzIwMjUJ+WESv3PdCPIe5pTEc90IMkNJUS5OQVNEQVFHUzpNU0ZULklRX1RFVl9FQklUREFfRldELjEwMDAxLjQvMS8yMDI1AQAAAEtVAAACAAAAEDE3Ljg0NjM4NzU1NzQ5MTcBDQAAAAUAAAABOQEAAAAHMjYzMDQxMwIAAAAJNDc1NTAyMzQ5AwAA</t>
  </si>
  <si>
    <t>AAYxMDAzMDgEAAAAATIGAAAAATAHAAAAAzE2MAgAAAABMAkAAAABMQoAAAABMAsAAAALMTQyMDQzOTgzNjMMAAAAATcNAAAACDQvMi8yMDI1CflhEr9z3QjyHuaUxHPdCC9DSVEuTkFTREFRR1M6TVNGVC5JUV9QRV9FWENMX0ZXRC4xMDAwMS40LzEvMjAyNQEAAABLVQAAAgAAABAyNy42NzY2NzY5NzM4Nzk1AQ0AAAAFAAAAATkBAAAABzI2MzA0MTMCAAAACTQ3NTUwMjM0OQMAAAAGMTAwMzA5BAAAAAEyBgAAAAEwBwAAAAMxNjAIAAAAATAJAAAAATEKAAAAATALAAAACzE0MjA0Mzk5NzY0DAAAAAE3DQAAAAg0LzIvMjAyNQn5YRK/c90I8h7mlMRz3QgtQ0lRLk5ZU0U6SFBFLklRX1RFVl9FQklUREFfRldELjEwMDAxLjQvMS8yMDI1AQAAAA6pVBACAAAAEDQuOTA3NDUwOTM3NzgyMjkBDQAAAAUAAAABOQEAAAAJMzEzMDY0NTE0AgAAAAcyMjY0NjA4AwAAAAYxMDAzMDgEAAAAATIGAAAAATAHAAAAAzE2MAgAAAABMAkAAAABMQoAAAABMAsAAAALMTQxNzI4ODQ0MTgMAAAAATcNAAAACDQvMi8yMDI1CflhEr9z3QjyHuaUxHPdCCpDSVEuTllTRTpIUEUuSVFfUEVfRVhDTF9GV0QuMTAwMDEuNC8xLzIwMjUBAAAADqlUEAIAAAAQOC42NjMzODAwNDc2Mzc1MQENAAAABQAAAAE5AQAAAAkzMTMwNjQ1MTQCAAAABzIyNjQ2MDgDAAAABjEwMDMwOQQAAAABMgYAAAABMAcAAAADMTYwCAAAAAEwCQAAAAExCgAAAAEw</t>
  </si>
  <si>
    <t>CwAAAAsxNDE4MTc0MDU2MgwAAAABNw0AAAAINC8yLzIwMjUJ+WESv3PdCPIe5pTEc90IKkNJUS5OWVNFOkNSTS5JUV9QRV9FWENMX0ZXRC4xMDAwMS40LzEvMjAyNQEAAAAl4AEAAgAAABAyNC4yMDE0OTQwMDc4NDYyAQ0AAAAFAAAAATkBAAAACDEwNDU4MjI2AgAAAAoxMDAyMzI2MTA2AwAAAAYxMDAzMDkEAAAAATIGAAAAATAHAAAAAzE2MAgAAAABMAkAAAABMQoAAAABMAsAAAALMTQxODUxMDQzMjcMAAAAATcNAAAACDQvMi8yMDI1CflhEr9z3Qg+beaUxHPdCC1DSVEuTllTRTpDUk0uSVFfVEVWX0VCSVREQV9GV0QuMTAwMDEuNC8xLzIwMjUBAAAAJeABAAIAAAAQMTYuMTAyMjE0MzAyNjg1NQENAAAABQAAAAE5AQAAAAgxMDQ1ODIyNgIAAAAKMTAwMjMyNjEwNgMAAAAGMTAwMzA4BAAAAAEyBgAAAAEwBwAAAAMxNjAIAAAAATAJAAAAATEKAAAAATALAAAACzE0MTkwMDk0NzIzDAAAAAE3DQAAAAg0LzIvMjAyNQn5YRK/c90IPm3mlMRz3QgyQ0lRLk5BU0RBUUdTOkNUU0guSVFfVEVWX0VCSVREQV9GV0QuMTAwMDEuNC8xLzIwMjUBAAAA6OMFAAIAAAAPOS43MDI2MjUwOTAxODY0AQ0AAAAFAAAAATkBAAAABzI2MDEyNzQCAAAACjEwMDE4MTE5ODkDAAAABjEwMDMwOAQAAAABMgYAAAABMAcAAAADMTYwCAAAAAEwCQAAAAExCgAAAAEwCwAAAAsxNDE5OTY1Nzk2OQwAAAABNw0AAAAINC8yLzIwMjUJ+WES</t>
  </si>
  <si>
    <t>v3PdCD5t5pTEc90IL0NJUS5OQVNEQVFHUzpDVFNILklRX1BFX0VYQ0xfRldELjEwMDAxLjQvMS8yMDI1AQAAAOjjBQACAAAAEDE1LjI4ODE5NTk5Mjg3MjgBDQAAAAUAAAABOQEAAAAHMjYwMTI3NAIAAAAKMTAwMTgxMTk4OQMAAAAGMTAwMzA5BAAAAAEyBgAAAAEwBwAAAAMxNjAIAAAAATAJAAAAATEKAAAAATALAAAACzE0MTk5NjU3ODAxDAAAAAE3DQAAAAg0LzIvMjAyNQn5YRK/c90IPm3mlMRz3QgqQ0lRLk5ZU0U6QUNOLklRX1BFX0VYQ0xfRldELjEwMDAxLjQvMS8yMDI1AQAAAJ7VDgACAAAAEDI0LjQwMDY0NDI5Mjc5NTMBDQAAAAUAAAABOQEAAAAHMjY2NTg0NgIAAAAJNzAzNTA2NjgwAwAAAAYxMDAzMDkEAAAAATIGAAAAATAHAAAAAzE2MAgAAAABMAkAAAABMQoAAAABMAsAAAALMTQxOTA0OTY1OTYMAAAAATcNAAAACDQvMi8yMDI1CflhEr9z3Qg+beaUxHPdCC1DSVEuTllTRTpBQ04uSVFfVEVWX0VCSVREQV9GV0QuMTAwMDEuNC8xLzIwMjUBAAAAntUOAAIAAAAQMTQuOTQyOTM3MDQwNDI3MgENAAAABQAAAAE5AQAAAAcyNjY1ODQ2AgAAAAk3MDM1MDY2ODADAAAABjEwMDMwOAQAAAABMgYAAAABMAcAAAADMTYwCAAAAAEwCQAAAAExCgAAAAEwCwAAAAsxNDE4ODMyNjkxMQwAAAABNw0AAAAINC8yLzIwMjUJ+WESv3PdCD5t5pTEc90ILkNJUS5OWVNFOk9SQ0wuSVFfVEVWX0VCSVREQV9GV0Qu</t>
  </si>
  <si>
    <t>MTAwMDEuNC8xLzIwMjUBAAAA51YAAAIAAAAQMTUuNDkwMzQ2MDg4MDYyMQENAAAABQAAAAE5AQAAAAcyNjM2MDc3AgAAAAk2NTE1Nzk2MTEDAAAABjEwMDMwOAQAAAABMgYAAAABMAcAAAADMTYwCAAAAAEwCQAAAAExCgAAAAEwCwAAAAsxNDE5OTIwNzQ4OAwAAAABNw0AAAAINC8yLzIwMjUJ+WESv3PdCD5t5pTEc90IK0NJUS5OWVNFOk9SQ0wuSVFfUEVfRVhDTF9GV0QuMTAwMDEuNC8xLzIwMjUBAAAA51YAAAIAAAAQMjIuODY1NTE5Njg1NTQ2OAENAAAABQAAAAE5AQAAAAcyNjM2MDc3AgAAAAk2NTE1Nzk2MTEDAAAABjEwMDMwOQQAAAABMgYAAAABMAcAAAADMTYwCAAAAAEwCQAAAAExCgAAAAEwCwAAAAsxNDE5OTIwNzYwOAwAAAABNw0AAAAINC8yLzIwMjUJ+WESv3PdCD5t5pTEc90IKENJUS5OWVNFOkRYQy5JUV9QRVJJT0REQVRFLjEwMDAuNC8xLzIwMjUBAAAAtQMEAAUAAAAJMy8zMS8yMDI0AHI4YhK/c90Ic7bjlMRz3QgsQ0lRLk5BU0RBUUdTOkhPTi5JUV9QRVJJT0REQVRFLjEwMDAuNC8xLzIwMjUBAAAARHUUAAUAAAAKMTIvMzEvMjAyNAByOGISv3PdCJ8Z45TEc90IKENJUS5OWVNFOkhQRS5JUV9QRVJJT0REQVRFLjEwMDAuNC8xLzIwMjUBAAAADqlUEAUAAAAKMTAvMzEvMjAyNAByOGISv3PdCNAE5JTEc90ILUNJUS5OQVNEQVFHUzpNU0ZULklRX1BFUklPRERBVEUuMTAwMC40LzEvMjAy</t>
  </si>
  <si>
    <t>NQEAAABLVQAABQAAAAk2LzMwLzIwMjQAcjhiEr9z3QhztuOUxHPdCC1DSVEuTkFTREFRR1M6Q1RTSC5JUV9QRVJJT0REQVRFLjEwMDAuNC8xLzIwMjUBAAAA6OMFAAUAAAAKMTIvMzEvMjAyNAAJYGISv3PdCHeh5JTEc90IKENJUS5OWVNFOkNSTS5JUV9QRVJJT0REQVRFLjEwMDAuNC8xLzIwMjUBAAAAJeABAAUAAAAJMS8zMS8yMDI1AAlgYhK/c90IKFPklMRz3QgpQ0lRLk5ZU0U6T1JDTC5JUV9QRVJJT0REQVRFLjEwMDAuNC8xLzIwMjUBAAAA51YAAAUAAAAJNS8zMS8yMDI0ACtwYhK/c90IBDTllMRz3QgoQ0lRLk5ZU0U6QUNOLklRX1BFUklPRERBVEUuMTAwMC40LzEvMjAyNQEAAACe1Q4ABQAAAAk4LzMxLzIwMjQAK3BiEr9z3Qik5eSUxHPdCDFDSVEuTkFTREFRR1M6SE9OLklRX0NBU0hfQ09OVkVSU0lPTi4yMDAwLjQvMS8yMDI1AQAAAER1FAACAAAACTY1LjYwMTQ3NAEIAAAABQAAAAExAQAAAAstMTk1ODgxMTc2MwMAAAADMTYwAgAAAAQ0MTg0BAAAAAEwBwAAAAg0LzEvMjAyNQgAAAAKMTIvMzEvMjAyNAkAAAABMHI4YhK/c90InxnjlMRz3QgtQ0lRLk5BU0RBUUdTOkhPTi5JUV9BU1NFVF9UVVJOUy4yMDAwLjQvMS8yMDI1AQAAAER1FAACAAAACDAuNTYzMTYxAQgAAAAFAAAAATEBAAAACy0xOTU4ODExNzYzAwAAAAMxNjACAAAABDQxNzcEAAAAATAHAAAACDQvMS8yMDI1CAAAAAoxMi8zMS8y</t>
  </si>
  <si>
    <t>MDI0CQAAAAEwcjhiEr9z3QifGeOUxHPdCDNDSVEuTkFTREFRR1M6SE9OLklRX0ZJWEVEX0FTU0VUX1RVUk5TLjIwMDAuNC8xLzIwMjUBAAAARHUUAAIAAAAINS41NDYwNjMBCAAAAAUAAAABMQEAAAALLTE5NTg4MTE3NjMDAAAAAzE2MAIAAAAENDA2NgQAAAABMAcAAAAINC8xLzIwMjUIAAAACjEyLzMxLzIwMjQJAAAAATByOGISv3PdCJ8Z45TEc90IKkNJUS5OQVNEQVFHUzpIT04uSVFfQVJfVFVSTlMuMjAwMC40LzEvMjAyNQEAAABEdRQAAgAAAAg1LjAxNjM1MgEIAAAABQAAAAExAQAAAAstMTk1ODgxMTc2MwMAAAADMTYwAgAAAAQ0MDAxBAAAAAEwBwAAAAg0LzEvMjAyNQgAAAAKMTIvMzEvMjAyNAkAAAABMHI4YhK/c90IT8vilMRz3QgxQ0lRLk5BU0RBUUdTOkhPTi5JUV9JTlZFTlRPUllfVFVSTlMuMjAwMC40LzEvMjAyNQEAAABEdRQAAgAAAAgzLjc3NzQ5NgEIAAAABQAAAAExAQAAAAstMTk1ODgxMTc2MwMAAAADMTYwAgAAAAQ0MDgyBAAAAAEwBwAAAAg0LzEvMjAyNQgAAAAKMTIvMzEvMjAyNAkAAAABMHI4YhK/c90InxnjlMRz3Qg1Q0lRLk5BU0RBUUdTOkhPTi5JUV9FQklUREFfNVlSX0FOTl9DQUdSLjIwMDAuNC8xLzIwMjUBAAAARHUUAAIAAAAGMi4xMDY3AQgAAAAFAAAAATEBAAAACy0xOTU4ODExNzYzAwAAAAMxNjACAAAABDQyMzUEAAAAATAHAAAACDQvMS8yMDI1CAAAAAoxMi8zMS8y</t>
  </si>
  <si>
    <t>MDI0CQAAAAEwcjhiEr9z3QifGeOUxHPdCDdDSVEuTkFTREFRR1M6SE9OLklRX0VCSVREQV8xWVJfQU5OX0dST1dUSC4xMDAwLjQvMS8yMDI1AQAAAER1FAACAAAABjkuMjMyNQEIAAAABQAAAAExAQAAAAstMTk1ODgxMjUwMAMAAAADMTYwAgAAAAQ0MTk2BAAAAAEwBwAAAAg0LzEvMjAyNQgAAAAKMTIvMzEvMjAyNAkAAAABMHI4YhK/c90InxnjlMRz3Qg3Q0lRLk5BU0RBUUdTOkhPTi5JUV9FQklUREFfMVlSX0FOTl9HUk9XVEguMjAwMC40LzEvMjAyNQEAAABEdRQAAgAAAAY5LjIzMjUBCAAAAAUAAAABMQEAAAALLTE5NTg4MTE3NjMDAAAAAzE2MAIAAAAENDE5NgQAAAABMAcAAAAINC8xLzIwMjUIAAAACjEyLzMxLzIwMjQJAAAAATByOGISv3PdCJ8Z45TEc90IMkNJUS5OQVNEQVFHUzpIT04uSVFfRVBTXzVZUl9BTk5fQ0FHUi4yMDAwLjQvMS8yMDI1AQAAAER1FAACAAAABjAuNzAzNQEIAAAABQAAAAExAQAAAAstMTk1ODgxMTc2MwMAAAADMTYwAgAAAAQ0MjM5BAAAAAEwBwAAAAg0LzEvMjAyNQgAAAAKMTIvMzEvMjAyNAkAAAABMHI4YhK/c90InxnjlMRz3Qg0Q0lRLk5BU0RBUUdTOkhPTi5JUV9FUFNfMVlSX0FOTl9HUk9XVEguMTAwMC40LzEvMjAyNQEAAABEdRQAAgAAAAYyLjgzMzUBCAAAAAUAAAABMQEAAAALLTE5NTg4MTI1MDADAAAAAzE2MAIAAAAENDIwMAQAAAABMAcAAAAINC8xLzIwMjUI</t>
  </si>
  <si>
    <t>AAAACjEyLzMxLzIwMjQJAAAAATByOGISv3PdCJ8Z45TEc90INENJUS5OQVNEQVFHUzpIT04uSVFfRVBTXzFZUl9BTk5fR1JPV1RILjIwMDAuNC8xLzIwMjUBAAAARHUUAAIAAAAGMi44MzM1AQgAAAAFAAAAATEBAAAACy0xOTU4ODExNzYzAwAAAAMxNjACAAAABDQyMDAEAAAAATAHAAAACDQvMS8yMDI1CAAAAAoxMi8zMS8yMDI0CQAAAAEwcjhiEr9z3QifGeOUxHPdCC9DSVEuTkFTREFRR1M6SE9OLklRX1JFVFVSTl9BU1NFVFMuMjAwMC40LzEvMjAyNQEAAABEdRQAAgAAAAY3LjQ5ODgBCAAAAAUAAAABMQEAAAALLTE5NTg4MTE3NjMDAAAAAzE2MAIAAAAENDE3OAQAAAABMAcAAAAINC8xLzIwMjUIAAAACjEyLzMxLzIwMjQJAAAAATByOGISv3PdCJ8Z45TEc90IL0NJUS5OQVNEQVFHUzpIT04uSVFfRUJJVERBX01BUkdJTi4xMDAwLjQvMS8yMDI1AQAAAER1FAACAAAABzI0Ljc3MDEBCAAAAAUAAAABMQEAAAALLTE5NTg4MTI1MDADAAAAAzE2MAIAAAAENDA0NwQAAAABMAcAAAAINC8xLzIwMjUIAAAACjEyLzMxLzIwMjQJAAAAATByOGISv3PdCJ8Z45TEc90IKkNJUS5OQVNEQVFHUzpIT04uSVFfTklfTUFSR0lOLjk5OC40LzEvMjAyNQEAAABEdRQAAgAAAAcxNC4wMDIxAQgAAAAFAAAAATEBAAAACy0xOTU4ODEyNTQyAwAAAAMxNjACAAAABDQwOTQEAAAAATAHAAAACDQvMS8yMDI1CAAAAAoxMi8zMS8y</t>
  </si>
  <si>
    <t>MDIyCQAAAAEwcjhiEr9z3QifGeOUxHPdCCpDSVEuTkFTREFRR1M6SE9OLklRX05JX01BUkdJTi45OTkuNC8xLzIwMjUBAAAARHUUAAIAAAAHMTUuNDMyOAEIAAAABQAAAAExAQAAAAstMTk1ODgxMjUxMQMAAAADMTYwAgAAAAQ0MDk0BAAAAAEwBwAAAAg0LzEvMjAyNQgAAAAKMTIvMzEvMjAyMwkAAAABMHI4YhK/c90InxnjlMRz3QgrQ0lRLk5BU0RBUUdTOkhPTi5JUV9OSV9NQVJHSU4uMTAwMC40LzEvMjAyNQEAAABEdRQAAgAAAAcxNC44MTg5AQgAAAAFAAAAATEBAAAACy0xOTU4ODEyNTAwAwAAAAMxNjACAAAABDQwOTQEAAAAATAHAAAACDQvMS8yMDI1CAAAAAoxMi8zMS8yMDI0CQAAAAEwcjhiEr9z3QifGeOUxHPdCDhDSVEuTkFTREFRR1M6SE9OLklRX1RPVEFMX1JFVl81WVJfQU5OX0NBR1IuMjAwMC40LzEvMjAyNQEAAABEdRQAAgAAAAYwLjk1NjIBCAAAAAUAAAABMQEAAAALLTE5NTg4MTE3NjMDAAAAAzE2MAIAAAAENDIzMwQAAAABMAcAAAAINC8xLzIwMjUIAAAACjEyLzMxLzIwMjQJAAAAATByOGISv3PdCJ8Z45TEc90IOkNJUS5OQVNEQVFHUzpIT04uSVFfVE9UQUxfUkVWXzFZUl9BTk5fR1JPV1RILjEwMDAuNC8xLzIwMjUBAAAARHUUAAIAAAAGNS4wMDc5AQgAAAAFAAAAATEBAAAACy0xOTU4ODEyNTAwAwAAAAMxNjACAAAABDQxOTQEAAAAATAHAAAACDQvMS8yMDI1CAAAAAoxMi8zMS8y</t>
  </si>
  <si>
    <t>MDI0CQAAAAEwcjhiEr9z3QifGeOUxHPdCDpDSVEuTkFTREFRR1M6SE9OLklRX1RPVEFMX1JFVl8xWVJfQU5OX0dST1dUSC4yMDAwLjQvMS8yMDI1AQAAAER1FAACAAAABjUuMDA3OQEIAAAABQAAAAExAQAAAAstMTk1ODgxMTc2MwMAAAADMTYwAgAAAAQ0MTk0BAAAAAEwBwAAAAg0LzEvMjAyNQgAAAAKMTIvMzEvMjAyNAkAAAABMHI4YhK/c90InxnjlMRz3QgtQ0lRLk5BU0RBUUdTOkhPTi5JUV9HUk9TU19NQVJHSU4uOTk4LjQvMS8yMDI1AQAAAER1FAACAAAABzM2Ljk5MDMBCAAAAAUAAAABMQEAAAALLTE5NTg4MTI1NDIDAAAAAzE2MAIAAAAENDA3NAQAAAABMAcAAAAINC8xLzIwMjUIAAAACjEyLzMxLzIwMjIJAAAAATByOGISv3PdCJ8Z45TEc90ILUNJUS5OQVNEQVFHUzpIT04uSVFfR1JPU1NfTUFSR0lOLjk5OS40LzEvMjAyNQEAAABEdRQAAgAAAAczNy4yNzgzAQgAAAAFAAAAATEBAAAACy0xOTU4ODEyNTExAwAAAAMxNjACAAAABDQwNzQEAAAAATAHAAAACDQvMS8yMDI1CAAAAAoxMi8zMS8yMDIzCQAAAAEwcjhiEr9z3QifGeOUxHPdCC5DSVEuTkFTREFRR1M6SE9OLklRX0dST1NTX01BUkdJTi4xMDAwLjQvMS8yMDI1AQAAAER1FAACAAAABjM4LjA4NQEIAAAABQAAAAExAQAAAAstMTk1ODgxMjUwMAMAAAADMTYwAgAAAAQ0MDc0BAAAAAEwBwAAAAg0LzEvMjAyNQgAAAAKMTIvMzEvMjAyNAkA</t>
  </si>
  <si>
    <t>AAABMHI4YhK/c90InxnjlMRz3QguQ0lRLk5BU0RBUUdTOkhPTi5JUV9HUk9TU19NQVJHSU4uMjAwMC40LzEvMjAyNQEAAABEdRQAAgAAAAYzOC4wODUBCAAAAAUAAAABMQEAAAALLTE5NTg4MTE3NjMDAAAAAzE2MAIAAAAENDA3NAQAAAABMAcAAAAINC8xLzIwMjUIAAAACjEyLzMxLzIwMjQJAAAAATByOGISv3PdCJ8Z45TEc90ILkNJUS5OQVNEQVFHUzpIT04uSVFfRUJJVERBX01BUkdJTi45OTguNC8xLzIwMjUBAAAARHUUAAIAAAAHMjMuMzI5MwEIAAAABQAAAAExAQAAAAstMTk1ODgxMjU0MgMAAAADMTYwAgAAAAQ0MDQ3BAAAAAEwBwAAAAg0LzEvMjAyNQgAAAAKMTIvMzEvMjAyMgkAAAABMHI4YhK/c90InxnjlMRz3QguQ0lRLk5BU0RBUUdTOkhPTi5JUV9FQklUREFfTUFSR0lOLjk5OS40LzEvMjAyNQEAAABEdRQAAgAAAAcyMy44MTIxAQgAAAAFAAAAATEBAAAACy0xOTU4ODEyNTExAwAAAAMxNjACAAAABDQwNDcEAAAAATAHAAAACDQvMS8yMDI1CAAAAAoxMi8zMS8yMDIzCQAAAAEwcjhiEr9z3QifGeOUxHPdCDhDSVEuTkFTREFRR1M6SE9OLklRX0RJTFVUX0VQU19FWENMLjEwMDAuNC8xLzIwMjUuLi5VU0QuSAEAAABEdRQAAgAAAAQ4LjcxAQgAAAAFAAAAATEBAAAACy0xOTU4ODEyNTAwAwAAAAMxNjACAAAAAzE0MgQAAAABMAcAAAAINC8xLzIwMjUIAAAACjEyLzMxLzIwMjQJAAAAATByOGIS</t>
  </si>
  <si>
    <t>v3PdCJ8Z45TEc90IJkNJUS5OWVNFOkRYQy5JUV9BUl9UVVJOUy4yMDAwLjQvMS8yMDI1AQAAALUDBAACAAAACDUuNjM0MDkzAQgAAAAFAAAAATEBAAAACy0xOTYxMDEwMDI4AwAAAAMxNjACAAAABDQwMDEEAAAAATAHAAAACDQvMS8yMDI1CAAAAAoxMi8zMS8yMDI0CQAAAAEwcjhiEr9z3QgTaOOUxHPdCC1DSVEuTllTRTpEWEMuSVFfSU5WRU5UT1JZX1RVUk5TLjIwMDAuNC8xLzIwMjUBAAAAtQMEAAMAAAAAAHI4YhK/c90IE2jjlMRz3QgsQ0lRLk5BU0RBUUdTOkhPTi5JUV9QRVJJT0REQVRFLjIwMDAuNC8xLzIwMjUBAAAARHUUAAUAAAAKMTIvMzEvMjAyNAByOGISv3PdCJ8Z45TEc90IM0NJUS5OQVNEQVFHUzpIT04uSVFfVE9UQUxfUkVWLjEwMDAuNC8xLzIwMjUuLi5VU0QuSAEAAABEdRQAAgAAAAUzODQ5OAEIAAAABQAAAAExAQAAAAstMTk1ODgxMjUwMAMAAAADMTYwAgAAAAIyOAQAAAABMAcAAAAINC8xLzIwMjUIAAAACjEyLzMxLzIwMjQJAAAAATByOGISv3PdCJ8Z45TEc90IMENJUS5OQVNEQVFHUzpIT04uSVFfRUJJVERBLjEwMDAuNC8xLzIwMjUuLi5VU0QuSAEAAABEdRQAAgAAAAQ5NTM2AQgAAAAFAAAAATEBAAAACy0xOTU4ODEyNTAwAwAAAAMxNjACAAAABDQwNTEEAAAAATAHAAAACDQvMS8yMDI1CAAAAAoxMi8zMS8yMDI0CQAAAAEwcjhiEr9z3QgTaOOUxHPdCC5DSVEuTllTRTpEWEMu</t>
  </si>
  <si>
    <t>SVFfRVBTXzVZUl9BTk5fQ0FHUi4yMDAwLjQvMS8yMDI1AQAAALUDBAADAAAAAk5NAQgAAAAFAAAAATEBAAAACy0xOTYxMDEwMDI4AwAAAAMxNjACAAAABDQyMzkEAAAAATAHAAAACDQvMS8yMDI1CAAAAAoxMi8zMS8yMDI0CQAAAAEwcjhiEr9z3QgTaOOUxHPdCDBDSVEuTllTRTpEWEMuSVFfRVBTXzFZUl9BTk5fR1JPV1RILjEwMDAuNC8xLzIwMjUBAAAAtQMEAAMAAAACTk0BCAAAAAUAAAABMQEAAAALLTE5OTM4MDk5OTkDAAAAAzE2MAIAAAAENDIwMAQAAAABMAcAAAAINC8xLzIwMjUIAAAACTMvMzEvMjAyNAkAAAABMHI4YhK/c90IE2jjlMRz3QgwQ0lRLk5ZU0U6RFhDLklRX0VQU18xWVJfQU5OX0dST1dUSC4yMDAwLjQvMS8yMDI1AQAAALUDBAADAAAAAk5NAQgAAAAFAAAAATEBAAAACy0xOTYxMDEwMDI4AwAAAAMxNjACAAAABDQyMDAEAAAAATAHAAAACDQvMS8yMDI1CAAAAAoxMi8zMS8yMDI0CQAAAAEwcjhiEr9z3QgTaOOUxHPdCCtDSVEuTllTRTpEWEMuSVFfUkVUVVJOX0FTU0VUUy4yMDAwLjQvMS8yMDI1AQAAALUDBAACAAAABTEuMTI4AQgAAAAFAAAAATEBAAAACy0xOTYxMDEwMDI4AwAAAAMxNjACAAAABDQxNzgEAAAAATAHAAAACDQvMS8yMDI1CAAAAAoxMi8zMS8yMDI0CQAAAAEwcjhiEr9z3QgTaOOUxHPdCC1DSVEuTllTRTpEWEMuSVFfQ0FTSF9DT05WRVJTSU9OLjIwMDAuNC8xLzIw</t>
  </si>
  <si>
    <t>MjUBAAAAtQMEAAMAAAAAAHI4YhK/c90IE2jjlMRz3QgpQ0lRLk5ZU0U6RFhDLklRX0FTU0VUX1RVUk5TLjIwMDAuNC8xLzIwMjUBAAAAtQMEAAIAAAAIMC45MzczNjcBCAAAAAUAAAABMQEAAAALLTE5NjEwMTAwMjgDAAAAAzE2MAIAAAAENDE3NwQAAAABMAcAAAAINC8xLzIwMjUIAAAACjEyLzMxLzIwMjQJAAAAATByOGISv3PdCBNo45TEc90IL0NJUS5OWVNFOkRYQy5JUV9GSVhFRF9BU1NFVF9UVVJOUy4yMDAwLjQvMS8yMDI1AQAAALUDBAACAAAACDUuODMzNzQxAQgAAAAFAAAAATEBAAAACy0xOTYxMDEwMDI4AwAAAAMxNjACAAAABDQwNjYEAAAAATAHAAAACDQvMS8yMDI1CAAAAAoxMi8zMS8yMDI0CQAAAAEwcjhiEr9z3QgTaOOUxHPdCCdDSVEuTllTRTpEWEMuSVFfTklfTUFSR0lOLjEwMDAuNC8xLzIwMjUBAAAAtQMEAAIAAAAGMC42NjU4AQgAAAAFAAAAATEBAAAACy0xOTkzODA5OTk5AwAAAAMxNjACAAAABDQwOTQEAAAAATAHAAAACDQvMS8yMDI1CAAAAAkzLzMxLzIwMjQJAAAAATByOGISv3PdCBNo45TEc90INENJUS5OWVNFOkRYQy5JUV9UT1RBTF9SRVZfNVlSX0FOTl9DQUdSLjIwMDAuNC8xLzIwMjUBAAAAtQMEAAIAAAAHLTguMTY5NgEIAAAABQAAAAExAQAAAAstMTk2MTAxMDAyOAMAAAADMTYwAgAAAAQ0MjMzBAAAAAEwBwAAAAg0LzEvMjAyNQgAAAAKMTIvMzEvMjAyNAkAAAABMHI4</t>
  </si>
  <si>
    <t>YhK/c90IE2jjlMRz3Qg2Q0lRLk5ZU0U6RFhDLklRX1RPVEFMX1JFVl8xWVJfQU5OX0dST1dUSC4xMDAwLjQvMS8yMDI1AQAAALUDBAACAAAABy01LjI4NzYBCAAAAAUAAAABMQEAAAALLTE5OTM4MDk5OTkDAAAAAzE2MAIAAAAENDE5NAQAAAABMAcAAAAINC8xLzIwMjUIAAAACTMvMzEvMjAyNAkAAAABMHI4YhK/c90IE2jjlMRz3Qg2Q0lRLk5ZU0U6RFhDLklRX1RPVEFMX1JFVl8xWVJfQU5OX0dST1dUSC4yMDAwLjQvMS8yMDI1AQAAALUDBAACAAAABy01LjY1MTcBCAAAAAUAAAABMQEAAAALLTE5NjEwMTAwMjgDAAAAAzE2MAIAAAAENDE5NAQAAAABMAcAAAAINC8xLzIwMjUIAAAACjEyLzMxLzIwMjQJAAAAATByOGISv3PdCBNo45TEc90IMUNJUS5OWVNFOkRYQy5JUV9FQklUREFfNVlSX0FOTl9DQUdSLjIwMDAuNC8xLzIwMjUBAAAAtQMEAAIAAAAILTE1LjcyMjEBCAAAAAUAAAABMQEAAAALLTE5NjEwMTAwMjgDAAAAAzE2MAIAAAAENDIzNQQAAAABMAcAAAAINC8xLzIwMjUIAAAACjEyLzMxLzIwMjQJAAAAATByOGISv3PdCBNo45TEc90IM0NJUS5OWVNFOkRYQy5JUV9FQklUREFfMVlSX0FOTl9HUk9XVEguMTAwMC40LzEvMjAyNQEAAAC1AwQAAgAAAAgxNTEuMDc5MQEIAAAABQAAAAExAQAAAAstMTk5MzgwOTk5OQMAAAADMTYwAgAAAAQ0MTk2BAAAAAEwBwAAAAg0LzEvMjAyNQgAAAAJMy8zMS8y</t>
  </si>
  <si>
    <t>MDI0CQAAAAEwcjhiEr9z3QgTaOOUxHPdCDNDSVEuTllTRTpEWEMuSVFfRUJJVERBXzFZUl9BTk5fR1JPV1RILjIwMDAuNC8xLzIwMjUBAAAAtQMEAAIAAAADMjAwAQgAAAAFAAAAATEBAAAACy0xOTYxMDEwMDI4AwAAAAMxNjACAAAABDQxOTYEAAAAATAHAAAACDQvMS8yMDI1CAAAAAoxMi8zMS8yMDI0CQAAAAEwcjhiEr9z3QgTaOOUxHPdCCpDSVEuTllTRTpEWEMuSVFfR1JPU1NfTUFSR0lOLjEwMDAuNC8xLzIwMjUBAAAAtQMEAAIAAAAHMjIuNjgyMwEIAAAABQAAAAExAQAAAAstMTk5MzgwOTk5OQMAAAADMTYwAgAAAAQ0MDc0BAAAAAEwBwAAAAg0LzEvMjAyNQgAAAAJMy8zMS8yMDI0CQAAAAEwcjhiEr9z3QgTaOOUxHPdCCpDSVEuTllTRTpEWEMuSVFfR1JPU1NfTUFSR0lOLjIwMDAuNC8xLzIwMjUBAAAAtQMEAAIAAAAHMjMuOTkxNAEIAAAABQAAAAExAQAAAAstMTk2MTAxMDAyOAMAAAADMTYwAgAAAAQ0MDc0BAAAAAEwBwAAAAg0LzEvMjAyNQgAAAAKMTIvMzEvMjAyNAkAAAABMHI4YhK/c90IE2jjlMRz3QgqQ0lRLk5ZU0U6RFhDLklRX0VCSVREQV9NQVJHSU4uOTk4LjQvMS8yMDI1AQAAALUDBAACAAAABzE4LjgzNzkBCAAAAAUAAAABMQEAAAALLTE5OTM4MTAwMDgDAAAAAzE2MAIAAAAENDA0NwQAAAABMAcAAAAINC8xLzIwMjUIAAAACTMvMzEvMjAyMgkAAAABMHI4YhK/c90IE2jjlMRz3Qgq</t>
  </si>
  <si>
    <t>Q0lRLk5ZU0U6RFhDLklRX0VCSVREQV9NQVJHSU4uOTk5LjQvMS8yMDI1AQAAALUDBAACAAAABTMuODUzAQgAAAAFAAAAATEBAAAACy0xOTkzODA5OTk0AwAAAAMxNjACAAAABDQwNDcEAAAAATAHAAAACDQvMS8yMDI1CAAAAAkzLzMxLzIwMjMJAAAAATByOGISv3PdCBNo45TEc90IK0NJUS5OWVNFOkRYQy5JUV9FQklUREFfTUFSR0lOLjEwMDAuNC8xLzIwMjUBAAAAtQMEAAIAAAAHMTAuMjE0MwEIAAAABQAAAAExAQAAAAstMTk5MzgwOTk5OQMAAAADMTYwAgAAAAQ0MDQ3BAAAAAEwBwAAAAg0LzEvMjAyNQgAAAAJMy8zMS8yMDI0CQAAAAEwcjhiEr9z3QgTaOOUxHPdCCZDSVEuTllTRTpEWEMuSVFfTklfTUFSR0lOLjk5OC40LzEvMjAyNQEAAAC1AwQAAgAAAAY0LjQxNDMBCAAAAAUAAAABMQEAAAALLTE5OTM4MTAwMDgDAAAAAzE2MAIAAAAENDA5NAQAAAABMAcAAAAINC8xLzIwMjUIAAAACTMvMzEvMjAyMgkAAAABMHI4YhK/c90IE2jjlMRz3QgmQ0lRLk5ZU0U6RFhDLklRX05JX01BUkdJTi45OTkuNC8xLzIwMjUBAAAAtQMEAAIAAAAHLTMuOTM2MgEIAAAABQAAAAExAQAAAAstMTk5MzgwOTk5NAMAAAADMTYwAgAAAAQ0MDk0BAAAAAEwBwAAAAg0LzEvMjAyNQgAAAAJMy8zMS8yMDIzCQAAAAEwcjhiEr9z3QgTaOOUxHPdCClDSVEuTllTRTpEWEMuSVFfR1JPU1NfTUFSR0lOLjk5OC40LzEvMjAyNQEA</t>
  </si>
  <si>
    <t>AAC1AwQAAgAAAAcyMi4wMjI3AQgAAAAFAAAAATEBAAAACy0xOTkzODEwMDA4AwAAAAMxNjACAAAABDQwNzQEAAAAATAHAAAACDQvMS8yMDI1CAAAAAkzLzMxLzIwMjIJAAAAATByOGISv3PdCBNo45TEc90IKUNJUS5OWVNFOkRYQy5JUV9HUk9TU19NQVJHSU4uOTk5LjQvMS8yMDI1AQAAALUDBAACAAAABzIyLjA2NTEBCAAAAAUAAAABMQEAAAALLTE5OTM4MDk5OTQDAAAAAzE2MAIAAAAENDA3NAQAAAABMAcAAAAINC8xLzIwMjUIAAAACTMvMzEvMjAyMwkAAAABMHI4YhK/c90IE2jjlMRz3QgoQ0lRLk5ZU0U6RFhDLklRX1BFUklPRERBVEUuMjAwMC40LzEvMjAyNQEAAAC1AwQABQAAAAoxMi8zMS8yMDI0AHI4YhK/c90Ic7bjlMRz3QgvQ0lRLk5ZU0U6RFhDLklRX1RPVEFMX1JFVi4xMDAwLjQvMS8yMDI1Li4uVVNELkgBAAAAtQMEAAIAAAAFMTM2NjcBCAAAAAUAAAABMQEAAAALLTE5OTM4MDk5OTkDAAAAAzE2MAIAAAACMjgEAAAAATAHAAAACDQvMS8yMDI1CAAAAAkzLzMxLzIwMjQJAAAAATByOGISv3PdCBNo45TEc90ILENJUS5OWVNFOkRYQy5JUV9FQklUREEuMTAwMC40LzEvMjAyNS4uLlVTRC5IAQAAALUDBAACAAAABDEzOTYBCAAAAAUAAAABMQEAAAALLTE5OTM4MDk5OTkDAAAAAzE2MAIAAAAENDA1MQQAAAABMAcAAAAINC8xLzIwMjUIAAAACTMvMzEvMjAyNAkAAAABMHI4YhK/c90IE2jjlMRz</t>
  </si>
  <si>
    <t>3Qg0Q0lRLk5ZU0U6RFhDLklRX0RJTFVUX0VQU19FWENMLjEwMDAuNC8xLzIwMjUuLi5VU0QuSAEAAAC1AwQAAgAAAAQwLjQ2AQgAAAAFAAAAATEBAAAACy0xOTkzODA5OTk5AwAAAAMxNjACAAAAAzE0MgQAAAABMAcAAAAINC8xLzIwMjUIAAAACTMvMzEvMjAyNAkAAAABMHI4YhK/c90IE2jjlMRz3QgwQ0lRLk5BU0RBUUdTOk1TRlQuSVFfUkVUVVJOX0FTU0VUUy4yMDAwLjQvMS8yMDI1AQAAAEtVAAACAAAABzE0LjY0ODYBCAAAAAUAAAABMQEAAAALLTE5NjE2NjY0NzADAAAAAzE2MAIAAAAENDE3OAQAAAABMAcAAAAINC8xLzIwMjUIAAAACjEyLzMxLzIwMjQJAAAAATByOGISv3PdCHO245TEc90IMkNJUS5OQVNEQVFHUzpNU0ZULklRX0NBU0hfQ09OVkVSU0lPTi4yMDAwLjQvMS8yMDI1AQAAAEtVAAACAAAACi0yMy41MjI0NTQBCAAAAAUAAAABMQEAAAALLTE5NjE2NjY0NzADAAAAAzE2MAIAAAAENDE4NAQAAAABMAcAAAAINC8xLzIwMjUIAAAACjEyLzMxLzIwMjQJAAAAATByOGISv3PdCHO245TEc90ILkNJUS5OQVNEQVFHUzpNU0ZULklRX0FTU0VUX1RVUk5TLjIwMDAuNC8xLzIwMjUBAAAAS1UAAAIAAAAIMC41MjEyODEBCAAAAAUAAAABMQEAAAALLTE5NjE2NjY0NzADAAAAAzE2MAIAAAAENDE3NwQAAAABMAcAAAAINC8xLzIwMjUIAAAACjEyLzMxLzIwMjQJAAAAATByOGISv3PdCBNo45TEc90I</t>
  </si>
  <si>
    <t>NENJUS5OQVNEQVFHUzpNU0ZULklRX0ZJWEVEX0FTU0VUX1RVUk5TLjIwMDAuNC8xLzIwMjUBAAAAS1UAAAIAAAAHMS42NDQzNgEIAAAABQAAAAExAQAAAAstMTk2MTY2NjQ3MAMAAAADMTYwAgAAAAQ0MDY2BAAAAAEwBwAAAAg0LzEvMjAyNQgAAAAKMTIvMzEvMjAyNAkAAAABMHI4YhK/c90Ic7bjlMRz3QgrQ0lRLk5BU0RBUUdTOk1TRlQuSVFfQVJfVFVSTlMuMjAwMC40LzEvMjAyNQEAAABLVQAAAgAAAAg1Ljc1MjY4OAEIAAAABQAAAAExAQAAAAstMTk2MTY2NjQ3MAMAAAADMTYwAgAAAAQ0MDAxBAAAAAEwBwAAAAg0LzEvMjAyNQgAAAAKMTIvMzEvMjAyNAkAAAABMHI4YhK/c90Ic7bjlMRz3QgyQ0lRLk5BU0RBUUdTOk1TRlQuSVFfSU5WRU5UT1JZX1RVUk5TLjIwMDAuNC8xLzIwMjUBAAAAS1UAAAIAAAAINjMuNDYwMzgBCAAAAAUAAAABMQEAAAALLTE5NjE2NjY0NzADAAAAAzE2MAIAAAAENDA4MgQAAAABMAcAAAAINC8xLzIwMjUIAAAACjEyLzMxLzIwMjQJAAAAATByOGISv3PdCHO245TEc90IO0NJUS5OQVNEQVFHUzpNU0ZULklRX1RPVEFMX1JFVl8xWVJfQU5OX0dST1dUSC4yMDAwLjQvMS8yMDI1AQAAAEtVAAACAAAABzE1LjAzNTgBCAAAAAUAAAABMQEAAAALLTE5NjE2NjY0NzADAAAAAzE2MAIAAAAENDE5NAQAAAABMAcAAAAINC8xLzIwMjUIAAAACjEyLzMxLzIwMjQJAAAAATByOGISv3Pd</t>
  </si>
  <si>
    <t>CHO245TEc90INkNJUS5OQVNEQVFHUzpNU0ZULklRX0VCSVREQV81WVJfQU5OX0NBR1IuMjAwMC40LzEvMjAyNQEAAABLVQAAAgAAAAcxOC4zMTUxAQgAAAAFAAAAATEBAAAACy0xOTYxNjY2NDcwAwAAAAMxNjACAAAABDQyMzUEAAAAATAHAAAACDQvMS8yMDI1CAAAAAoxMi8zMS8yMDI0CQAAAAEwcjhiEr9z3QhztuOUxHPdCDhDSVEuTkFTREFRR1M6TVNGVC5JUV9FQklUREFfMVlSX0FOTl9HUk9XVEguMTAwMC40LzEvMjAyNQEAAABLVQAAAgAAAAcyNi42Nzc3AQgAAAAFAAAAATEBAAAACy0xOTg1OTMxMjAzAwAAAAMxNjACAAAABDQxOTYEAAAAATAHAAAACDQvMS8yMDI1CAAAAAk2LzMwLzIwMjQJAAAAATByOGISv3PdCHO245TEc90IOENJUS5OQVNEQVFHUzpNU0ZULklRX0VCSVREQV8xWVJfQU5OX0dST1dUSC4yMDAwLjQvMS8yMDI1AQAAAEtVAAACAAAABzIwLjkxMTYBCAAAAAUAAAABMQEAAAALLTE5NjE2NjY0NzADAAAAAzE2MAIAAAAENDE5NgQAAAABMAcAAAAINC8xLzIwMjUIAAAACjEyLzMxLzIwMjQJAAAAATByOGISv3PdCHO245TEc90IM0NJUS5OQVNEQVFHUzpNU0ZULklRX0VQU181WVJfQU5OX0NBR1IuMjAwMC40LzEvMjAyNQEAAABLVQAAAgAAAAcxNi42NjkyAQgAAAAFAAAAATEBAAAACy0xOTYxNjY2NDcwAwAAAAMxNjACAAAABDQyMzkEAAAAATAHAAAACDQvMS8yMDI1CAAAAAoxMi8z</t>
  </si>
  <si>
    <t>MS8yMDI0CQAAAAEwcjhiEr9z3QhztuOUxHPdCDVDSVEuTkFTREFRR1M6TVNGVC5JUV9FUFNfMVlSX0FOTl9HUk9XVEguMTAwMC40LzEvMjAyNQEAAABLVQAAAgAAAAcyMS45MDA4AQgAAAAFAAAAATEBAAAACy0xOTg1OTMxMjAzAwAAAAMxNjACAAAABDQyMDAEAAAAATAHAAAACDQvMS8yMDI1CAAAAAk2LzMwLzIwMjQJAAAAATByOGISv3PdCHO245TEc90INUNJUS5OQVNEQVFHUzpNU0ZULklRX0VQU18xWVJfQU5OX0dST1dUSC4yMDAwLjQvMS8yMDI1AQAAAEtVAAACAAAABjEyLjE5OQEIAAAABQAAAAExAQAAAAstMTk2MTY2NjQ3MAMAAAADMTYwAgAAAAQ0MjAwBAAAAAEwBwAAAAg0LzEvMjAyNQgAAAAKMTIvMzEvMjAyNAkAAAABMHI4YhK/c90Ic7bjlMRz3QgvQ0lRLk5BU0RBUUdTOk1TRlQuSVFfRUJJVERBX01BUkdJTi45OTkuNC8xLzIwMjUBAAAAS1UAAAIAAAAGNDguMjE1AQgAAAAFAAAAATEBAAAACy0xOTg1OTMxMjEyAwAAAAMxNjACAAAABDQwNDcEAAAAATAHAAAACDQvMS8yMDI1CAAAAAk2LzMwLzIwMjMJAAAAATByOGISv3PdCHO245TEc90IMENJUS5OQVNEQVFHUzpNU0ZULklRX0VCSVREQV9NQVJHSU4uMTAwMC40LzEvMjAyNQEAAABLVQAAAgAAAAc1Mi44MDM1AQgAAAAFAAAAATEBAAAACy0xOTg1OTMxMjAzAwAAAAMxNjACAAAABDQwNDcEAAAAATAHAAAACDQvMS8yMDI1CAAAAAk2LzMw</t>
  </si>
  <si>
    <t>LzIwMjQJAAAAATByOGISv3PdCHO245TEc90IK0NJUS5OQVNEQVFHUzpNU0ZULklRX05JX01BUkdJTi45OTguNC8xLzIwMjUBAAAAS1UAAAIAAAAHMzYuNjg2MwEIAAAABQAAAAExAQAAAAstMTk4NTkzMTIyNAMAAAADMTYwAgAAAAQ0MDk0BAAAAAEwBwAAAAg0LzEvMjAyNQgAAAAJNi8zMC8yMDIyCQAAAAEwcjhiEr9z3QhztuOUxHPdCCtDSVEuTkFTREFRR1M6TVNGVC5JUV9OSV9NQVJHSU4uOTk5LjQvMS8yMDI1AQAAAEtVAAACAAAABzM0LjE0NjIBCAAAAAUAAAABMQEAAAALLTE5ODU5MzEyMTIDAAAAAzE2MAIAAAAENDA5NAQAAAABMAcAAAAINC8xLzIwMjUIAAAACTYvMzAvMjAyMwkAAAABMHI4YhK/c90Ic7bjlMRz3QgsQ0lRLk5BU0RBUUdTOk1TRlQuSVFfTklfTUFSR0lOLjEwMDAuNC8xLzIwMjUBAAAAS1UAAAIAAAAHMzUuOTU1OQEIAAAABQAAAAExAQAAAAstMTk4NTkzMTIwMwMAAAADMTYwAgAAAAQ0MDk0BAAAAAEwBwAAAAg0LzEvMjAyNQgAAAAJNi8zMC8yMDI0CQAAAAEwcjhiEr9z3QhztuOUxHPdCDlDSVEuTkFTREFRR1M6TVNGVC5JUV9UT1RBTF9SRVZfNVlSX0FOTl9DQUdSLjIwMDAuNC8xLzIwMjUBAAAAS1UAAAIAAAAHMTQuMjkxMQEIAAAABQAAAAExAQAAAAstMTk2MTY2NjQ3MAMAAAADMTYwAgAAAAQ0MjMzBAAAAAEwBwAAAAg0LzEvMjAyNQgAAAAKMTIvMzEvMjAyNAkAAAABMHI4</t>
  </si>
  <si>
    <t>YhK/c90Ic7bjlMRz3Qg7Q0lRLk5BU0RBUUdTOk1TRlQuSVFfVE9UQUxfUkVWXzFZUl9BTk5fR1JPV1RILjEwMDAuNC8xLzIwMjUBAAAAS1UAAAIAAAAHMTUuNjY5OQEIAAAABQAAAAExAQAAAAstMTk4NTkzMTIwMwMAAAADMTYwAgAAAAQ0MTk0BAAAAAEwBwAAAAg0LzEvMjAyNQgAAAAJNi8zMC8yMDI0CQAAAAEwcjhiEr9z3QhztuOUxHPdCC5DSVEuTkFTREFRR1M6TVNGVC5JUV9HUk9TU19NQVJHSU4uOTk4LjQvMS8yMDI1AQAAAEtVAAACAAAABzY4LjQwMTYBCAAAAAUAAAABMQEAAAALLTE5ODU5MzEyMjQDAAAAAzE2MAIAAAAENDA3NAQAAAABMAcAAAAINC8xLzIwMjUIAAAACTYvMzAvMjAyMgkAAAABMHI4YhK/c90Ic7bjlMRz3QguQ0lRLk5BU0RBUUdTOk1TRlQuSVFfR1JPU1NfTUFSR0lOLjk5OS40LzEvMjAyNQEAAABLVQAAAgAAAAc2OC45OTE4AQgAAAAFAAAAATEBAAAACy0xOTg1OTMxMjEyAwAAAAMxNjACAAAABDQwNzQEAAAAATAHAAAACDQvMS8yMDI1CAAAAAk2LzMwLzIwMjMJAAAAATByOGISv3PdCHO245TEc90IL0NJUS5OQVNEQVFHUzpNU0ZULklRX0dST1NTX01BUkdJTi4xMDAwLjQvMS8yMDI1AQAAAEtVAAACAAAABzY5Ljc2NDQBCAAAAAUAAAABMQEAAAALLTE5ODU5MzEyMDMDAAAAAzE2MAIAAAAENDA3NAQAAAABMAcAAAAINC8xLzIwMjUIAAAACTYvMzAvMjAyNAkAAAABMHI4YhK/</t>
  </si>
  <si>
    <t>c90Ic7bjlMRz3QgvQ0lRLk5BU0RBUUdTOk1TRlQuSVFfR1JPU1NfTUFSR0lOLjIwMDAuNC8xLzIwMjUBAAAAS1UAAAIAAAAHNjkuNDA5MwEIAAAABQAAAAExAQAAAAstMTk2MTY2NjQ3MAMAAAADMTYwAgAAAAQ0MDc0BAAAAAEwBwAAAAg0LzEvMjAyNQgAAAAKMTIvMzEvMjAyNAkAAAABMHI4YhK/c90Ic7bjlMRz3QgvQ0lRLk5BU0RBUUdTOk1TRlQuSVFfRUJJVERBX01BUkdJTi45OTguNC8xLzIwMjUBAAAAS1UAAAIAAAAHNDkuNDE4OQEIAAAABQAAAAExAQAAAAstMTk4NTkzMTIyNAMAAAADMTYwAgAAAAQ0MDQ3BAAAAAEwBwAAAAg0LzEvMjAyNQgAAAAJNi8zMC8yMDIyCQAAAAEwcjhiEr9z3QhztuOUxHPdCDFDSVEuTkFTREFRR1M6TVNGVC5JUV9FQklUREEuMTAwMC40LzEvMjAyNS4uLlVTRC5IAQAAAEtVAAACAAAABjEyOTQzMwEIAAAABQAAAAExAQAAAAstMTk4NTkzMTIwMwMAAAADMTYwAgAAAAQ0MDUxBAAAAAEwBwAAAAg0LzEvMjAyNQgAAAAJNi8zMC8yMDI0CQAAAAEwcjhiEr9z3QhztuOUxHPdCDlDSVEuTkFTREFRR1M6TVNGVC5JUV9ESUxVVF9FUFNfRVhDTC4xMDAwLjQvMS8yMDI1Li4uVVNELkgBAAAAS1UAAAIAAAAEMTEuOAEIAAAABQAAAAExAQAAAAstMTk4NTkzMTIwMwMAAAADMTYwAgAAAAMxNDIEAAAAATAHAAAACDQvMS8yMDI1CAAAAAk2LzMwLzIwMjQJAAAAATByOGISv3PdCHO2</t>
  </si>
  <si>
    <t>45TEc90IL0NJUS5OWVNFOkhQRS5JUV9GSVhFRF9BU1NFVF9UVVJOUy4yMDAwLjQvMS8yMDI1AQAAAA6pVBACAAAACDUuNDczOTI0AQgAAAAFAAAAATEBAAAACy0xOTU2NjM5NTkwAwAAAAMxNjACAAAABDQwNjYEAAAAATAHAAAACDQvMS8yMDI1CAAAAAkxLzMxLzIwMjUJAAAAATByOGISv3PdCNAE5JTEc90IJkNJUS5OWVNFOkhQRS5JUV9BUl9UVVJOUy4yMDAwLjQvMS8yMDI1AQAAAA6pVBACAAAACDguNDQzNjQ1AQgAAAAFAAAAATEBAAAACy0xOTU2NjM5NTkwAwAAAAMxNjACAAAABDQwMDEEAAAAATAHAAAACDQvMS8yMDI1CAAAAAkxLzMxLzIwMjUJAAAAATByOGISv3PdCHO245TEc90ILUNJUS5OWVNFOkhQRS5JUV9JTlZFTlRPUllfVFVSTlMuMjAwMC40LzEvMjAyNQEAAAAOqVQQAgAAAAgyLjg2OTI3MwEIAAAABQAAAAExAQAAAAstMTk1NjYzOTU5MAMAAAADMTYwAgAAAAQ0MDgyBAAAAAEwBwAAAAg0LzEvMjAyNQgAAAAJMS8zMS8yMDI1CQAAAAEwcjhiEr9z3QhztuOUxHPdCC1DSVEuTkFTREFRR1M6TVNGVC5JUV9QRVJJT0REQVRFLjIwMDAuNC8xLzIwMjUBAAAAS1UAAAUAAAAKMTIvMzEvMjAyNAByOGISv3PdCHO245TEc90INENJUS5OQVNEQVFHUzpNU0ZULklRX1RPVEFMX1JFVi4xMDAwLjQvMS8yMDI1Li4uVVNELkgBAAAAS1UAAAIAAAAGMjQ1MTIyAQgAAAAFAAAAATEBAAAACy0xOTg1OTMx</t>
  </si>
  <si>
    <t>MjAzAwAAAAMxNjACAAAAAjI4BAAAAAEwBwAAAAg0LzEvMjAyNQgAAAAJNi8zMC8yMDI0CQAAAAEwcjhiEr9z3QhztuOUxHPdCDNDSVEuTllTRTpIUEUuSVFfRUJJVERBXzFZUl9BTk5fR1JPV1RILjIwMDAuNC8xLzIwMjUBAAAADqlUEAIAAAAGMi44MjYzAQgAAAAFAAAAATEBAAAACy0xOTU2NjM5NTkwAwAAAAMxNjACAAAABDQxOTYEAAAAATAHAAAACDQvMS8yMDI1CAAAAAkxLzMxLzIwMjUJAAAAATByOGISv3PdCNAE5JTEc90ILkNJUS5OWVNFOkhQRS5JUV9FUFNfNVlSX0FOTl9DQUdSLjIwMDAuNC8xLzIwMjUBAAAADqlUEAIAAAAHMTguNDA2NAEIAAAABQAAAAExAQAAAAstMTk1NjYzOTU5MAMAAAADMTYwAgAAAAQ0MjM5BAAAAAEwBwAAAAg0LzEvMjAyNQgAAAAJMS8zMS8yMDI1CQAAAAEwcjhiEr9z3QjQBOSUxHPdCDBDSVEuTllTRTpIUEUuSVFfRVBTXzFZUl9BTk5fR1JPV1RILjEwMDAuNC8xLzIwMjUBAAAADqlUEAIAAAAHMjUuMjU2MQEIAAAABQAAAAExAQAAAAstMTk2MzkwNjc0NgMAAAADMTYwAgAAAAQ0MjAwBAAAAAEwBwAAAAg0LzEvMjAyNQgAAAAKMTAvMzEvMjAyNAkAAAABMHI4YhK/c90Ic7bjlMRz3QgwQ0lRLk5ZU0U6SFBFLklRX0VQU18xWVJfQU5OX0dST1dUSC4yMDAwLjQvMS8yMDI1AQAAAA6pVBACAAAABzQzLjE5NTQBCAAAAAUAAAABMQEAAAALLTE5NTY2Mzk1OTADAAAAAzE2</t>
  </si>
  <si>
    <t>MAIAAAAENDIwMAQAAAABMAcAAAAINC8xLzIwMjUIAAAACTEvMzEvMjAyNQkAAAABMHI4YhK/c90Ic7bjlMRz3QgrQ0lRLk5ZU0U6SFBFLklRX1JFVFVSTl9BU1NFVFMuMjAwMC40LzEvMjAyNQEAAAAOqVQQAgAAAAYyLjQ3MzIBCAAAAAUAAAABMQEAAAALLTE5NTY2Mzk1OTADAAAAAzE2MAIAAAAENDE3OAQAAAABMAcAAAAINC8xLzIwMjUIAAAACTEvMzEvMjAyNQkAAAABMHI4YhK/c90I0ATklMRz3QgtQ0lRLk5ZU0U6SFBFLklRX0NBU0hfQ09OVkVSU0lPTi4yMDAwLjQvMS8yMDI1AQAAAA6pVBACAAAACTI0LjAxMjUyOAEIAAAABQAAAAExAQAAAAstMTk1NjYzOTU5MAMAAAADMTYwAgAAAAQ0MTg0BAAAAAEwBwAAAAg0LzEvMjAyNQgAAAAJMS8zMS8yMDI1CQAAAAEwcjhiEr9z3QjQBOSUxHPdCClDSVEuTllTRTpIUEUuSVFfQVNTRVRfVFVSTlMuMjAwMC40LzEvMjAyNQEAAAAOqVQQAgAAAAcwLjQ4NDM5AQgAAAAFAAAAATEBAAAACy0xOTU2NjM5NTkwAwAAAAMxNjACAAAABDQxNzcEAAAAATAHAAAACDQvMS8yMDI1CAAAAAkxLzMxLzIwMjUJAAAAATByOGISv3PdCNAE5JTEc90IJkNJUS5OWVNFOkhQRS5JUV9OSV9NQVJHSU4uOTk5LjQvMS8yMDI1AQAAAA6pVBACAAAABjYuOTUwNAEIAAAABQAAAAExAQAAAAstMTk2MzkwNjc2NgMAAAADMTYwAgAAAAQ0MDk0BAAAAAEwBwAAAAg0LzEvMjAyNQgAAAAK</t>
  </si>
  <si>
    <t>MTAvMzEvMjAyMwkAAAABMHI4YhK/c90I0ATklMRz3QgnQ0lRLk5ZU0U6SFBFLklRX05JX01BUkdJTi4xMDAwLjQvMS8yMDI1AQAAAA6pVBACAAAABjguNTYwNAEIAAAABQAAAAExAQAAAAstMTk2MzkwNjc0NgMAAAADMTYwAgAAAAQ0MDk0BAAAAAEwBwAAAAg0LzEvMjAyNQgAAAAKMTAvMzEvMjAyNAkAAAABMHI4YhK/c90I0ATklMRz3Qg0Q0lRLk5ZU0U6SFBFLklRX1RPVEFMX1JFVl81WVJfQU5OX0NBR1IuMjAwMC40LzEvMjAyNQEAAAAOqVQQAgAAAAYxLjgyMTYBCAAAAAUAAAABMQEAAAALLTE5NTY2Mzk1OTADAAAAAzE2MAIAAAAENDIzMwQAAAABMAcAAAAINC8xLzIwMjUIAAAACTEvMzEvMjAyNQkAAAABMHI4YhK/c90I0ATklMRz3Qg2Q0lRLk5ZU0U6SFBFLklRX1RPVEFMX1JFVl8xWVJfQU5OX0dST1dUSC4xMDAwLjQvMS8yMDI1AQAAAA6pVBACAAAABjMuNDA0OAEIAAAABQAAAAExAQAAAAstMTk2MzkwNjc0NgMAAAADMTYwAgAAAAQ0MTk0BAAAAAEwBwAAAAg0LzEvMjAyNQgAAAAKMTAvMzEvMjAyNAkAAAABMHI4YhK/c90I0ATklMRz3Qg2Q0lRLk5ZU0U6SFBFLklRX1RPVEFMX1JFVl8xWVJfQU5OX0dST1dUSC4yMDAwLjQvMS8yMDI1AQAAAA6pVBACAAAABzExLjE5OTcBCAAAAAUAAAABMQEAAAALLTE5NTY2Mzk1OTADAAAAAzE2MAIAAAAENDE5NAQAAAABMAcAAAAINC8xLzIwMjUIAAAACTEv</t>
  </si>
  <si>
    <t>MzEvMjAyNQkAAAABMHI4YhK/c90I0ATklMRz3QgxQ0lRLk5ZU0U6SFBFLklRX0VCSVREQV81WVJfQU5OX0NBR1IuMjAwMC40LzEvMjAyNQEAAAAOqVQQAgAAAActMC40NTI2AQgAAAAFAAAAATEBAAAACy0xOTU2NjM5NTkwAwAAAAMxNjACAAAABDQyMzUEAAAAATAHAAAACDQvMS8yMDI1CAAAAAkxLzMxLzIwMjUJAAAAATByOGISv3PdCNAE5JTEc90IM0NJUS5OWVNFOkhQRS5JUV9FQklUREFfMVlSX0FOTl9HUk9XVEguMTAwMC40LzEvMjAyNQEAAAAOqVQQAgAAAActMC4wMzk2AQgAAAAFAAAAATEBAAAACy0xOTYzOTA2NzQ2AwAAAAMxNjACAAAABDQxOTYEAAAAATAHAAAACDQvMS8yMDI1CAAAAAoxMC8zMS8yMDI0CQAAAAEwcjhiEr9z3QjQBOSUxHPdCClDSVEuTllTRTpIUEUuSVFfR1JPU1NfTUFSR0lOLjk5OS40LzEvMjAyNQEAAAAOqVQQAgAAAAczNS4xNDMyAQgAAAAFAAAAATEBAAAACy0xOTYzOTA2NzY2AwAAAAMxNjACAAAABDQwNzQEAAAAATAHAAAACDQvMS8yMDI1CAAAAAoxMC8zMS8yMDIzCQAAAAEwcjhiEr9z3QjQBOSUxHPdCCpDSVEuTllTRTpIUEUuSVFfR1JPU1NfTUFSR0lOLjEwMDAuNC8xLzIwMjUBAAAADqlUEAIAAAAHMzIuNzg3OAEIAAAABQAAAAExAQAAAAstMTk2MzkwNjc0NgMAAAADMTYwAgAAAAQ0MDc0BAAAAAEwBwAAAAg0LzEvMjAyNQgAAAAKMTAvMzEvMjAyNAkAAAABMHI4</t>
  </si>
  <si>
    <t>YhK/c90I0ATklMRz3QgqQ0lRLk5ZU0U6SFBFLklRX0dST1NTX01BUkdJTi4yMDAwLjQvMS8yMDI1AQAAAA6pVBACAAAABzMxLjE4ODcBCAAAAAUAAAABMQEAAAALLTE5NTY2Mzk1OTADAAAAAzE2MAIAAAAENDA3NAQAAAABMAcAAAAINC8xLzIwMjUIAAAACTEvMzEvMjAyNQkAAAABMHI4YhK/c90I0ATklMRz3QgqQ0lRLk5ZU0U6SFBFLklRX0VCSVREQV9NQVJHSU4uOTk4LjQvMS8yMDI1AQAAAA6pVBACAAAABjE3LjA0OAEIAAAABQAAAAExAQAAAAstMTk2MzkwNjc5MQMAAAADMTYwAgAAAAQ0MDQ3BAAAAAEwBwAAAAg0LzEvMjAyNQgAAAAKMTAvMzEvMjAyMgkAAAABMHI4YhK/c90I0ATklMRz3QgqQ0lRLk5ZU0U6SFBFLklRX0VCSVREQV9NQVJHSU4uOTk5LjQvMS8yMDI1AQAAAA6pVBACAAAABzE3LjM3MDgBCAAAAAUAAAABMQEAAAALLTE5NjM5MDY3NjYDAAAAAzE2MAIAAAAENDA0NwQAAAABMAcAAAAINC8xLzIwMjUIAAAACjEwLzMxLzIwMjMJAAAAATByOGISv3PdCNAE5JTEc90IK0NJUS5OWVNFOkhQRS5JUV9FQklUREFfTUFSR0lOLjEwMDAuNC8xLzIwMjUBAAAADqlUEAIAAAAHMTYuNzkyMgEIAAAABQAAAAExAQAAAAstMTk2MzkwNjc0NgMAAAADMTYwAgAAAAQ0MDQ3BAAAAAEwBwAAAAg0LzEvMjAyNQgAAAAKMTAvMzEvMjAyNAkAAAABMHI4YhK/c90I0ATklMRz3QgmQ0lRLk5ZU0U6SFBFLklR</t>
  </si>
  <si>
    <t>X05JX01BUkdJTi45OTguNC8xLzIwMjUBAAAADqlUEAIAAAAFMy4wNDYBCAAAAAUAAAABMQEAAAALLTE5NjM5MDY3OTEDAAAAAzE2MAIAAAAENDA5NAQAAAABMAcAAAAINC8xLzIwMjUIAAAACjEwLzMxLzIwMjIJAAAAATByOGISv3PdCNAE5JTEc90IKUNJUS5OWVNFOkhQRS5JUV9HUk9TU19NQVJHSU4uOTk4LjQvMS8yMDI1AQAAAA6pVBACAAAABzMzLjQwMTEBCAAAAAUAAAABMQEAAAALLTE5NjM5MDY3OTEDAAAAAzE2MAIAAAAENDA3NAQAAAABMAcAAAAINC8xLzIwMjUIAAAACjEwLzMxLzIwMjIJAAAAATByOGISv3PdCNAE5JTEc90IKENJUS5OWVNFOkhQRS5JUV9QRVJJT0REQVRFLjIwMDAuNC8xLzIwMjUBAAAADqlUEAUAAAAJMS8zMS8yMDI1AHI4YhK/c90I0ATklMRz3QgvQ0lRLk5ZU0U6SFBFLklRX1RPVEFMX1JFVi4xMDAwLjQvMS8yMDI1Li4uVVNELkgBAAAADqlUEAIAAAAFMzAxMjcBCAAAAAUAAAABMQEAAAALLTE5NjM5MDY3NDYDAAAAAzE2MAIAAAACMjgEAAAAATAHAAAACDQvMS8yMDI1CAAAAAoxMC8zMS8yMDI0CQAAAAEwcjhiEr9z3QjQBOSUxHPdCCxDSVEuTllTRTpIUEUuSVFfRUJJVERBLjEwMDAuNC8xLzIwMjUuLi5VU0QuSAEAAAAOqVQQAgAAAAQ1MDU5AQgAAAAFAAAAATEBAAAACy0xOTYzOTA2NzQ2AwAAAAMxNjACAAAABDQwNTEEAAAAATAHAAAACDQvMS8yMDI1CAAAAAoxMC8z</t>
  </si>
  <si>
    <t>MS8yMDI0CQAAAAEwcjhiEr9z3QjQBOSUxHPdCDRDSVEuTllTRTpIUEUuSVFfRElMVVRfRVBTX0VYQ0wuMTAwMC40LzEvMjAyNS4uLlVTRC5IAQAAAA6pVBACAAAACDEuOTI4OTQ1AQgAAAAFAAAAATEBAAAACy0xOTYzOTA2NzQ2AwAAAAMxNjACAAAAAzE0MgQAAAABMAcAAAAINC8xLzIwMjUIAAAACjEwLzMxLzIwMjQJAAAAATByOGISv3PdCNAE5JTEc90IMENJUS5OWVNFOkNSTS5JUV9FUFNfMVlSX0FOTl9HUk9XVEguMjAwMC40LzEvMjAyNQEAAAAl4AEAAgAAAAc1MS40Mjg1AQgAAAAFAAAAATEBAAAACy0xOTU2OTQwNDU2AwAAAAMxNjACAAAABDQyMDAEAAAAATAHAAAACDQvMS8yMDI1CAAAAAkxLzMxLzIwMjUJAAAAATByOGISv3PdCChT5JTEc90IK0NJUS5OWVNFOkNSTS5JUV9SRVRVUk5fQVNTRVRTLjIwMDAuNC8xLzIwMjUBAAAAJeABAAIAAAAGNC43MjYyAQgAAAAFAAAAATEBAAAACy0xOTU2OTQwNDU2AwAAAAMxNjACAAAABDQxNzgEAAAAATAHAAAACDQvMS8yMDI1CAAAAAkxLzMxLzIwMjUJAAAAATByOGISv3PdCNAE5JTEc90ILUNJUS5OWVNFOkNSTS5JUV9DQVNIX0NPTlZFUlNJT04uMjAwMC40LzEvMjAyNQEAAAAl4AEAAwAAAAAAcjhiEr9z3QjQBOSUxHPdCClDSVEuTllTRTpDUk0uSVFfQVNTRVRfVFVSTlMuMjAwMC40LzEvMjAyNQEAAAAl4AEAAgAAAAgwLjM3MzgwOAEIAAAABQAAAAEx</t>
  </si>
  <si>
    <t>AQAAAAstMTk1Njk0MDQ1NgMAAAADMTYwAgAAAAQ0MTc3BAAAAAEwBwAAAAg0LzEvMjAyNQgAAAAJMS8zMS8yMDI1CQAAAAEwcjhiEr9z3QjQBOSUxHPdCC9DSVEuTllTRTpDUk0uSVFfRklYRURfQVNTRVRfVFVSTlMuMjAwMC40LzEvMjAyNQEAAAAl4AEAAgAAAAc2LjYyMDM3AQgAAAAFAAAAATEBAAAACy0xOTU2OTQwNDU2AwAAAAMxNjACAAAABDQwNjYEAAAAATAHAAAACDQvMS8yMDI1CAAAAAkxLzMxLzIwMjUJAAAAATByOGISv3PdCNAE5JTEc90IJkNJUS5OWVNFOkNSTS5JUV9BUl9UVVJOUy4yMDAwLjQvMS8yMDI1AQAAACXgAQACAAAACDMuMjQ0NTczAQgAAAAFAAAAATEBAAAACy0xOTU2OTQwNDU2AwAAAAMxNjACAAAABDQwMDEEAAAAATAHAAAACDQvMS8yMDI1CAAAAAkxLzMxLzIwMjUJAAAAATByOGISv3PdCNAE5JTEc90ILUNJUS5OWVNFOkNSTS5JUV9JTlZFTlRPUllfVFVSTlMuMjAwMC40LzEvMjAyNQEAAAAl4AEAAwAAAAAAcjhiEr9z3QgoU+SUxHPdCDZDSVEuTllTRTpDUk0uSVFfVE9UQUxfUkVWXzFZUl9BTk5fR1JPV1RILjEwMDAuNC8xLzIwMjUBAAAAJeABAAIAAAAGOC43MTU2AQgAAAAFAAAAATEBAAAACy0xOTU2OTQyNTE0AwAAAAMxNjACAAAABDQxOTQEAAAAATAHAAAACDQvMS8yMDI1CAAAAAkxLzMxLzIwMjUJAAAAATByOGISv3PdCChT5JTEc90INkNJUS5OWVNFOkNSTS5JUV9U</t>
  </si>
  <si>
    <t>T1RBTF9SRVZfMVlSX0FOTl9HUk9XVEguMjAwMC40LzEvMjAyNQEAAAAl4AEAAgAAAAY4LjcxNTYBCAAAAAUAAAABMQEAAAALLTE5NTY5NDA0NTYDAAAAAzE2MAIAAAAENDE5NAQAAAABMAcAAAAINC8xLzIwMjUIAAAACTEvMzEvMjAyNQkAAAABMHI4YhK/c90IKFPklMRz3QgxQ0lRLk5ZU0U6Q1JNLklRX0VCSVREQV81WVJfQU5OX0NBR1IuMjAwMC40LzEvMjAyNQEAAAAl4AEAAgAAAAczMy44MDUxAQgAAAAFAAAAATEBAAAACy0xOTU2OTQwNDU2AwAAAAMxNjACAAAABDQyMzUEAAAAATAHAAAACDQvMS8yMDI1CAAAAAkxLzMxLzIwMjUJAAAAATByOGISv3PdCChT5JTEc90IM0NJUS5OWVNFOkNSTS5JUV9FQklUREFfMVlSX0FOTl9HUk9XVEguMTAwMC40LzEvMjAyNQEAAAAl4AEAAgAAAAcxMS44OTk5AQgAAAAFAAAAATEBAAAACy0xOTU2OTQyNTE0AwAAAAMxNjACAAAABDQxOTYEAAAAATAHAAAACDQvMS8yMDI1CAAAAAkxLzMxLzIwMjUJAAAAATByOGISv3PdCChT5JTEc90IM0NJUS5OWVNFOkNSTS5JUV9FQklUREFfMVlSX0FOTl9HUk9XVEguMjAwMC40LzEvMjAyNQEAAAAl4AEAAgAAAAcxMS44OTk5AQgAAAAFAAAAATEBAAAACy0xOTU2OTQwNDU2AwAAAAMxNjACAAAABDQxOTYEAAAAATAHAAAACDQvMS8yMDI1CAAAAAkxLzMxLzIwMjUJAAAAATByOGISv3PdCChT5JTEc90ILkNJUS5OWVNFOkNSTS5J</t>
  </si>
  <si>
    <t>UV9FUFNfNVlSX0FOTl9DQUdSLjIwMDAuNC8xLzIwMjUBAAAAJeABAAIAAAAIMTExLjU3OTMBCAAAAAUAAAABMQEAAAALLTE5NTY5NDA0NTYDAAAAAzE2MAIAAAAENDIzOQQAAAABMAcAAAAINC8xLzIwMjUIAAAACTEvMzEvMjAyNQkAAAABMHI4YhK/c90IKFPklMRz3QgwQ0lRLk5ZU0U6Q1JNLklRX0VQU18xWVJfQU5OX0dST1dUSC4xMDAwLjQvMS8yMDI1AQAAACXgAQACAAAABzUxLjQyODUBCAAAAAUAAAABMQEAAAALLTE5NTY5NDI1MTQDAAAAAzE2MAIAAAAENDIwMAQAAAABMAcAAAAINC8xLzIwMjUIAAAACTEvMzEvMjAyNQkAAAABMHI4YhK/c90IKFPklMRz3QgqQ0lRLk5ZU0U6Q1JNLklRX0VCSVREQV9NQVJHSU4uOTk4LjQvMS8yMDI1AQAAACXgAQACAAAABjE4LjAwMgEIAAAABQAAAAExAQAAAAstMTk1Njk0MjUwNQMAAAADMTYwAgAAAAQ0MDQ3BAAAAAEwBwAAAAg0LzEvMjAyNQgAAAAJMS8zMS8yMDIzCQAAAAEwcjhiEr9z3QgoU+SUxHPdCCpDSVEuTllTRTpDUk0uSVFfRUJJVERBX01BUkdJTi45OTkuNC8xLzIwMjUBAAAAJeABAAIAAAAHMjguNTY4MQEIAAAABQAAAAExAQAAAAstMTk1Njk0MjUwMwMAAAADMTYwAgAAAAQ0MDQ3BAAAAAEwBwAAAAg0LzEvMjAyNQgAAAAJMS8zMS8yMDI0CQAAAAEwcjhiEr9z3QgoU+SUxHPdCCtDSVEuTllTRTpDUk0uSVFfRUJJVERBX01BUkdJTi4xMDAwLjQv</t>
  </si>
  <si>
    <t>MS8yMDI1AQAAACXgAQACAAAABzI5LjQwNDkBCAAAAAUAAAABMQEAAAALLTE5NTY5NDI1MTQDAAAAAzE2MAIAAAAENDA0NwQAAAABMAcAAAAINC8xLzIwMjUIAAAACTEvMzEvMjAyNQkAAAABMHI4YhK/c90IKFPklMRz3QgmQ0lRLk5ZU0U6Q1JNLklRX05JX01BUkdJTi45OTguNC8xLzIwMjUBAAAAJeABAAIAAAAGMC42NjM0AQgAAAAFAAAAATEBAAAACy0xOTU2OTQyNTA1AwAAAAMxNjACAAAABDQwOTQEAAAAATAHAAAACDQvMS8yMDI1CAAAAAkxLzMxLzIwMjMJAAAAATByOGISv3PdCChT5JTEc90IJkNJUS5OWVNFOkNSTS5JUV9OSV9NQVJHSU4uOTk5LjQvMS8yMDI1AQAAACXgAQACAAAABzExLjg2NTYBCAAAAAUAAAABMQEAAAALLTE5NTY5NDI1MDMDAAAAAzE2MAIAAAAENDA5NAQAAAABMAcAAAAINC8xLzIwMjUIAAAACTEvMzEvMjAyNAkAAAABMHI4YhK/c90IKFPklMRz3QgnQ0lRLk5ZU0U6Q1JNLklRX05JX01BUkdJTi4xMDAwLjQvMS8yMDI1AQAAACXgAQACAAAABjE2LjM1MwEIAAAABQAAAAExAQAAAAstMTk1Njk0MjUxNAMAAAADMTYwAgAAAAQ0MDk0BAAAAAEwBwAAAAg0LzEvMjAyNQgAAAAJMS8zMS8yMDI1CQAAAAEwcjhiEr9z3QgoU+SUxHPdCDRDSVEuTllTRTpDUk0uSVFfVE9UQUxfUkVWXzVZUl9BTk5fQ0FHUi4yMDAwLjQvMS8yMDI1AQAAACXgAQACAAAABzE3LjI1MzkBCAAAAAUAAAAB</t>
  </si>
  <si>
    <t>MQEAAAALLTE5NTY5NDA0NTYDAAAAAzE2MAIAAAAENDIzMwQAAAABMAcAAAAINC8xLzIwMjUIAAAACTEvMzEvMjAyNQkAAAABMHI4YhK/c90IKFPklMRz3QgpQ0lRLk5ZU0U6Q1JNLklRX0dST1NTX01BUkdJTi45OTguNC8xLzIwMjUBAAAAJeABAAIAAAAGNzMuMzM1AQgAAAAFAAAAATEBAAAACy0xOTU2OTQyNTA1AwAAAAMxNjACAAAABDQwNzQEAAAAATAHAAAACDQvMS8yMDI1CAAAAAkxLzMxLzIwMjMJAAAAATByOGISv3PdCChT5JTEc90IKUNJUS5OWVNFOkNSTS5JUV9HUk9TU19NQVJHSU4uOTk5LjQvMS8yMDI1AQAAACXgAQACAAAABjc1LjQ5NwEIAAAABQAAAAExAQAAAAstMTk1Njk0MjUwMwMAAAADMTYwAgAAAAQ0MDc0BAAAAAEwBwAAAAg0LzEvMjAyNQgAAAAJMS8zMS8yMDI0CQAAAAEwcjhiEr9z3QgoU+SUxHPdCCpDSVEuTllTRTpDUk0uSVFfR1JPU1NfTUFSR0lOLjEwMDAuNC8xLzIwMjUBAAAAJeABAAIAAAAHNzcuMTkyMgEIAAAABQAAAAExAQAAAAstMTk1Njk0MjUxNAMAAAADMTYwAgAAAAQ0MDc0BAAAAAEwBwAAAAg0LzEvMjAyNQgAAAAJMS8zMS8yMDI1CQAAAAEwcjhiEr9z3QgoU+SUxHPdCCpDSVEuTllTRTpDUk0uSVFfR1JPU1NfTUFSR0lOLjIwMDAuNC8xLzIwMjUBAAAAJeABAAIAAAAHNzcuMTkyMgEIAAAABQAAAAExAQAAAAstMTk1Njk0MDQ1NgMAAAADMTYwAgAAAAQ0MDc0BAAA</t>
  </si>
  <si>
    <t>AAEwBwAAAAg0LzEvMjAyNQgAAAAJMS8zMS8yMDI1CQAAAAEwcjhiEr9z3QgoU+SUxHPdCCxDSVEuTllTRTpDUk0uSVFfRUJJVERBLjEwMDAuNC8xLzIwMjUuLi5VU0QuSAEAAAAl4AEAAgAAAAUxMTE0MwEIAAAABQAAAAExAQAAAAstMTk1Njk0MjUxNAMAAAADMTYwAgAAAAQ0MDUxBAAAAAEwBwAAAAg0LzEvMjAyNQgAAAAJMS8zMS8yMDI1CQAAAAEwcjhiEr9z3QgoU+SUxHPdCDRDSVEuTllTRTpDUk0uSVFfRElMVVRfRVBTX0VYQ0wuMTAwMC40LzEvMjAyNS4uLlVTRC5IAQAAACXgAQACAAAABDYuMzYBCAAAAAUAAAABMQEAAAALLTE5NTY5NDI1MTQDAAAAAzE2MAIAAAADMTQyBAAAAAEwBwAAAAg0LzEvMjAyNQgAAAAJMS8zMS8yMDI1CQAAAAEwCWBiEr9z3QgoU+SUxHPdCC5DSVEuTkFTREFRR1M6Q1RTSC5JUV9BU1NFVF9UVVJOUy4yMDAwLjQvMS8yMDI1AQAAAOjjBQACAAAACDEuMDI2NjA2AQgAAAAFAAAAATEBAAAACy0xOTU5OTUyMzg0AwAAAAMxNjACAAAABDQxNzcEAAAAATAHAAAACDQvMS8yMDI1CAAAAAoxMi8zMS8yMDI0CQAAAAEwCWBiEr9z3QgoU+SUxHPdCDRDSVEuTkFTREFRR1M6Q1RTSC5JUV9GSVhFRF9BU1NFVF9UVVJOUy4yMDAwLjQvMS8yMDI1AQAAAOjjBQACAAAACTEyLjMxNTc1NgEIAAAABQAAAAExAQAAAAstMTk1OTk1MjM4NAMAAAADMTYwAgAAAAQ0MDY2BAAAAAEwBwAAAAg0</t>
  </si>
  <si>
    <t>LzEvMjAyNQgAAAAKMTIvMzEvMjAyNAkAAAABMAlgYhK/c90IKFPklMRz3QgrQ0lRLk5BU0RBUUdTOkNUU0guSVFfQVJfVFVSTlMuMjAwMC40LzEvMjAyNQEAAADo4wUAAgAAAAg0Ljk5MTQwMQEIAAAABQAAAAExAQAAAAstMTk1OTk1MjM4NAMAAAADMTYwAgAAAAQ0MDAxBAAAAAEwBwAAAAg0LzEvMjAyNQgAAAAKMTIvMzEvMjAyNAkAAAABMAlgYhK/c90IKFPklMRz3QgyQ0lRLk5BU0RBUUdTOkNUU0guSVFfSU5WRU5UT1JZX1RVUk5TLjIwMDAuNC8xLzIwMjUBAAAA6OMFAAMAAAAAAAlgYhK/c90IKFPklMRz3QgoQ0lRLk5ZU0U6Q1JNLklRX1BFUklPRERBVEUuMjAwMC40LzEvMjAyNQEAAAAl4AEABQAAAAkxLzMxLzIwMjUACWBiEr9z3QgoU+SUxHPdCC9DSVEuTllTRTpDUk0uSVFfVE9UQUxfUkVWLjEwMDAuNC8xLzIwMjUuLi5VU0QuSAEAAAAl4AEAAgAAAAUzNzg5NQEIAAAABQAAAAExAQAAAAstMTk1Njk0MjUxNAMAAAADMTYwAgAAAAIyOAQAAAABMAcAAAAINC8xLzIwMjUIAAAACTEvMzEvMjAyNQkAAAABMAlgYhK/c90IKFPklMRz3Qg4Q0lRLk5BU0RBUUdTOkNUU0guSVFfRUJJVERBXzFZUl9BTk5fR1JPV1RILjEwMDAuNC8xLzIwMjUBAAAA6OMFAAIAAAAFMi45ODUBCAAAAAUAAAABMQEAAAALLTE5NTk5NTI2NzIDAAAAAzE2MAIAAAAENDE5NgQAAAABMAcAAAAINC8xLzIwMjUIAAAACjEyLzMx</t>
  </si>
  <si>
    <t>LzIwMjQJAAAAATAJYGISv3PdCHeh5JTEc90IOENJUS5OQVNEQVFHUzpDVFNILklRX0VCSVREQV8xWVJfQU5OX0dST1dUSC4yMDAwLjQvMS8yMDI1AQAAAOjjBQACAAAABTIuOTg1AQgAAAAFAAAAATEBAAAACy0xOTU5OTUyMzg0AwAAAAMxNjACAAAABDQxOTYEAAAAATAHAAAACDQvMS8yMDI1CAAAAAoxMi8zMS8yMDI0CQAAAAEwCWBiEr9z3QgoU+SUxHPdCDNDSVEuTkFTREFRR1M6Q1RTSC5JUV9FUFNfNVlSX0FOTl9DQUdSLjIwMDAuNC8xLzIwMjUBAAAA6OMFAAIAAAAGNi41MTE0AQgAAAAFAAAAATEBAAAACy0xOTU5OTUyMzg0AwAAAAMxNjACAAAABDQyMzkEAAAAATAHAAAACDQvMS8yMDI1CAAAAAoxMi8zMS8yMDI0CQAAAAEwCWBiEr9z3QgoU+SUxHPdCDVDSVEuTkFTREFRR1M6Q1RTSC5JUV9FUFNfMVlSX0FOTl9HUk9XVEguMTAwMC40LzEvMjAyNQEAAADo4wUAAgAAAAY3LjEyODQBCAAAAAUAAAABMQEAAAALLTE5NTk5NTI2NzIDAAAAAzE2MAIAAAAENDIwMAQAAAABMAcAAAAINC8xLzIwMjUIAAAACjEyLzMxLzIwMjQJAAAAATAJYGISv3PdCChT5JTEc90INUNJUS5OQVNEQVFHUzpDVFNILklRX0VQU18xWVJfQU5OX0dST1dUSC4yMDAwLjQvMS8yMDI1AQAAAOjjBQACAAAABjcuMTI4NAEIAAAABQAAAAExAQAAAAstMTk1OTk1MjM4NAMAAAADMTYwAgAAAAQ0MjAwBAAAAAEwBwAAAAg0LzEvMjAy</t>
  </si>
  <si>
    <t>NQgAAAAKMTIvMzEvMjAyNAkAAAABMAlgYhK/c90IKFPklMRz3QgwQ0lRLk5BU0RBUUdTOkNUU0guSVFfUkVUVVJOX0FTU0VUUy4yMDAwLjQvMS8yMDI1AQAAAOjjBQACAAAABjkuODM3NwEIAAAABQAAAAExAQAAAAstMTk1OTk1MjM4NAMAAAADMTYwAgAAAAQ0MTc4BAAAAAEwBwAAAAg0LzEvMjAyNQgAAAAKMTIvMzEvMjAyNAkAAAABMAlgYhK/c90IKFPklMRz3QgyQ0lRLk5BU0RBUUdTOkNUU0guSVFfQ0FTSF9DT05WRVJTSU9OLjIwMDAuNC8xLzIwMjUBAAAA6OMFAAMAAAAAAAlgYhK/c90IKFPklMRz3QgrQ0lRLk5BU0RBUUdTOkNUU0guSVFfTklfTUFSR0lOLjk5OC40LzEvMjAyNQEAAADo4wUAAgAAAAcxMS43ODcxAQgAAAAFAAAAATEBAAAACy0xOTU5OTUyNjc4AwAAAAMxNjACAAAABDQwOTQEAAAAATAHAAAACDQvMS8yMDI1CAAAAAoxMi8zMS8yMDIyCQAAAAEwCWBiEr9z3Qh3oeSUxHPdCCtDSVEuTkFTREFRR1M6Q1RTSC5JUV9OSV9NQVJHSU4uOTk5LjQvMS8yMDI1AQAAAOjjBQACAAAABzEwLjk4NTMBCAAAAAUAAAABMQEAAAALLTE5NTk5NTI2NjcDAAAAAzE2MAIAAAAENDA5NAQAAAABMAcAAAAINC8xLzIwMjUIAAAACjEyLzMxLzIwMjMJAAAAATAJYGISv3PdCHeh5JTEc90ILENJUS5OQVNEQVFHUzpDVFNILklRX05JX01BUkdJTi4xMDAwLjQvMS8yMDI1AQAAAOjjBQACAAAABzExLjM0OTgB</t>
  </si>
  <si>
    <t>CAAAAAUAAAABMQEAAAALLTE5NTk5NTI2NzIDAAAAAzE2MAIAAAAENDA5NAQAAAABMAcAAAAINC8xLzIwMjUIAAAACjEyLzMxLzIwMjQJAAAAATAJYGISv3PdCHeh5JTEc90IOUNJUS5OQVNEQVFHUzpDVFNILklRX1RPVEFMX1JFVl81WVJfQU5OX0NBR1IuMjAwMC40LzEvMjAyNQEAAADo4wUAAgAAAAYzLjI5NDcBCAAAAAUAAAABMQEAAAALLTE5NTk5NTIzODQDAAAAAzE2MAIAAAAENDIzMwQAAAABMAcAAAAINC8xLzIwMjUIAAAACjEyLzMxLzIwMjQJAAAAATAJYGISv3PdCHeh5JTEc90IO0NJUS5OQVNEQVFHUzpDVFNILklRX1RPVEFMX1JFVl8xWVJfQU5OX0dST1dUSC4xMDAwLjQvMS8yMDI1AQAAAOjjBQACAAAABTEuOTc5AQgAAAAFAAAAATEBAAAACy0xOTU5OTUyNjcyAwAAAAMxNjACAAAABDQxOTQEAAAAATAHAAAACDQvMS8yMDI1CAAAAAoxMi8zMS8yMDI0CQAAAAEwCWBiEr9z3Qh3oeSUxHPdCDtDSVEuTkFTREFRR1M6Q1RTSC5JUV9UT1RBTF9SRVZfMVlSX0FOTl9HUk9XVEguMjAwMC40LzEvMjAyNQEAAADo4wUAAgAAAAUxLjk3OQEIAAAABQAAAAExAQAAAAstMTk1OTk1MjM4NAMAAAADMTYwAgAAAAQ0MTk0BAAAAAEwBwAAAAg0LzEvMjAyNQgAAAAKMTIvMzEvMjAyNAkAAAABMAlgYhK/c90Id6HklMRz3Qg2Q0lRLk5BU0RBUUdTOkNUU0guSVFfRUJJVERBXzVZUl9BTk5fQ0FHUi4yMDAwLjQv</t>
  </si>
  <si>
    <t>MS8yMDI1AQAAAOjjBQACAAAABjEuMzQ4NwEIAAAABQAAAAExAQAAAAstMTk1OTk1MjM4NAMAAAADMTYwAgAAAAQ0MjM1BAAAAAEwBwAAAAg0LzEvMjAyNQgAAAAKMTIvMzEvMjAyNAkAAAABMAlgYhK/c90Id6HklMRz3QguQ0lRLk5BU0RBUUdTOkNUU0guSVFfR1JPU1NfTUFSR0lOLjk5OC40LzEvMjAyNQEAAADo4wUAAgAAAAczNS45Mjc1AQgAAAAFAAAAATEBAAAACy0xOTU5OTUyNjc4AwAAAAMxNjACAAAABDQwNzQEAAAAATAHAAAACDQvMS8yMDI1CAAAAAoxMi8zMS8yMDIyCQAAAAEwCWBiEr9z3Qh3oeSUxHPdCC5DSVEuTkFTREFRR1M6Q1RTSC5JUV9HUk9TU19NQVJHSU4uOTk5LjQvMS8yMDI1AQAAAOjjBQACAAAABzM0LjU2MzEBCAAAAAUAAAABMQEAAAALLTE5NTk5NTI2NjcDAAAAAzE2MAIAAAAENDA3NAQAAAABMAcAAAAINC8xLzIwMjUIAAAACjEyLzMxLzIwMjMJAAAAATAJYGISv3PdCHeh5JTEc90IL0NJUS5OQVNEQVFHUzpDVFNILklRX0dST1NTX01BUkdJTi4xMDAwLjQvMS8yMDI1AQAAAOjjBQACAAAABzM0LjM0MzMBCAAAAAUAAAABMQEAAAALLTE5NTk5NTI2NzIDAAAAAzE2MAIAAAAENDA3NAQAAAABMAcAAAAINC8xLzIwMjUIAAAACjEyLzMxLzIwMjQJAAAAATAJYGISv3PdCHeh5JTEc90IL0NJUS5OQVNEQVFHUzpDVFNILklRX0dST1NTX01BUkdJTi4yMDAwLjQvMS8yMDI1AQAAAOjj</t>
  </si>
  <si>
    <t>BQACAAAABzM0LjM0MzMBCAAAAAUAAAABMQEAAAALLTE5NTk5NTIzODQDAAAAAzE2MAIAAAAENDA3NAQAAAABMAcAAAAINC8xLzIwMjUIAAAACjEyLzMxLzIwMjQJAAAAATAJYGISv3PdCHeh5JTEc90IL0NJUS5OQVNEQVFHUzpDVFNILklRX0VCSVREQV9NQVJHSU4uOTk4LjQvMS8yMDI1AQAAAOjjBQACAAAABzE4LjAxNTIBCAAAAAUAAAABMQEAAAALLTE5NTk5NTI2NzgDAAAAAzE2MAIAAAAENDA0NwQAAAABMAcAAAAINC8xLzIwMjUIAAAACjEyLzMxLzIwMjIJAAAAATAJYGISv3PdCHeh5JTEc90IL0NJUS5OQVNEQVFHUzpDVFNILklRX0VCSVREQV9NQVJHSU4uOTk5LjQvMS8yMDI1AQAAAOjjBQACAAAABzE3LjY1NjEBCAAAAAUAAAABMQEAAAALLTE5NTk5NTI2NjcDAAAAAzE2MAIAAAAENDA0NwQAAAABMAcAAAAINC8xLzIwMjUIAAAACjEyLzMxLzIwMjMJAAAAATAJYGISv3PdCHeh5JTEc90IMENJUS5OQVNEQVFHUzpDVFNILklRX0VCSVREQV9NQVJHSU4uMTAwMC40LzEvMjAyNQEAAADo4wUAAgAAAAcxNy44MzAzAQgAAAAFAAAAATEBAAAACy0xOTU5OTUyNjcyAwAAAAMxNjACAAAABDQwNDcEAAAAATAHAAAACDQvMS8yMDI1CAAAAAoxMi8zMS8yMDI0CQAAAAEwCWBiEr9z3Qh3oeSUxHPdCDlDSVEuTkFTREFRR1M6Q1RTSC5JUV9ESUxVVF9FUFNfRVhDTC4xMDAwLjQvMS8yMDI1Li4uVVNELkgBAAAA</t>
  </si>
  <si>
    <t>6OMFAAIAAAAENC41MQEIAAAABQAAAAExAQAAAAstMTk1OTk1MjY3MgMAAAADMTYwAgAAAAMxNDIEAAAAATAHAAAACDQvMS8yMDI1CAAAAAoxMi8zMS8yMDI0CQAAAAEwCWBiEr9z3Qh3oeSUxHPdCC1DSVEuTllTRTpBQ04uSVFfSU5WRU5UT1JZX1RVUk5TLjIwMDAuNC8xLzIwMjUBAAAAntUOAAMAAAAAAAlgYhK/c90Id6HklMRz3QgtQ0lRLk5BU0RBUUdTOkNUU0guSVFfUEVSSU9EREFURS4yMDAwLjQvMS8yMDI1AQAAAOjjBQAFAAAACjEyLzMxLzIwMjQACWBiEr9z3Qh3oeSUxHPdCDRDSVEuTkFTREFRR1M6Q1RTSC5JUV9UT1RBTF9SRVYuMTAwMC40LzEvMjAyNS4uLlVTRC5IAQAAAOjjBQACAAAABTE5NzM2AQgAAAAFAAAAATEBAAAACy0xOTU5OTUyNjcyAwAAAAMxNjACAAAAAjI4BAAAAAEwBwAAAAg0LzEvMjAyNQgAAAAKMTIvMzEvMjAyNAkAAAABMAlgYhK/c90Id6HklMRz3QgxQ0lRLk5BU0RBUUdTOkNUU0guSVFfRUJJVERBLjEwMDAuNC8xLzIwMjUuLi5VU0QuSAEAAADo4wUAAgAAAAQzNTE5AQgAAAAFAAAAATEBAAAACy0xOTU5OTUyNjcyAwAAAAMxNjACAAAABDQwNTEEAAAAATAHAAAACDQvMS8yMDI1CAAAAAoxMi8zMS8yMDI0CQAAAAEwCWBiEr9z3Qh3oeSUxHPdCDBDSVEuTllTRTpBQ04uSVFfRVBTXzFZUl9BTk5fR1JPV1RILjEwMDAuNC8xLzIwMjUBAAAAntUOAAIAAAAGNi4xNTcyAQgA</t>
  </si>
  <si>
    <t>AAAFAAAAATEBAAAACy0xOTczODMwNTQ2AwAAAAMxNjACAAAABDQyMDAEAAAAATAHAAAACDQvMS8yMDI1CAAAAAk4LzMxLzIwMjQJAAAAATAJYGISv3PdCHeh5JTEc90IMENJUS5OWVNFOkFDTi5JUV9FUFNfMVlSX0FOTl9HUk9XVEguMjAwMC40LzEvMjAyNQEAAACe1Q4AAgAAAAY5Ljc3NDQBCAAAAAUAAAABMQEAAAALLTE5NTUxMjgzMDcDAAAAAzE2MAIAAAAENDIwMAQAAAABMAcAAAAINC8xLzIwMjUIAAAACTIvMjgvMjAyNQkAAAABMAlgYhK/c90Id6HklMRz3QgrQ0lRLk5ZU0U6QUNOLklRX1JFVFVSTl9BU1NFVFMuMjAwMC40LzEvMjAyNQEAAACe1Q4AAgAAAAcxMS41NzYyAQgAAAAFAAAAATEBAAAACy0xOTU1MTI4MzA3AwAAAAMxNjACAAAABDQxNzgEAAAAATAHAAAACDQvMS8yMDI1CAAAAAkyLzI4LzIwMjUJAAAAATAJYGISv3PdCHeh5JTEc90ILUNJUS5OWVNFOkFDTi5JUV9DQVNIX0NPTlZFUlNJT04uMjAwMC40LzEvMjAyNQEAAACe1Q4AAwAAAAAACWBiEr9z3Qh3oeSUxHPdCClDSVEuTllTRTpBQ04uSVFfQVNTRVRfVFVSTlMuMjAwMC40LzEvMjAyNQEAAACe1Q4AAgAAAAgxLjIwOTI2NwEIAAAABQAAAAExAQAAAAstMTk1NTEyODMwNwMAAAADMTYwAgAAAAQ0MTc3BAAAAAEwBwAAAAg0LzEvMjAyNQgAAAAJMi8yOC8yMDI1CQAAAAEwCWBiEr9z3Qh3oeSUxHPdCC9DSVEuTllTRTpBQ04uSVFf</t>
  </si>
  <si>
    <t>RklYRURfQVNTRVRfVFVSTlMuMjAwMC40LzEvMjAyNQEAAACe1Q4AAgAAAAkxNi4zOTUzNzIBCAAAAAUAAAABMQEAAAALLTE5NTUxMjgzMDcDAAAAAzE2MAIAAAAENDA2NgQAAAABMAcAAAAINC8xLzIwMjUIAAAACTIvMjgvMjAyNQkAAAABMAlgYhK/c90Id6HklMRz3QgmQ0lRLk5ZU0U6QUNOLklRX0FSX1RVUk5TLjIwMDAuNC8xLzIwMjUBAAAAntUOAAIAAAAINC45MTM1MjgBCAAAAAUAAAABMQEAAAALLTE5NTUxMjgzMDcDAAAAAzE2MAIAAAAENDAwMQQAAAABMAcAAAAINC8xLzIwMjUIAAAACTIvMjgvMjAyNQkAAAABMAlgYhK/c90Id6HklMRz3Qg0Q0lRLk5ZU0U6QUNOLklRX1RPVEFMX1JFVl81WVJfQU5OX0NBR1IuMjAwMC40LzEvMjAyNQEAAACe1Q4AAgAAAAY4LjUyNDEBCAAAAAUAAAABMQEAAAALLTE5NTUxMjgzMDcDAAAAAzE2MAIAAAAENDIzMwQAAAABMAcAAAAINC8xLzIwMjUIAAAACTIvMjgvMjAyNQkAAAABMAlgYhK/c90IpOXklMRz3Qg2Q0lRLk5ZU0U6QUNOLklRX1RPVEFMX1JFVl8xWVJfQU5OX0dST1dUSC4xMDAwLjQvMS8yMDI1AQAAAJ7VDgACAAAABjEuMjIzOQEIAAAABQAAAAExAQAAAAstMTk3MzgzMDU0NgMAAAADMTYwAgAAAAQ0MTk0BAAAAAEwBwAAAAg0LzEvMjAyNQgAAAAJOC8zMS8yMDI0CQAAAAEwCWBiEr9z3Qik5eSUxHPdCDZDSVEuTllTRTpBQ04uSVFfVE9UQUxfUkVW</t>
  </si>
  <si>
    <t>XzFZUl9BTk5fR1JPV1RILjIwMDAuNC8xLzIwMjUBAAAAntUOAAIAAAAGNC4xMDA1AQgAAAAFAAAAATEBAAAACy0xOTU1MTI4MzA3AwAAAAMxNjACAAAABDQxOTQEAAAAATAHAAAACDQvMS8yMDI1CAAAAAkyLzI4LzIwMjUJAAAAATAJYGISv3PdCKTl5JTEc90IMUNJUS5OWVNFOkFDTi5JUV9FQklUREFfNVlSX0FOTl9DQUdSLjIwMDAuNC8xLzIwMjUBAAAAntUOAAIAAAAGOS43NzA2AQgAAAAFAAAAATEBAAAACy0xOTU1MTI4MzA3AwAAAAMxNjACAAAABDQyMzUEAAAAATAHAAAACDQvMS8yMDI1CAAAAAkyLzI4LzIwMjUJAAAAATAJYGISv3PdCKTl5JTEc90IM0NJUS5OWVNFOkFDTi5JUV9FQklUREFfMVlSX0FOTl9HUk9XVEguMTAwMC40LzEvMjAyNQEAAACe1Q4AAgAAAActMS4yMDE5AQgAAAAFAAAAATEBAAAACy0xOTczODMwNTQ2AwAAAAMxNjACAAAABDQxOTYEAAAAATAHAAAACDQvMS8yMDI1CAAAAAk4LzMxLzIwMjQJAAAAATAJYGISv3PdCKTl5JTEc90IM0NJUS5OWVNFOkFDTi5JUV9FQklUREFfMVlSX0FOTl9HUk9XVEguMjAwMC40LzEvMjAyNQEAAACe1Q4AAgAAAAYxLjgzMzIBCAAAAAUAAAABMQEAAAALLTE5NTUxMjgzMDcDAAAAAzE2MAIAAAAENDE5NgQAAAABMAcAAAAINC8xLzIwMjUIAAAACTIvMjgvMjAyNQkAAAABMAlgYhK/c90IpOXklMRz3QguQ0lRLk5ZU0U6QUNOLklRX0VQU181WVJf</t>
  </si>
  <si>
    <t>QU5OX0NBR1IuMjAwMC40LzEvMjAyNQEAAACe1Q4AAgAAAAY5LjU5MjIBCAAAAAUAAAABMQEAAAALLTE5NTUxMjgzMDcDAAAAAzE2MAIAAAAENDIzOQQAAAABMAcAAAAINC8xLzIwMjUIAAAACTIvMjgvMjAyNQkAAAABMAlgYhK/c90IpOXklMRz3QgqQ0lRLk5ZU0U6QUNOLklRX0dST1NTX01BUkdJTi4yMDAwLjQvMS8yMDI1AQAAAJ7VDgACAAAABzMyLjE4MjcBCAAAAAUAAAABMQEAAAALLTE5NTUxMjgzMDcDAAAAAzE2MAIAAAAENDA3NAQAAAABMAcAAAAINC8xLzIwMjUIAAAACTIvMjgvMjAyNQkAAAABMAlgYhK/c90IpOXklMRz3QgqQ0lRLk5ZU0U6QUNOLklRX0VCSVREQV9NQVJHSU4uOTk4LjQvMS8yMDI1AQAAAJ7VDgACAAAABzE2Ljg5MzYBCAAAAAUAAAABMQEAAAALLTE5NzM4MzA1NTkDAAAAAzE2MAIAAAAENDA0NwQAAAABMAcAAAAINC8xLzIwMjUIAAAACTgvMzEvMjAyMgkAAAABMAlgYhK/c90IpOXklMRz3QgqQ0lRLk5ZU0U6QUNOLklRX0VCSVREQV9NQVJHSU4uOTk5LjQvMS8yMDI1AQAAAJ7VDgACAAAABzE3LjQ3MDMBCAAAAAUAAAABMQEAAAALLTE5NzM4MzA1NTcDAAAAAzE2MAIAAAAENDA0NwQAAAABMAcAAAAINC8xLzIwMjUIAAAACTgvMzEvMjAyMwkAAAABMAlgYhK/c90IpOXklMRz3QgrQ0lRLk5ZU0U6QUNOLklRX0VCSVREQV9NQVJHSU4uMTAwMC40LzEvMjAyNQEAAACe1Q4AAgAA</t>
  </si>
  <si>
    <t>AAcxNy4wNTE2AQgAAAAFAAAAATEBAAAACy0xOTczODMwNTQ2AwAAAAMxNjACAAAABDQwNDcEAAAAATAHAAAACDQvMS8yMDI1CAAAAAk4LzMxLzIwMjQJAAAAATAJYGISv3PdCKTl5JTEc90IJkNJUS5OWVNFOkFDTi5JUV9OSV9NQVJHSU4uOTk4LjQvMS8yMDI1AQAAAJ7VDgACAAAABzExLjE2NTIBCAAAAAUAAAABMQEAAAALLTE5NzM4MzA1NTkDAAAAAzE2MAIAAAAENDA5NAQAAAABMAcAAAAINC8xLzIwMjUIAAAACTgvMzEvMjAyMgkAAAABMAlgYhK/c90IpOXklMRz3QgmQ0lRLk5ZU0U6QUNOLklRX05JX01BUkdJTi45OTkuNC8xLzIwMjUBAAAAntUOAAIAAAAGMTAuNzE4AQgAAAAFAAAAATEBAAAACy0xOTczODMwNTU3AwAAAAMxNjACAAAABDQwOTQEAAAAATAHAAAACDQvMS8yMDI1CAAAAAk4LzMxLzIwMjMJAAAAATAJYGISv3PdCKTl5JTEc90IJ0NJUS5OWVNFOkFDTi5JUV9OSV9NQVJHSU4uMTAwMC40LzEvMjAyNQEAAACe1Q4AAgAAAAcxMS4xOTQ0AQgAAAAFAAAAATEBAAAACy0xOTczODMwNTQ2AwAAAAMxNjACAAAABDQwOTQEAAAAATAHAAAACDQvMS8yMDI1CAAAAAk4LzMxLzIwMjQJAAAAATAJYGISv3PdCKTl5JTEc90IKUNJUS5OWVNFOkFDTi5JUV9HUk9TU19NQVJHSU4uOTk4LjQvMS8yMDI1AQAAAJ7VDgACAAAABzMxLjk4NTkBCAAAAAUAAAABMQEAAAALLTE5NzM4MzA1NTkDAAAAAzE2MAIA</t>
  </si>
  <si>
    <t>AAAENDA3NAQAAAABMAcAAAAINC8xLzIwMjUIAAAACTgvMzEvMjAyMgkAAAABMAlgYhK/c90IpOXklMRz3QgpQ0lRLk5ZU0U6QUNOLklRX0dST1NTX01BUkdJTi45OTkuNC8xLzIwMjUBAAAAntUOAAIAAAAHMzIuMzM2NgEIAAAABQAAAAExAQAAAAstMTk3MzgzMDU1NwMAAAADMTYwAgAAAAQ0MDc0BAAAAAEwBwAAAAg0LzEvMjAyNQgAAAAJOC8zMS8yMDIzCQAAAAEwCWBiEr9z3Qik5eSUxHPdCCpDSVEuTllTRTpBQ04uSVFfR1JPU1NfTUFSR0lOLjEwMDAuNC8xLzIwMjUBAAAAntUOAAIAAAAHMzIuNjA5MwEIAAAABQAAAAExAQAAAAstMTk3MzgzMDU0NgMAAAADMTYwAgAAAAQ0MDc0BAAAAAEwBwAAAAg0LzEvMjAyNQgAAAAJOC8zMS8yMDI0CQAAAAEwCWBiEr9z3Qik5eSUxHPdCC9DSVEuTllTRTpBQ04uSVFfVE9UQUxfUkVWLjEwMDAuNC8xLzIwMjUuLi5VU0QuSAEAAACe1Q4AAgAAAAk2NDg5Ni40NjQBCAAAAAUAAAABMQEAAAALLTE5NzM4MzA1NDYDAAAAAzE2MAIAAAACMjgEAAAAATAHAAAACDQvMS8yMDI1CAAAAAk4LzMxLzIwMjQJAAAAATAJYGISv3PdCKTl5JTEc90ILENJUS5OWVNFOkFDTi5JUV9FQklUREEuMTAwMC40LzEvMjAyNS4uLlVTRC5IAQAAAJ7VDgACAAAACTExMDY1LjkxMgEIAAAABQAAAAExAQAAAAstMTk3MzgzMDU0NgMAAAADMTYwAgAAAAQ0MDUxBAAAAAEwBwAAAAg0LzEvMjAy</t>
  </si>
  <si>
    <t>NQgAAAAJOC8zMS8yMDI0CQAAAAEwCWBiEr9z3Qik5eSUxHPdCDRDSVEuTllTRTpBQ04uSVFfRElMVVRfRVBTX0VYQ0wuMTAwMC40LzEvMjAyNS4uLlVTRC5IAQAAAJ7VDgACAAAACTExLjQzNTAxNgEIAAAABQAAAAExAQAAAAstMTk3MzgzMDU0NgMAAAADMTYwAgAAAAMxNDIEAAAAATAHAAAACDQvMS8yMDI1CAAAAAk4LzMxLzIwMjQJAAAAATAJYGISv3PdCKTl5JTEc90ILkNJUS5OWVNFOk9SQ0wuSVFfQ0FTSF9DT05WRVJTSU9OLjIwMDAuNC8xLzIwMjUBAAAA51YAAAMAAAAAAAlgYhK/c90IpOXklMRz3QgqQ0lRLk5ZU0U6T1JDTC5JUV9BU1NFVF9UVVJOUy4yMDAwLjQvMS8yMDI1AQAAAOdWAAACAAAACDAuMzczODA1AQgAAAAFAAAAATEBAAAACy0xOTU2MzA0OTIwAwAAAAMxNjACAAAABDQxNzcEAAAAATAHAAAACDQvMS8yMDI1CAAAAAkyLzI4LzIwMjUJAAAAATAJYGISv3PdCKTl5JTEc90IMENJUS5OWVNFOk9SQ0wuSVFfRklYRURfQVNTRVRfVFVSTlMuMjAwMC40LzEvMjAyNQEAAADnVgAAAgAAAAgxLjc3Njg5NgEIAAAABQAAAAExAQAAAAstMTk1NjMwNDkyMAMAAAADMTYwAgAAAAQ0MDY2BAAAAAEwBwAAAAg0LzEvMjAyNQgAAAAJMi8yOC8yMDI1CQAAAAEwCWBiEr9z3Qik5eSUxHPdCCdDSVEuTllTRTpPUkNMLklRX0FSX1RVUk5TLjIwMDAuNC8xLzIwMjUBAAAA51YAAAIAAAAHNy4yNjkwOQEI</t>
  </si>
  <si>
    <t>AAAABQAAAAExAQAAAAstMTk1NjMwNDkyMAMAAAADMTYwAgAAAAQ0MDAxBAAAAAEwBwAAAAg0LzEvMjAyNQgAAAAJMi8yOC8yMDI1CQAAAAEwK3BiEr9z3Qik5eSUxHPdCC5DSVEuTllTRTpPUkNMLklRX0lOVkVOVE9SWV9UVVJOUy4yMDAwLjQvMS8yMDI1AQAAAOdWAAADAAAAAAArcGISv3PdCKTl5JTEc90IKENJUS5OWVNFOkFDTi5JUV9QRVJJT0REQVRFLjIwMDAuNC8xLzIwMjUBAAAAntUOAAUAAAAJMi8yOC8yMDI1ACtwYhK/c90IpOXklMRz3QgyQ0lRLk5ZU0U6T1JDTC5JUV9FQklUREFfNVlSX0FOTl9DQUdSLjIwMDAuNC8xLzIwMjUBAAAA51YAAAIAAAAGNi45Nzg4AQgAAAAFAAAAATEBAAAACy0xOTU2MzA0OTIwAwAAAAMxNjACAAAABDQyMzUEAAAAATAHAAAACDQvMS8yMDI1CAAAAAkyLzI4LzIwMjUJAAAAATArcGISv3PdCKTl5JTEc90INENJUS5OWVNFOk9SQ0wuSVFfRUJJVERBXzFZUl9BTk5fR1JPV1RILjEwMDAuNC8xLzIwMjUBAAAA51YAAAIAAAAHMTEuODAzNAEIAAAABQAAAAExAQAAAAstMTk4OTA4ODgyMQMAAAADMTYwAgAAAAQ0MTk2BAAAAAEwBwAAAAg0LzEvMjAyNQgAAAAJNS8zMS8yMDI0CQAAAAEwK3BiEr9z3QgENOWUxHPdCDRDSVEuTllTRTpPUkNMLklRX0VCSVREQV8xWVJfQU5OX0dST1dUSC4yMDAwLjQvMS8yMDI1AQAAAOdWAAACAAAABzEwLjE2NzcBCAAAAAUAAAABMQEA</t>
  </si>
  <si>
    <t>AAALLTE5NTYzMDQ5MjADAAAAAzE2MAIAAAAENDE5NgQAAAABMAcAAAAINC8xLzIwMjUIAAAACTIvMjgvMjAyNQkAAAABMCtwYhK/c90IBDTllMRz3QgvQ0lRLk5ZU0U6T1JDTC5JUV9FUFNfNVlSX0FOTl9DQUdSLjIwMDAuNC8xLzIwMjUBAAAA51YAAAIAAAAGNi4wMTcyAQgAAAAFAAAAATEBAAAACy0xOTU2MzA0OTIwAwAAAAMxNjACAAAABDQyMzkEAAAAATAHAAAACDQvMS8yMDI1CAAAAAkyLzI4LzIwMjUJAAAAATArcGISv3PdCAQ05ZTEc90IMUNJUS5OWVNFOk9SQ0wuSVFfRVBTXzFZUl9BTk5fR1JPV1RILjEwMDAuNC8xLzIwMjUBAAAA51YAAAIAAAAHMjAuODQ2OQEIAAAABQAAAAExAQAAAAstMTk4OTA4ODgyMQMAAAADMTYwAgAAAAQ0MjAwBAAAAAEwBwAAAAg0LzEvMjAyNQgAAAAJNS8zMS8yMDI0CQAAAAEwK3BiEr9z3QgENOWUxHPdCDFDSVEuTllTRTpPUkNMLklRX0VQU18xWVJfQU5OX0dST1dUSC4yMDAwLjQvMS8yMDI1AQAAAOdWAAACAAAABzEyLjU5NjgBCAAAAAUAAAABMQEAAAALLTE5NTYzMDQ5MjADAAAAAzE2MAIAAAAENDIwMAQAAAABMAcAAAAINC8xLzIwMjUIAAAACTIvMjgvMjAyNQkAAAABMCtwYhK/c90IBDTllMRz3QgsQ0lRLk5ZU0U6T1JDTC5JUV9SRVRVUk5fQVNTRVRTLjIwMDAuNC8xLzIwMjUBAAAA51YAAAIAAAAFNy4zNDYBCAAAAAUAAAABMQEAAAALLTE5NTYzMDQ5MjAD</t>
  </si>
  <si>
    <t>AAAAAzE2MAIAAAAENDE3OAQAAAABMAcAAAAINC8xLzIwMjUIAAAACTIvMjgvMjAyNQkAAAABMCtwYhK/c90IpOXklMRz3QgsQ0lRLk5ZU0U6T1JDTC5JUV9FQklUREFfTUFSR0lOLjEwMDAuNC8xLzIwMjUBAAAA51YAAAIAAAAHNDAuMDgwNAEIAAAABQAAAAExAQAAAAstMTk4OTA4ODgyMQMAAAADMTYwAgAAAAQ0MDQ3BAAAAAEwBwAAAAg0LzEvMjAyNQgAAAAJNS8zMS8yMDI0CQAAAAEwK3BiEr9z3QgENOWUxHPdCCdDSVEuTllTRTpPUkNMLklRX05JX01BUkdJTi45OTguNC8xLzIwMjUBAAAA51YAAAIAAAAGMTUuODI3AQgAAAAFAAAAATEBAAAACy0xOTg5MDg4ODIwAwAAAAMxNjACAAAABDQwOTQEAAAAATAHAAAACDQvMS8yMDI1CAAAAAk1LzMxLzIwMjIJAAAAATArcGISv3PdCAQ05ZTEc90IJ0NJUS5OWVNFOk9SQ0wuSVFfTklfTUFSR0lOLjk5OS40LzEvMjAyNQEAAADnVgAAAgAAAAcxNy4wMjE2AQgAAAAFAAAAATEBAAAACy0xOTg5MDg4ODI3AwAAAAMxNjACAAAABDQwOTQEAAAAATAHAAAACDQvMS8yMDI1CAAAAAk1LzMxLzIwMjMJAAAAATArcGISv3PdCAQ05ZTEc90IKENJUS5OWVNFOk9SQ0wuSVFfTklfTUFSR0lOLjEwMDAuNC8xLzIwMjUBAAAA51YAAAIAAAAHMTkuNzYzNQEIAAAABQAAAAExAQAAAAstMTk4OTA4ODgyMQMAAAADMTYwAgAAAAQ0MDk0BAAAAAEwBwAAAAg0LzEvMjAyNQgAAAAJ</t>
  </si>
  <si>
    <t>NS8zMS8yMDI0CQAAAAEwK3BiEr9z3QgENOWUxHPdCDVDSVEuTllTRTpPUkNMLklRX1RPVEFMX1JFVl81WVJfQU5OX0NBR1IuMjAwMC40LzEvMjAyNQEAAADnVgAAAgAAAAY3LjAwMzUBCAAAAAUAAAABMQEAAAALLTE5NTYzMDQ5MjADAAAAAzE2MAIAAAAENDIzMwQAAAABMAcAAAAINC8xLzIwMjUIAAAACTIvMjgvMjAyNQkAAAABMCtwYhK/c90IBDTllMRz3Qg3Q0lRLk5ZU0U6T1JDTC5JUV9UT1RBTF9SRVZfMVlSX0FOTl9HUk9XVEguMTAwMC40LzEvMjAyNQEAAADnVgAAAgAAAAY2LjAxOTUBCAAAAAUAAAABMQEAAAALLTE5ODkwODg4MjEDAAAAAzE2MAIAAAAENDE5NAQAAAABMAcAAAAINC8xLzIwMjUIAAAACTUvMzEvMjAyNAkAAAABMCtwYhK/c90IBDTllMRz3Qg3Q0lRLk5ZU0U6T1JDTC5JUV9UT1RBTF9SRVZfMVlSX0FOTl9HUk9XVEguMjAwMC40LzEvMjAyNQEAAADnVgAAAgAAAAU2LjIzMwEIAAAABQAAAAExAQAAAAstMTk1NjMwNDkyMAMAAAADMTYwAgAAAAQ0MTk0BAAAAAEwBwAAAAg0LzEvMjAyNQgAAAAJMi8yOC8yMDI1CQAAAAEwK3BiEr9z3QgENOWUxHPdCCpDSVEuTllTRTpPUkNMLklRX0dST1NTX01BUkdJTi45OTguNC8xLzIwMjUBAAAA51YAAAIAAAAHNzkuMDgzNAEIAAAABQAAAAExAQAAAAstMTk4OTA4ODgyMAMAAAADMTYwAgAAAAQ0MDc0BAAAAAEwBwAAAAg0LzEvMjAyNQgAAAAJ</t>
  </si>
  <si>
    <t>NS8zMS8yMDIyCQAAAAEwK3BiEr9z3QgENOWUxHPdCCpDSVEuTllTRTpPUkNMLklRX0dST1NTX01BUkdJTi45OTkuNC8xLzIwMjUBAAAA51YAAAIAAAAGNzIuODQ3AQgAAAAFAAAAATEBAAAACy0xOTg5MDg4ODI3AwAAAAMxNjACAAAABDQwNzQEAAAAATAHAAAACDQvMS8yMDI1CAAAAAk1LzMxLzIwMjMJAAAAATArcGISv3PdCAQ05ZTEc90IK0NJUS5OWVNFOk9SQ0wuSVFfR1JPU1NfTUFSR0lOLjEwMDAuNC8xLzIwMjUBAAAA51YAAAIAAAAHNzEuNDA3MgEIAAAABQAAAAExAQAAAAstMTk4OTA4ODgyMQMAAAADMTYwAgAAAAQ0MDc0BAAAAAEwBwAAAAg0LzEvMjAyNQgAAAAJNS8zMS8yMDI0CQAAAAEwK3BiEr9z3QgENOWUxHPdCCtDSVEuTllTRTpPUkNMLklRX0dST1NTX01BUkdJTi4yMDAwLjQvMS8yMDI1AQAAAOdWAAACAAAABzcxLjEyMDIBCAAAAAUAAAABMQEAAAALLTE5NTYzMDQ5MjADAAAAAzE2MAIAAAAENDA3NAQAAAABMAcAAAAINC8xLzIwMjUIAAAACTIvMjgvMjAyNQkAAAABMCtwYhK/c90IBDTllMRz3QgrQ0lRLk5ZU0U6T1JDTC5JUV9FQklUREFfTUFSR0lOLjk5OC40LzEvMjAyNQEAAADnVgAAAgAAAAc0NC42NzAxAQgAAAAFAAAAATEBAAAACy0xOTg5MDg4ODIwAwAAAAMxNjACAAAABDQwNDcEAAAAATAHAAAACDQvMS8yMDI1CAAAAAk1LzMxLzIwMjIJAAAAATArcGISv3PdCAQ05ZTEc90I</t>
  </si>
  <si>
    <t>K0NJUS5OWVNFOk9SQ0wuSVFfRUJJVERBX01BUkdJTi45OTkuNC8xLzIwMjUBAAAA51YAAAIAAAAHMzguMDA2OQEIAAAABQAAAAExAQAAAAstMTk4OTA4ODgyNwMAAAADMTYwAgAAAAQ0MDQ3BAAAAAEwBwAAAAg0LzEvMjAyNQgAAAAJNS8zMS8yMDIzCQAAAAEwK3BiEr9z3QgENOWUxHPdCDVDSVEuTllTRTpPUkNMLklRX0RJTFVUX0VQU19FWENMLjEwMDAuNC8xLzIwMjUuLi5VU0QuSAEAAADnVgAAAgAAAAQzLjcxAQgAAAAFAAAAATEBAAAACy0xOTg5MDg4ODIxAwAAAAMxNjACAAAAAzE0MgQAAAABMAcAAAAINC8xLzIwMjUIAAAACTUvMzEvMjAyNAkAAAABMCtwYhK/c90IBDTllMRz3QgvQ0lRLk5BU0RBUUdTOkhPTi5JUV9SRVRVUk5fRVFVSVRZLjIwMDAuNC8xLzIwMjUBAAAARHUUAAIAAAAHMzIuMjQ1MwEIAAAABQAAAAExAQAAAAstMTk1ODgxMTc2MwMAAAADMTYwAgAAAAQ0MTI4BAAAAAEwBwAAAAg0LzEvMjAyNQgAAAAKMTIvMzEvMjAyNAkAAAABMCtwYhK/c90IBDTllMRz3Qg5Q0lRLk5BU0RBUUdTOkhPTi5JUV9SRVRVUk5fSU5WRVNURURfQ0FQSVRBTC4yMDAwLjQvMS8yMDI1AQAAAER1FAACAAAABjYuMjczMgArcGISv3PdCAQ05ZTEc90IKUNJUS5OWVNFOk9SQ0wuSVFfUEVSSU9EREFURS4yMDAwLjQvMS8yMDI1AQAAAOdWAAAFAAAACTIvMjgvMjAyNQArcGISv3PdCAQ05ZTEc90IMENJUS5O</t>
  </si>
  <si>
    <t>WVNFOk9SQ0wuSVFfVE9UQUxfUkVWLjEwMDAuNC8xLzIwMjUuLi5VU0QuSAEAAADnVgAAAgAAAAU1Mjk2MQEIAAAABQAAAAExAQAAAAstMTk4OTA4ODgyMQMAAAADMTYwAgAAAAIyOAQAAAABMAcAAAAINC8xLzIwMjUIAAAACTUvMzEvMjAyNAkAAAABMCtwYhK/c90IBDTllMRz3QgtQ0lRLk5ZU0U6T1JDTC5JUV9FQklUREEuMTAwMC40LzEvMjAyNS4uLlVTRC5IAQAAAOdWAAACAAAABTIxMjI3AQgAAAAFAAAAATEBAAAACy0xOTg5MDg4ODIxAwAAAAMxNjACAAAABDQwNTEEAAAAATAHAAAACDQvMS8yMDI1CAAAAAk1LzMxLzIwMjQJAAAAATArcGISv3PdCAQ05ZTEc90IL0NJUS5OQVNEQVFHUzpIT04uSVFfRUJJVERBX01BUkdJTi4yMDAwLjQvMS8yMDI1AQAAAER1FAACAAAABzI0Ljc3MDEBCAAAAAUAAAABMQEAAAALLTE5NTg4MTE3NjMDAAAAAzE2MAIAAAAENDA0NwQAAAABMAcAAAAINC8xLzIwMjUIAAAACjEyLzMxLzIwMjQJAAAAATArcGISv3PdCAQ05ZTEc90IK0NJUS5OQVNEQVFHUzpIT04uSVFfTklfTUFSR0lOLjIwMDAuNC8xLzIwMjUBAAAARHUUAAIAAAAHMTQuODE4OQEIAAAABQAAAAExAQAAAAstMTk1ODgxMTc2MwMAAAADMTYwAgAAAAQ0MDk0BAAAAAEwBwAAAAg0LzEvMjAyNQgAAAAKMTIvMzEvMjAyNAkAAAABMCtwYhK/c90IBDTllMRz3QgsQ0lRLk5BU0RBUUdTOkhPTi5JUV9RVUlDS19S</t>
  </si>
  <si>
    <t>QVRJTy41MDAuNC8xLzIwMjUBAAAARHUUAAIAAAAIMC44OTA2MTkBCAAAAAUAAAABMQEAAAALLTE5NTg4MTE3NjUDAAAAAzE2MAIAAAAENDEyMQQAAAABMAcAAAAINC8xLzIwMjUIAAAACjEyLzMxLzIwMjQJAAAAATArcGISv3PdCAQ05ZTEc90ILkNJUS5OQVNEQVFHUzpIT04uSVFfQ1VSUkVOVF9SQVRJTy41MDAuNC8xLzIwMjUBAAAARHUUAAIAAAAIMS4zMTI5NDYBCAAAAAUAAAABMQEAAAALLTE5NTg4MTE3NjUDAAAAAzE2MAIAAAAENDAzMAQAAAABMAcAAAAINC8xLzIwMjUIAAAACjEyLzMxLzIwMjQJAAAAATArcGISv3PdCAQ05ZTEc90IMENJUS5OQVNEQVFHUzpIT04uSVFfREFZU19TQUxFU19PVVQuMjAwMC40LzEvMjAyNQEAAABEdRQAAgAAAAk3Mi45NjEzNjgBCAAAAAUAAAABMQEAAAALLTE5NTg4MTE3NjMDAAAAAzE2MAIAAAAENDA0MgQAAAABMAcAAAAINC8xLzIwMjUIAAAACjEyLzMxLzIwMjQJAAAAATArcGISv3PdCFWC5ZTEc90IMkNJUS5OQVNEQVFHUzpIT04uSVFfREFZU19QQVlBQkxFX09VVC4yMDAwLjQvMS8yMDI1AQAAAER1FAACAAAACjEwNC4yNDkyNDQBCAAAAAUAAAABMQEAAAALLTE5NTg4MTE3NjMDAAAAAzE2MAIAAAAENDE4MwQAAAABMAcAAAAINC8xLzIwMjUIAAAACjEyLzMxLzIwMjQJAAAAATArcGISv3PdCAQ05ZTEc90INENJUS5OQVNEQVFHUzpIT04uSVFfREFZU19JTlZF</t>
  </si>
  <si>
    <t>TlRPUllfT1VULjIwMDAuNC8xLzIwMjUBAAAARHUUAAIAAAAIOTYuODg5MzUBCAAAAAUAAAABMQEAAAALLTE5NTg4MTE3NjMDAAAAAzE2MAIAAAAENDAzNQQAAAABMAcAAAAINC8xLzIwMjUIAAAACjEyLzMxLzIwMjQJAAAAATArcGISv3PdCAQ05ZTEc90ILkNJUS5OWVNFOkRYQy5JUV9EQVlTX1BBWUFCTEVfT1VULjIwMDAuNC8xLzIwMjUBAAAAtQMEAAIAAAAJMjYuMzYwNzg0AQgAAAAFAAAAATEBAAAACy0xOTYxMDEwMDI4AwAAAAMxNjACAAAABDQxODMEAAAAATAHAAAACDQvMS8yMDI1CAAAAAoxMi8zMS8yMDI0CQAAAAEwK3BiEr9z3QhVguWUxHPdCDBDSVEuTllTRTpEWEMuSVFfREFZU19JTlZFTlRPUllfT1VULjIwMDAuNC8xLzIwMjUBAAAAtQMEAAMAAAAAACtwYhK/c90IVYLllMRz3QgrQ0lRLk5ZU0U6RFhDLklRX1JFVFVSTl9FUVVJVFkuMjAwMC40LzEvMjAyNQEAAAC1AwQAAgAAAActMS44NzM2AQgAAAAFAAAAATEBAAAACy0xOTYxMDEwMDI4AwAAAAMxNjACAAAABDQxMjgEAAAAATAHAAAACDQvMS8yMDI1CAAAAAoxMi8zMS8yMDI0CQAAAAEwK3BiEr9z3QhVguWUxHPdCDVDSVEuTllTRTpEWEMuSVFfUkVUVVJOX0lOVkVTVEVEX0NBUElUQUwuMjAwMC40LzEvMjAyNQEAAAC1AwQAAgAAAActMC45MDkyACtwYhK/c90IVYLllMRz3Qg4Q0lRLk5BU0RBUUdTOkhPTi5JUV9UT1RBTF9SRVZfM1lS</t>
  </si>
  <si>
    <t>X0FOTl9DQUdSLjIwMDAuNC8xLzIwMjUBAAAARHUUAAIAAAAFMy44MzEBCAAAAAUAAAABMQEAAAALLTE5NTg4MTE3NjMDAAAAAzE2MAIAAAAENDIyMAQAAAABMAcAAAAINC8xLzIwMjUIAAAACjEyLzMxLzIwMjQJAAAAATArcGISv3PdCFWC5ZTEc90INUNJUS5OQVNEQVFHUzpIT04uSVFfRUJJVERBXzNZUl9BTk5fQ0FHUi4yMDAwLjQvMS8yMDI1AQAAAER1FAACAAAABjMuMTIxNAEIAAAABQAAAAExAQAAAAstMTk1ODgxMTc2MwMAAAADMTYwAgAAAAQ0MjIyBAAAAAEwBwAAAAg0LzEvMjAyNQgAAAAKMTIvMzEvMjAyNAkAAAABMCtwYhK/c90IVYLllMRz3QgyQ0lRLk5BU0RBUUdTOkhPTi5JUV9FUFNfM1lSX0FOTl9DQUdSLjIwMDAuNC8xLzIwMjUBAAAARHUUAAIAAAAGMy4yNjM2AQgAAAAFAAAAATEBAAAACy0xOTU4ODExNzYzAwAAAAMxNjACAAAABDQyMjYEAAAAATAHAAAACDQvMS8yMDI1CAAAAAoxMi8zMS8yMDI0CQAAAAEwK3BiEr9z3QgENOWUxHPdCDFDSVEuTllTRTpEWEMuSVFfRUJJVERBXzNZUl9BTk5fQ0FHUi4yMDAwLjQvMS8yMDI1AQAAALUDBAACAAAABy05LjI1NzcBCAAAAAUAAAABMQEAAAALLTE5NjEwMTAwMjgDAAAAAzE2MAIAAAAENDIyMgQAAAABMAcAAAAINC8xLzIwMjUIAAAACjEyLzMxLzIwMjQJAAAAATArcGISv3PdCFWC5ZTEc90ILkNJUS5OWVNFOkRYQy5JUV9FUFNfM1lSX0FO</t>
  </si>
  <si>
    <t>Tl9DQUdSLjIwMDAuNC8xLzIwMjUBAAAAtQMEAAMAAAACTk0BCAAAAAUAAAABMQEAAAALLTE5NjEwMTAwMjgDAAAAAzE2MAIAAAAENDIyNgQAAAABMAcAAAAINC8xLzIwMjUIAAAACjEyLzMxLzIwMjQJAAAAATArcGISv3PdCFWC5ZTEc90IK0NJUS5OWVNFOkRYQy5JUV9FQklUREFfTUFSR0lOLjIwMDAuNC8xLzIwMjUBAAAAtQMEAAIAAAAHMTAuNjU4NgEIAAAABQAAAAExAQAAAAstMTk2MTAxMDAyOAMAAAADMTYwAgAAAAQ0MDQ3BAAAAAEwBwAAAAg0LzEvMjAyNQgAAAAKMTIvMzEvMjAyNAkAAAABMCtwYhK/c90IVYLllMRz3QgnQ0lRLk5ZU0U6RFhDLklRX05JX01BUkdJTi4yMDAwLjQvMS8yMDI1AQAAALUDBAACAAAABi0wLjU3MwEIAAAABQAAAAExAQAAAAstMTk2MTAxMDAyOAMAAAADMTYwAgAAAAQ0MDk0BAAAAAEwBwAAAAg0LzEvMjAyNQgAAAAKMTIvMzEvMjAyNAkAAAABMCtwYhK/c90IVYLllMRz3QgoQ0lRLk5ZU0U6RFhDLklRX1FVSUNLX1JBVElPLjUwMC40LzEvMjAyNQEAAAC1AwQAAgAAAAcxLjE4MzIxAQgAAAAFAAAAATEBAAAACy0xOTYxMDEwNDcxAwAAAAMxNjACAAAABDQxMjEEAAAAATAHAAAACDQvMS8yMDI1CAAAAAoxMi8zMS8yMDI0CQAAAAEwK3BiEr9z3QhVguWUxHPdCCpDSVEuTllTRTpEWEMuSVFfQ1VSUkVOVF9SQVRJTy41MDAuNC8xLzIwMjUBAAAAtQMEAAIAAAAIMS4zMzk3</t>
  </si>
  <si>
    <t>NTcBCAAAAAUAAAABMQEAAAALLTE5NjEwMTA0NzEDAAAAAzE2MAIAAAAENDAzMAQAAAABMAcAAAAINC8xLzIwMjUIAAAACjEyLzMxLzIwMjQJAAAAATArcGISv3PdCFWC5ZTEc90ILENJUS5OWVNFOkRYQy5JUV9EQVlTX1NBTEVTX09VVC4yMDAwLjQvMS8yMDI1AQAAALUDBAACAAAACDY0Ljk2MTM0AQgAAAAFAAAAATEBAAAACy0xOTYxMDEwMDI4AwAAAAMxNjACAAAABDQwNDIEAAAAATAHAAAACDQvMS8yMDI1CAAAAAoxMi8zMS8yMDI0CQAAAAEwK3BiEr9z3QhVguWUxHPdCC9DSVEuTkFTREFRR1M6TVNGVC5JUV9DVVJSRU5UX1JBVElPLjUwMC40LzEvMjAyNQEAAABLVQAAAgAAAAcxLjM1MDgyAQgAAAAFAAAAATEBAAAACy0xOTYxNjY2NjU3AwAAAAMxNjACAAAABDQwMzAEAAAAATAHAAAACDQvMS8yMDI1CAAAAAoxMi8zMS8yMDI0CQAAAAEwK3BiEr9z3QhVguWUxHPdCDFDSVEuTkFTREFRR1M6TVNGVC5JUV9EQVlTX1NBTEVTX09VVC4yMDAwLjQvMS8yMDI1AQAAAEtVAAACAAAACTYzLjYyMjE0NgEIAAAABQAAAAExAQAAAAstMTk2MTY2NjQ3MAMAAAADMTYwAgAAAAQ0MDQyBAAAAAEwBwAAAAg0LzEvMjAyNQgAAAAKMTIvMzEvMjAyNAkAAAABMCtwYhK/c90IVYLllMRz3QgzQ0lRLk5BU0RBUUdTOk1TRlQuSVFfREFZU19QQVlBQkxFX09VVC4yMDAwLjQvMS8yMDI1AQAAAEtVAAACAAAACTkyLjkxMTY2</t>
  </si>
  <si>
    <t>MgEIAAAABQAAAAExAQAAAAstMTk2MTY2NjQ3MAMAAAADMTYwAgAAAAQ0MTgzBAAAAAEwBwAAAAg0LzEvMjAyNQgAAAAKMTIvMzEvMjAyNAkAAAABMCtwYhK/c90IVYLllMRz3Qg1Q0lRLk5BU0RBUUdTOk1TRlQuSVFfREFZU19JTlZFTlRPUllfT1VULjIwMDAuNC8xLzIwMjUBAAAAS1UAAAIAAAAINS43NjcwNjIBCAAAAAUAAAABMQEAAAALLTE5NjE2NjY0NzADAAAAAzE2MAIAAAAENDAzNQQAAAABMAcAAAAINC8xLzIwMjUIAAAACjEyLzMxLzIwMjQJAAAAATArcGISv3PdCFWC5ZTEc90IMENJUS5OQVNEQVFHUzpNU0ZULklRX1JFVFVSTl9FUVVJVFkuMjAwMC40LzEvMjAyNQEAAABLVQAAAgAAAAczNC4yOTA3AQgAAAAFAAAAATEBAAAACy0xOTYxNjY2NDcwAwAAAAMxNjACAAAABDQxMjgEAAAAATAHAAAACDQvMS8yMDI1CAAAAAoxMi8zMS8yMDI0CQAAAAEwK3BiEr9z3QhVguWUxHPdCDpDSVEuTkFTREFRR1M6TVNGVC5JUV9SRVRVUk5fSU5WRVNURURfQ0FQSVRBTC4yMDAwLjQvMS8yMDI1AQAAAEtVAAACAAAABzE4LjUwMDMAK3BiEr9z3QhVguWUxHPdCDRDSVEuTllTRTpEWEMuSVFfVE9UQUxfUkVWXzNZUl9BTk5fQ0FHUi4yMDAwLjQvMS8yMDI1AQAAALUDBAACAAAABy03LjY5NTYBCAAAAAUAAAABMQEAAAALLTE5NjEwMTAwMjgDAAAAAzE2MAIAAAAENDIyMAQAAAABMAcAAAAINC8xLzIwMjUIAAAA</t>
  </si>
  <si>
    <t>CjEyLzMxLzIwMjQJAAAAATArcGISv3PdCFWC5ZTEc90INUNJUS5OWVNFOkhQRS5JUV9SRVRVUk5fSU5WRVNURURfQ0FQSVRBTC4yMDAwLjQvMS8yMDI1AQAAAA6pVBACAAAABjUuNDU1NgArcGISv3PdCFWC5ZTEc90IOUNJUS5OQVNEQVFHUzpNU0ZULklRX1RPVEFMX1JFVl8zWVJfQU5OX0NBR1IuMjAwMC40LzEvMjAyNQEAAABLVQAAAgAAAAcxMi4yOTA1AQgAAAAFAAAAATEBAAAACy0xOTYxNjY2NDcwAwAAAAMxNjACAAAABDQyMjAEAAAAATAHAAAACDQvMS8yMDI1CAAAAAoxMi8zMS8yMDI0CQAAAAEwK3BiEr9z3QhVguWUxHPdCDZDSVEuTkFTREFRR1M6TVNGVC5JUV9FQklUREFfM1lSX0FOTl9DQUdSLjIwMDAuNC8xLzIwMjUBAAAAS1UAAAIAAAAHMTYuMDcyMgEIAAAABQAAAAExAQAAAAstMTk2MTY2NjQ3MAMAAAADMTYwAgAAAAQ0MjIyBAAAAAEwBwAAAAg0LzEvMjAyNQgAAAAKMTIvMzEvMjAyNAkAAAABMCtwYhK/c90IVYLllMRz3QgzQ0lRLk5BU0RBUUdTOk1TRlQuSVFfRVBTXzNZUl9BTk5fQ0FHUi4yMDAwLjQvMS8yMDI1AQAAAEtVAAACAAAABjkuNzQ0MgEIAAAABQAAAAExAQAAAAstMTk2MTY2NjQ3MAMAAAADMTYwAgAAAAQ0MjI2BAAAAAEwBwAAAAg0LzEvMjAyNQgAAAAKMTIvMzEvMjAyNAkAAAABMCtwYhK/c90IVYLllMRz3QgwQ0lRLk5BU0RBUUdTOk1TRlQuSVFfRUJJVERBX01BUkdJ</t>
  </si>
  <si>
    <t>Ti4yMDAwLjQvMS8yMDI1AQAAAEtVAAACAAAABzU0LjI1NTEBCAAAAAUAAAABMQEAAAALLTE5NjE2NjY0NzADAAAAAzE2MAIAAAAENDA0NwQAAAABMAcAAAAINC8xLzIwMjUIAAAACjEyLzMxLzIwMjQJAAAAATArcGISv3PdCFWC5ZTEc90ILENJUS5OQVNEQVFHUzpNU0ZULklRX05JX01BUkdJTi4yMDAwLjQvMS8yMDI1AQAAAEtVAAACAAAABzM1LjQyNzUBCAAAAAUAAAABMQEAAAALLTE5NjE2NjY0NzADAAAAAzE2MAIAAAAENDA5NAQAAAABMAcAAAAINC8xLzIwMjUIAAAACjEyLzMxLzIwMjQJAAAAATArcGISv3PdCFWC5ZTEc90ILUNJUS5OQVNEQVFHUzpNU0ZULklRX1FVSUNLX1JBVElPLjUwMC40LzEvMjAyNQEAAABLVQAAAgAAAAcxLjIwNDQ1AQgAAAAFAAAAATEBAAAACy0xOTYxNjY2NjU3AwAAAAMxNjACAAAABDQxMjEEAAAAATAHAAAACDQvMS8yMDI1CAAAAAoxMi8zMS8yMDI0CQAAAAEwK3BiEr9z3QhVguWUxHPdCCdDSVEuTllTRTpIUEUuSVFfTklfTUFSR0lOLjIwMDAuNC8xLzIwMjUBAAAADqlUEAIAAAAGOS4wMjc3AQgAAAAFAAAAATEBAAAACy0xOTU2NjM5NTkwAwAAAAMxNjACAAAABDQwOTQEAAAAATAHAAAACDQvMS8yMDI1CAAAAAkxLzMxLzIwMjUJAAAAATArcGISv3PdCFWC5ZTEc90IKENJUS5OWVNFOkhQRS5JUV9RVUlDS19SQVRJTy41MDAuNC8xLzIwMjUBAAAADqlUEAIAAAAIMC44</t>
  </si>
  <si>
    <t>MjkyNjQBCAAAAAUAAAABMQEAAAALLTE5NTY2NDE1MjADAAAAAzE2MAIAAAAENDEyMQQAAAABMAcAAAAINC8xLzIwMjUIAAAACTEvMzEvMjAyNQkAAAABMCtwYhK/c90IVYLllMRz3QgqQ0lRLk5ZU0U6SFBFLklRX0NVUlJFTlRfUkFUSU8uNTAwLjQvMS8yMDI1AQAAAA6pVBACAAAABzEuMzI1NTcBCAAAAAUAAAABMQEAAAALLTE5NTY2NDE1MjADAAAAAzE2MAIAAAAENDAzMAQAAAABMAcAAAAINC8xLzIwMjUIAAAACTEvMzEvMjAyNQkAAAABMCtwYhK/c90IVYLllMRz3QgsQ0lRLk5ZU0U6SFBFLklRX0RBWVNfU0FMRVNfT1VULjIwMDAuNC8xLzIwMjUBAAAADqlUEAIAAAAJNDMuMzQ2MTEyAQgAAAAFAAAAATEBAAAACy0xOTU2NjM5NTkwAwAAAAMxNjACAAAABDQwNDIEAAAAATAHAAAACDQvMS8yMDI1CAAAAAkxLzMxLzIwMjUJAAAAATArcGISv3PdCFWC5ZTEc90ILkNJUS5OWVNFOkhQRS5JUV9EQVlTX1BBWUFCTEVfT1VULjIwMDAuNC8xLzIwMjUBAAAADqlUEAIAAAAKMTQ2Ljg5MTkwNAEIAAAABQAAAAExAQAAAAstMTk1NjYzOTU5MAMAAAADMTYwAgAAAAQ0MTgzBAAAAAEwBwAAAAg0LzEvMjAyNQgAAAAJMS8zMS8yMDI1CQAAAAEwK3BiEr9z3QhVguWUxHPdCDBDSVEuTllTRTpIUEUuSVFfREFZU19JTlZFTlRPUllfT1VULjIwMDAuNC8xLzIwMjUBAAAADqlUEAIAAAAJMTI3LjU1ODMyAQgAAAAFAAAA</t>
  </si>
  <si>
    <t>ATEBAAAACy0xOTU2NjM5NTkwAwAAAAMxNjACAAAABDQwMzUEAAAAATAHAAAACDQvMS8yMDI1CAAAAAkxLzMxLzIwMjUJAAAAATArcGISv3PdCFWC5ZTEc90IK0NJUS5OWVNFOkhQRS5JUV9SRVRVUk5fRVFVSVRZLjIwMDAuNC8xLzIwMjUBAAAADqlUEAIAAAAHMTIuMDU5OAEIAAAABQAAAAExAQAAAAstMTk1NjYzOTU5MAMAAAADMTYwAgAAAAQ0MTI4BAAAAAEwBwAAAAg0LzEvMjAyNQgAAAAJMS8zMS8yMDI1CQAAAAEwK3BiEr9z3QhVguWUxHPdCDBDSVEuTllTRTpDUk0uSVFfREFZU19JTlZFTlRPUllfT1VULjIwMDAuNC8xLzIwMjUBAAAAJeABAAMAAAAAACtwYhK/c90IVYLllMRz3QgrQ0lRLk5ZU0U6Q1JNLklRX1JFVFVSTl9FUVVJVFkuMjAwMC40LzEvMjAyNQEAAAAl4AEAAgAAAAcxMC4yNTgzAQgAAAAFAAAAATEBAAAACy0xOTU2OTQwNDU2AwAAAAMxNjACAAAABDQxMjgEAAAAATAHAAAACDQvMS8yMDI1CAAAAAkxLzMxLzIwMjUJAAAAATArcGISv3PdCFWC5ZTEc90INUNJUS5OWVNFOkNSTS5JUV9SRVRVUk5fSU5WRVNURURfQ0FQSVRBTC4yMDAwLjQvMS8yMDI1AQAAACXgAQACAAAABjYuMzYzOQArcGISv3PdCFWC5ZTEc90INENJUS5OWVNFOkhQRS5JUV9UT1RBTF9SRVZfM1lSX0FOTl9DQUdSLjIwMDAuNC8xLzIwMjUBAAAADqlUEAIAAAAGMy44MTA2AQgAAAAFAAAAATEBAAAACy0xOTU2NjM5</t>
  </si>
  <si>
    <t>NTkwAwAAAAMxNjACAAAABDQyMjAEAAAAATAHAAAACDQvMS8yMDI1CAAAAAkxLzMxLzIwMjUJAAAAATArcGISv3PdCFWC5ZTEc90IMUNJUS5OWVNFOkhQRS5JUV9FQklUREFfM1lSX0FOTl9DQUdSLjIwMDAuNC8xLzIwMjUBAAAADqlUEAIAAAAGMS41MzU3AQgAAAAFAAAAATEBAAAACy0xOTU2NjM5NTkwAwAAAAMxNjACAAAABDQyMjIEAAAAATAHAAAACDQvMS8yMDI1CAAAAAkxLzMxLzIwMjUJAAAAATArcGISv3PdCFWC5ZTEc90ILkNJUS5OWVNFOkhQRS5JUV9FUFNfM1lSX0FOTl9DQUdSLjIwMDAuNC8xLzIwMjUBAAAADqlUEAIAAAAHLTkuNDM0NQEIAAAABQAAAAExAQAAAAstMTk1NjYzOTU5MAMAAAADMTYwAgAAAAQ0MjI2BAAAAAEwBwAAAAg0LzEvMjAyNQgAAAAJMS8zMS8yMDI1CQAAAAEwxoJiEr9z3QhVguWUxHPdCCtDSVEuTllTRTpIUEUuSVFfRUJJVERBX01BUkdJTi4yMDAwLjQvMS8yMDI1AQAAAA6pVBACAAAABzE2LjE5NDgBCAAAAAUAAAABMQEAAAALLTE5NTY2Mzk1OTADAAAAAzE2MAIAAAAENDA0NwQAAAABMAcAAAAINC8xLzIwMjUIAAAACTEvMzEvMjAyNQkAAAABMMaCYhK/c90IVYLllMRz3QguQ0lRLk5ZU0U6Q1JNLklRX0VQU18zWVJfQU5OX0NBR1IuMjAwMC40LzEvMjAyNQEAAAAl4AEAAgAAAAc2Mi41NzkzAQgAAAAFAAAAATEBAAAACy0xOTU2OTQwNDU2AwAAAAMxNjACAAAABDQy</t>
  </si>
  <si>
    <t>MjYEAAAAATAHAAAACDQvMS8yMDI1CAAAAAkxLzMxLzIwMjUJAAAAATDGgmISv3PdCKDQ5ZTEc90IK0NJUS5OWVNFOkNSTS5JUV9FQklUREFfTUFSR0lOLjIwMDAuNC8xLzIwMjUBAAAAJeABAAIAAAAHMjkuNDA0OQEIAAAABQAAAAExAQAAAAstMTk1Njk0MDQ1NgMAAAADMTYwAgAAAAQ0MDQ3BAAAAAEwBwAAAAg0LzEvMjAyNQgAAAAJMS8zMS8yMDI1CQAAAAEwxoJiEr9z3Qig0OWUxHPdCCdDSVEuTllTRTpDUk0uSVFfTklfTUFSR0lOLjIwMDAuNC8xLzIwMjUBAAAAJeABAAIAAAAGMTYuMzUzAQgAAAAFAAAAATEBAAAACy0xOTU2OTQwNDU2AwAAAAMxNjACAAAABDQwOTQEAAAAATAHAAAACDQvMS8yMDI1CAAAAAkxLzMxLzIwMjUJAAAAATDGgmISv3PdCKDQ5ZTEc90IKENJUS5OWVNFOkNSTS5JUV9RVUlDS19SQVRJTy41MDAuNC8xLzIwMjUBAAAAJeABAAIAAAAIMC45Mjg0MTMBCAAAAAUAAAABMQEAAAALLTE5NTY5NDA0NTgDAAAAAzE2MAIAAAAENDEyMQQAAAABMAcAAAAINC8xLzIwMjUIAAAACTEvMzEvMjAyNQkAAAABMMaCYhK/c90IoNDllMRz3QgqQ0lRLk5ZU0U6Q1JNLklRX0NVUlJFTlRfUkFUSU8uNTAwLjQvMS8yMDI1AQAAACXgAQACAAAACDEuMDYyNDM3AQgAAAAFAAAAATEBAAAACy0xOTU2OTQwNDU4AwAAAAMxNjACAAAABDQwMzAEAAAAATAHAAAACDQvMS8yMDI1CAAAAAkxLzMxLzIwMjUJ</t>
  </si>
  <si>
    <t>AAAAATDGgmISv3PdCKDQ5ZTEc90ILENJUS5OWVNFOkNSTS5JUV9EQVlTX1NBTEVTX09VVC4yMDAwLjQvMS8yMDI1AQAAACXgAQACAAAACjExMi44MDMzOTYBCAAAAAUAAAABMQEAAAALLTE5NTY5NDA0NTYDAAAAAzE2MAIAAAAENDA0MgQAAAABMAcAAAAINC8xLzIwMjUIAAAACTEvMzEvMjAyNQkAAAABMMaCYhK/c90IoNDllMRz3QguQ0lRLk5ZU0U6Q1JNLklRX0RBWVNfUEFZQUJMRV9PVVQuMjAwMC40LzEvMjAyNQEAAAAl4AEAAgAAAAkxMzQuMTk1NzMBCAAAAAUAAAABMQEAAAALLTE5NTY5NDA0NTYDAAAAAzE2MAIAAAAENDE4MwQAAAABMAcAAAAINC8xLzIwMjUIAAAACTEvMzEvMjAyNQkAAAABMMaCYhK/c90IVYLllMRz3QgxQ0lRLk5BU0RBUUdTOkNUU0guSVFfREFZU19TQUxFU19PVVQuMjAwMC40LzEvMjAyNQEAAADo4wUAAgAAAAk3My4zMjU5MDQBCAAAAAUAAAABMQEAAAALLTE5NTk5NTIzODQDAAAAAzE2MAIAAAAENDA0MgQAAAABMAcAAAAINC8xLzIwMjUIAAAACjEyLzMxLzIwMjQJAAAAATDGgmISv3PdCKDQ5ZTEc90IM0NJUS5OQVNEQVFHUzpDVFNILklRX0RBWVNfUEFZQUJMRV9PVVQuMjAwMC40LzEvMjAyNQEAAADo4wUAAgAAAAg5LjU2MDY1MgEIAAAABQAAAAExAQAAAAstMTk1OTk1MjM4NAMAAAADMTYwAgAAAAQ0MTgzBAAAAAEwBwAAAAg0LzEvMjAyNQgAAAAKMTIvMzEvMjAyNAkA</t>
  </si>
  <si>
    <t>AAABMMaCYhK/c90IoNDllMRz3Qg1Q0lRLk5BU0RBUUdTOkNUU0guSVFfREFZU19JTlZFTlRPUllfT1VULjIwMDAuNC8xLzIwMjUBAAAA6OMFAAMAAAAAAMaCYhK/c90IoNDllMRz3QgwQ0lRLk5BU0RBUUdTOkNUU0guSVFfUkVUVVJOX0VRVUlUWS4yMDAwLjQvMS8yMDI1AQAAAOjjBQACAAAABzE2LjIxMTMBCAAAAAUAAAABMQEAAAALLTE5NTk5NTIzODQDAAAAAzE2MAIAAAAENDEyOAQAAAABMAcAAAAINC8xLzIwMjUIAAAACjEyLzMxLzIwMjQJAAAAATDGgmISv3PdCKDQ5ZTEc90IOkNJUS5OQVNEQVFHUzpDVFNILklRX1JFVFVSTl9JTlZFU1RFRF9DQVBJVEFMLjIwMDAuNC8xLzIwMjUBAAAA6OMFAAIAAAAHMTAuNzYyMgDGgmISv3PdCKDQ5ZTEc90INENJUS5OWVNFOkNSTS5JUV9UT1RBTF9SRVZfM1lSX0FOTl9DQUdSLjIwMDAuNC8xLzIwMjUBAAAAJeABAAIAAAAHMTIuNjczNgEIAAAABQAAAAExAQAAAAstMTk1Njk0MDQ1NgMAAAADMTYwAgAAAAQ0MjIwBAAAAAEwBwAAAAg0LzEvMjAyNQgAAAAJMS8zMS8yMDI1CQAAAAEwxoJiEr9z3Qig0OWUxHPdCDFDSVEuTllTRTpDUk0uSVFfRUJJVERBXzNZUl9BTk5fQ0FHUi4yMDAwLjQvMS8yMDI1AQAAACXgAQACAAAABTQyLjU2AQgAAAAFAAAAATEBAAAACy0xOTU2OTQwNDU2AwAAAAMxNjACAAAABDQyMjIEAAAAATAHAAAACDQvMS8yMDI1CAAAAAkxLzMx</t>
  </si>
  <si>
    <t>LzIwMjUJAAAAATDGgmISv3PdCKDQ5ZTEc90IOUNJUS5OQVNEQVFHUzpDVFNILklRX1RPVEFMX1JFVl8zWVJfQU5OX0NBR1IuMjAwMC40LzEvMjAyNQEAAADo4wUAAgAAAAYyLjE2NjMBCAAAAAUAAAABMQEAAAALLTE5NTk5NTIzODQDAAAAAzE2MAIAAAAENDIyMAQAAAABMAcAAAAINC8xLzIwMjUIAAAACjEyLzMxLzIwMjQJAAAAATDGgmISv3PdCKDQ5ZTEc90INkNJUS5OQVNEQVFHUzpDVFNILklRX0VCSVREQV8zWVJfQU5OX0NBR1IuMjAwMC40LzEvMjAyNQEAAADo4wUAAgAAAAYxLjQ4MjcBCAAAAAUAAAABMQEAAAALLTE5NTk5NTIzODQDAAAAAzE2MAIAAAAENDIyMgQAAAABMAcAAAAINC8xLzIwMjUIAAAACjEyLzMxLzIwMjQJAAAAATDGgmISv3PdCKDQ5ZTEc90IM0NJUS5OQVNEQVFHUzpDVFNILklRX0VQU18zWVJfQU5OX0NBR1IuMjAwMC40LzEvMjAyNQEAAADo4wUAAgAAAAYzLjY1MTEBCAAAAAUAAAABMQEAAAALLTE5NTk5NTIzODQDAAAAAzE2MAIAAAAENDIyNgQAAAABMAcAAAAINC8xLzIwMjUIAAAACjEyLzMxLzIwMjQJAAAAATDGgmISv3PdCKDQ5ZTEc90IMENJUS5OQVNEQVFHUzpDVFNILklRX0VCSVREQV9NQVJHSU4uMjAwMC40LzEvMjAyNQEAAADo4wUAAgAAAAcxNy44MzAzAQgAAAAFAAAAATEBAAAACy0xOTU5OTUyMzg0AwAAAAMxNjACAAAABDQwNDcEAAAAATAHAAAACDQvMS8yMDI1</t>
  </si>
  <si>
    <t>CAAAAAoxMi8zMS8yMDI0CQAAAAEwxoJiEr9z3Qig0OWUxHPdCCxDSVEuTkFTREFRR1M6Q1RTSC5JUV9OSV9NQVJHSU4uMjAwMC40LzEvMjAyNQEAAADo4wUAAgAAAAcxMS4zNDk4AQgAAAAFAAAAATEBAAAACy0xOTU5OTUyMzg0AwAAAAMxNjACAAAABDQwOTQEAAAAATAHAAAACDQvMS8yMDI1CAAAAAoxMi8zMS8yMDI0CQAAAAEwxoJiEr9z3Qig0OWUxHPdCC1DSVEuTkFTREFRR1M6Q1RTSC5JUV9RVUlDS19SQVRJTy41MDAuNC8xLzIwMjUBAAAA6OMFAAIAAAAHMS43NTc4OAEIAAAABQAAAAExAQAAAAstMTk1OTk1MjM4NgMAAAADMTYwAgAAAAQ0MTIxBAAAAAEwBwAAAAg0LzEvMjAyNQgAAAAKMTIvMzEvMjAyNAkAAAABMMaCYhK/c90IoNDllMRz3QgvQ0lRLk5BU0RBUUdTOkNUU0guSVFfQ1VSUkVOVF9SQVRJTy41MDAuNC8xLzIwMjUBAAAA6OMFAAIAAAAIMi4wOTMxNjUBCAAAAAUAAAABMQEAAAALLTE5NTk5NTIzODYDAAAAAzE2MAIAAAAENDAzMAQAAAABMAcAAAAINC8xLzIwMjUIAAAACjEyLzMxLzIwMjQJAAAAATDGgmISv3PdCKDQ5ZTEc90IKENJUS5OWVNFOkFDTi5JUV9RVUlDS19SQVRJTy41MDAuNC8xLzIwMjUBAAAAntUOAAIAAAAIMS4zMjk2MTUBCAAAAAUAAAABMQEAAAALLTE5NTUxMjg0ODYDAAAAAzE2MAIAAAAENDEyMQQAAAABMAcAAAAINC8xLzIwMjUIAAAACTIvMjgvMjAyNQkAAAAB</t>
  </si>
  <si>
    <t>MMaCYhK/c90IoNDllMRz3QgqQ0lRLk5ZU0U6QUNOLklRX0NVUlJFTlRfUkFUSU8uNTAwLjQvMS8yMDI1AQAAAJ7VDgACAAAACDEuNDc3MzU3AQgAAAAFAAAAATEBAAAACy0xOTU1MTI4NDg2AwAAAAMxNjACAAAABDQwMzAEAAAAATAHAAAACDQvMS8yMDI1CAAAAAkyLzI4LzIwMjUJAAAAATDGgmISv3PdCKDQ5ZTEc90ILENJUS5OWVNFOkFDTi5JUV9EQVlTX1NBTEVTX09VVC4yMDAwLjQvMS8yMDI1AQAAAJ7VDgACAAAACTc0LjI4NDQzNQEIAAAABQAAAAExAQAAAAstMTk1NTEyODMwNwMAAAADMTYwAgAAAAQ0MDQyBAAAAAEwBwAAAAg0LzEvMjAyNQgAAAAJMi8yOC8yMDI1CQAAAAEwxoJiEr9z3Qig0OWUxHPdCC5DSVEuTllTRTpBQ04uSVFfREFZU19QQVlBQkxFX09VVC4yMDAwLjQvMS8yMDI1AQAAAJ7VDgACAAAABzE5LjM4ODgBCAAAAAUAAAABMQEAAAALLTE5NTUxMjgzMDcDAAAAAzE2MAIAAAAENDE4MwQAAAABMAcAAAAINC8xLzIwMjUIAAAACTIvMjgvMjAyNQkAAAABMMaCYhK/c90IoNDllMRz3QgwQ0lRLk5ZU0U6QUNOLklRX0RBWVNfSU5WRU5UT1JZX09VVC4yMDAwLjQvMS8yMDI1AQAAAJ7VDgADAAAAAADGgmISv3PdCKDQ5ZTEc90IK0NJUS5OWVNFOkFDTi5JUV9SRVRVUk5fRVFVSVRZLjIwMDAuNC8xLzIwMjUBAAAAntUOAAIAAAAHMjYuOTY1NAEIAAAABQAAAAExAQAAAAstMTk1NTEyODMw</t>
  </si>
  <si>
    <t>NwMAAAADMTYwAgAAAAQ0MTI4BAAAAAEwBwAAAAg0LzEvMjAyNQgAAAAJMi8yOC8yMDI1CQAAAAEwxoJiEr9z3Qig0OWUxHPdCDVDSVEuTllTRTpBQ04uSVFfUkVUVVJOX0lOVkVTVEVEX0NBUElUQUwuMjAwMC40LzEvMjAyNQEAAACe1Q4AAgAAAAcxMi4xNDk4AMaCYhK/c90IoNDllMRz3QgsQ0lRLk5ZU0U6T1JDTC5JUV9SRVRVUk5fRVFVSVRZLjIwMDAuNC8xLzIwMjUBAAAA51YAAAIAAAAIMTAzLjc0MDkBCAAAAAUAAAABMQEAAAALLTE5NTYzMDQ5MjADAAAAAzE2MAIAAAAENDEyOAQAAAABMAcAAAAINC8xLzIwMjUIAAAACTIvMjgvMjAyNQkAAAABMMaCYhK/c90IoNDllMRz3Qg2Q0lRLk5ZU0U6T1JDTC5JUV9SRVRVUk5fSU5WRVNURURfQ0FQSVRBTC4yMDAwLjQvMS8yMDI1AQAAAOdWAAACAAAABjYuOTk3MwDGgmISv3PdCKDQ5ZTEc90INENJUS5OWVNFOkFDTi5JUV9UT1RBTF9SRVZfM1lSX0FOTl9DQUdSLjIwMDAuNC8xLzIwMjUBAAAAntUOAAIAAAAGNS44NDEyAQgAAAAFAAAAATEBAAAACy0xOTU1MTI4MzA3AwAAAAMxNjACAAAABDQyMjAEAAAAATAHAAAACDQvMS8yMDI1CAAAAAkyLzI4LzIwMjUJAAAAATDGgmISv3PdCKDQ5ZTEc90IMUNJUS5OWVNFOkFDTi5JUV9FQklUREFfM1lSX0FOTl9DQUdSLjIwMDAuNC8xLzIwMjUBAAAAntUOAAIAAAAGNi40NDgxAQgAAAAFAAAAATEBAAAACy0xOTU1</t>
  </si>
  <si>
    <t>MTI4MzA3AwAAAAMxNjACAAAABDQyMjIEAAAAATAHAAAACDQvMS8yMDI1CAAAAAkyLzI4LzIwMjUJAAAAATDGgmISv3PdCKDQ5ZTEc90ILkNJUS5OWVNFOkFDTi5JUV9FUFNfM1lSX0FOTl9DQUdSLjIwMDAuNC8xLzIwMjUBAAAAntUOAAIAAAAFNi44ODcBCAAAAAUAAAABMQEAAAALLTE5NTUxMjgzMDcDAAAAAzE2MAIAAAAENDIyNgQAAAABMAcAAAAINC8xLzIwMjUIAAAACTIvMjgvMjAyNQkAAAABMMaCYhK/c90IoNDllMRz3QgrQ0lRLk5ZU0U6QUNOLklRX0VCSVREQV9NQVJHSU4uMjAwMC40LzEvMjAyNQEAAACe1Q4AAgAAAAcxNy4wNjY3AQgAAAAFAAAAATEBAAAACy0xOTU1MTI4MzA3AwAAAAMxNjACAAAABDQwNDcEAAAAATAHAAAACDQvMS8yMDI1CAAAAAkyLzI4LzIwMjUJAAAAATDGgmISv3PdCKDQ5ZTEc90IJ0NJUS5OWVNFOkFDTi5JUV9OSV9NQVJHSU4uMjAwMC40LzEvMjAyNQEAAACe1Q4AAgAAAAUxMS40MwEIAAAABQAAAAExAQAAAAstMTk1NTEyODMwNwMAAAADMTYwAgAAAAQ0MDk0BAAAAAEwBwAAAAg0LzEvMjAyNQgAAAAJMi8yOC8yMDI1CQAAAAEwxoJiEr9z3Qig0OWUxHPdCCxDSVEuTllTRTpPUkNMLklRX0VCSVREQV9NQVJHSU4uMjAwMC40LzEvMjAyNQEAAADnVgAAAgAAAAc0MS4wODA2AQgAAAAFAAAAATEBAAAACy0xOTU2MzA0OTIwAwAAAAMxNjACAAAABDQwNDcEAAAAATAHAAAA</t>
  </si>
  <si>
    <t>CDQvMS8yMDI1CAAAAAkyLzI4LzIwMjUJAAAAATDGgmISv3PdCKDQ5ZTEc90IKENJUS5OWVNFOk9SQ0wuSVFfTklfTUFSR0lOLjIwMDAuNC8xLzIwMjUBAAAA51YAAAIAAAAHMjEuNzk4NwEIAAAABQAAAAExAQAAAAstMTk1NjMwNDkyMAMAAAADMTYwAgAAAAQ0MDk0BAAAAAEwBwAAAAg0LzEvMjAyNQgAAAAJMi8yOC8yMDI1CQAAAAEwxoJiEr9z3Qig0OWUxHPdCClDSVEuTllTRTpPUkNMLklRX1FVSUNLX1JBVElPLjUwMC40LzEvMjAyNQEAAADnVgAAAgAAAAgwLjg3MzQ0MgEIAAAABQAAAAExAQAAAAstMTk1NjMwNTMyMAMAAAADMTYwAgAAAAQ0MTIxBAAAAAEwBwAAAAg0LzEvMjAyNQgAAAAJMi8yOC8yMDI1CQAAAAEwxoJiEr9z3Qig0OWUxHPdCCtDSVEuTllTRTpPUkNMLklRX0NVUlJFTlRfUkFUSU8uNTAwLjQvMS8yMDI1AQAAAOdWAAACAAAACDEuMDE2NjQyAQgAAAAFAAAAATEBAAAACy0xOTU2MzA1MzIwAwAAAAMxNjACAAAABDQwMzAEAAAAATAHAAAACDQvMS8yMDI1CAAAAAkyLzI4LzIwMjUJAAAAATDGgmISv3PdCKDQ5ZTEc90ILUNJUS5OWVNFOk9SQ0wuSVFfREFZU19TQUxFU19PVVQuMjAwMC40LzEvMjAyNQEAAADnVgAAAgAAAAg1MC4yMTIzMgEIAAAABQAAAAExAQAAAAstMTk1NjMwNDkyMAMAAAADMTYwAgAAAAQ0MDQyBAAAAAEwBwAAAAg0LzEvMjAyNQgAAAAJMi8yOC8yMDI1CQAAAAEw</t>
  </si>
  <si>
    <t>xoJiEr9z3Qig0OWUxHPdCC9DSVEuTllTRTpPUkNMLklRX0RBWVNfUEFZQUJMRV9PVVQuMjAwMC40LzEvMjAyNQEAAADnVgAAAgAAAAc0Ni4yMzA5AQgAAAAFAAAAATEBAAAACy0xOTU2MzA0OTIwAwAAAAMxNjACAAAABDQxODMEAAAAATAHAAAACDQvMS8yMDI1CAAAAAkyLzI4LzIwMjUJAAAAATDGgmISv3PdCKDQ5ZTEc90IMUNJUS5OWVNFOk9SQ0wuSVFfREFZU19JTlZFTlRPUllfT1VULjIwMDAuNC8xLzIwMjUBAAAA51YAAAMAAAAAAMaCYhK/c90IoNDllMRz3Qg1Q0lRLk5ZU0U6T1JDTC5JUV9UT1RBTF9SRVZfM1lSX0FOTl9DQUdSLjIwMDAuNC8xLzIwMjUBAAAA51YAAAIAAAAHMTAuMDczMgEIAAAABQAAAAExAQAAAAstMTk1NjMwNDkyMAMAAAADMTYwAgAAAAQ0MjIwBAAAAAEwBwAAAAg0LzEvMjAyNQgAAAAJMi8yOC8yMDI1CQAAAAEwxoJiEr9z3QjyHuaUxHPdCDJDSVEuTllTRTpPUkNMLklRX0VCSVREQV8zWVJfQU5OX0NBR1IuMjAwMC40LzEvMjAyNQEAAADnVgAAAgAAAAY3LjU5MjQBCAAAAAUAAAABMQEAAAALLTE5NTYzMDQ5MjADAAAAAzE2MAIAAAAENDIyMgQAAAABMAcAAAAINC8xLzIwMjUIAAAACTIvMjgvMjAyNQkAAAABMMaCYhK/c90I8h7mlMRz3QgvQ0lRLk5ZU0U6T1JDTC5JUV9FUFNfM1lSX0FOTl9DQUdSLjIwMDAuNC8xLzIwMjUBAAAA51YAAAIAAAAHMTYuOTMzOAEIAAAABQAA</t>
  </si>
  <si>
    <t>AAExAQAAAAstMTk1NjMwNDkyMAMAAAADMTYwAgAAAAQ0MjI2BAAAAAEwBwAAAAg0LzEvMjAyNQgAAAAJMi8yOC8yMDI1CQAAAAEwxoJiEr9z3Qig0OWUxHPdCDNDSVEuTkFTREFRR1M6SE9OLklRX1RPVEFMX0RFQlRfRUJJVERBLjIwMDAuNC8xLzIwMjUBAAAARHUUAAIAAAAIMy4yODQyNDMBCAAAAAUAAAABMQEAAAALLTE5NTg4MTE3NjMDAAAAAzE2MAIAAAAENDE5MgQAAAABMAcAAAAINC8xLzIwMjUIAAAACjEyLzMxLzIwMjQJAAAAATDGgmISv3PdCPIe5pTEc90IMUNJUS5OQVNEQVFHUzpIT04uSVFfTkVUX0RFQlRfRUJJVERBLjIwMDAuNC8xLzIwMjUBAAAARHUUAAIAAAAIMi4xNjc5NTcBCAAAAAUAAAABMQEAAAALLTE5NTg4MTE3NjMDAAAAAzE2MAIAAAAENDE5MwQAAAABMAcAAAAINC8xLzIwMjUIAAAACjEyLzMxLzIwMjQJAAAAATDGgmISv3PdCPIe5pTEc90ILENJUS5OQVNEQVFHUzpIT04uSVFfRUJJVERBX0lOVC4yMDAwLjQvMS8yMDI1AQAAAER1FAACAAAACDkuMjc0MTAyAQgAAAAFAAAAATEBAAAACy0xOTU4ODExNzYzAwAAAAMxNjACAAAABDQxOTAEAAAAATAHAAAACDQvMS8yMDI1CAAAAAoxMi8zMS8yMDI0CQAAAAEwjY5iEr9z3QjyHuaUxHPdCDJDSVEuTkFTREFRR1M6SE9OLklRX0VCSVREQV9DQVBFWF9JTlQuMjAwMC40LzEvMjAyNQEAAABEdRQAAgAAAAg4LjE3MzkxMwEIAAAABQAA</t>
  </si>
  <si>
    <t>AAExAQAAAAstMTk1ODgxMTc2MwMAAAADMTYwAgAAAAQ0MTkxBAAAAAEwBwAAAAg0LzEvMjAyNQgAAAAKMTIvMzEvMjAyNAkAAAABMI2OYhK/c90I8h7mlMRz3QgyQ0lRLk5BU0RBUUdTOkhPTi5JUV9UT1RBTF9ERUJUX0VRVUlUWS41MDAuNC8xLzIwMjUBAAAARHUUAAIAAAAIMTY4LjE4MDEBCAAAAAUAAAABMQEAAAALLTE5NTg4MTE3NjUDAAAAAzE2MAIAAAAENDAzNAQAAAABMAcAAAAINC8xLzIwMjUIAAAACjEyLzMxLzIwMjQJAAAAATCNjmISv3PdCPIe5pTEc90IM0NJUS5OQVNEQVFHUzpIT04uSVFfVE9UQUxfREVCVF9DQVBJVEFMLjUwMC40LzEvMjAyNQEAAABEdRQAAgAAAAc2Mi43MTE2AQgAAAAFAAAAATEBAAAACy0xOTU4ODExNzY1AwAAAAMxNjACAAAABDQxODYEAAAAATAHAAAACDQvMS8yMDI1CAAAAAoxMi8zMS8yMDI0CQAAAAEwjY5iEr9z3QjyHuaUxHPdCC5DSVEuTllTRTpEWEMuSVFfVE9UQUxfREVCVF9FUVVJVFkuNTAwLjQvMS8yMDI1AQAAALUDBAACAAAACDEzOC40MDcxAQgAAAAFAAAAATEBAAAACy0xOTYxMDEwNDcxAwAAAAMxNjACAAAABDQwMzQEAAAAATAHAAAACDQvMS8yMDI1CAAAAAoxMi8zMS8yMDI0CQAAAAEwjY5iEr9z3QjyHuaUxHPdCC9DSVEuTllTRTpEWEMuSVFfVE9UQUxfREVCVF9DQVBJVEFMLjUwMC40LzEvMjAyNQEAAAC1AwQAAgAAAAc1OC4wNTQ5AQgAAAAFAAAA</t>
  </si>
  <si>
    <t>ATEBAAAACy0xOTYxMDEwNDcxAwAAAAMxNjACAAAABDQxODYEAAAAATAHAAAACDQvMS8yMDI1CAAAAAoxMi8zMS8yMDI0CQAAAAEwjY5iEr9z3QjyHuaUxHPdCC9DSVEuTllTRTpEWEMuSVFfVE9UQUxfREVCVF9FQklUREEuMjAwMC40LzEvMjAyNQEAAAC1AwQAAgAAAAgyLjUzODYzNQEIAAAABQAAAAExAQAAAAstMTk2MTAxMDAyOAMAAAADMTYwAgAAAAQ0MTkyBAAAAAEwBwAAAAg0LzEvMjAyNQgAAAAKMTIvMzEvMjAyNAkAAAABMI2OYhK/c90I8h7mlMRz3QgtQ0lRLk5ZU0U6RFhDLklRX05FVF9ERUJUX0VCSVREQS4yMDAwLjQvMS8yMDI1AQAAALUDBAACAAAACDEuNTY2ODM1AQgAAAAFAAAAATEBAAAACy0xOTYxMDEwMDI4AwAAAAMxNjACAAAABDQxOTMEAAAAATAHAAAACDQvMS8yMDI1CAAAAAoxMi8zMS8yMDI0CQAAAAEwjY5iEr9z3QjyHuaUxHPdCChDSVEuTllTRTpEWEMuSVFfRUJJVERBX0lOVC4yMDAwLjQvMS8yMDI1AQAAALUDBAACAAAACDYuMjY1MDE3AQgAAAAFAAAAATEBAAAACy0xOTYxMDEwMDI4AwAAAAMxNjACAAAABDQxOTAEAAAAATAHAAAACDQvMS8yMDI1CAAAAAoxMi8zMS8yMDI0CQAAAAEwjY5iEr9z3QjyHuaUxHPdCC5DSVEuTllTRTpEWEMuSVFfRUJJVERBX0NBUEVYX0lOVC4yMDAwLjQvMS8yMDI1AQAAALUDBAACAAAACDUuNTI2NTAxAQgAAAAFAAAAATEBAAAACy0xOTYxMDEw</t>
  </si>
  <si>
    <t>MDI4AwAAAAMxNjACAAAABDQxOTEEAAAAATAHAAAACDQvMS8yMDI1CAAAAAoxMi8zMS8yMDI0CQAAAAEwjY5iEr9z3QjyHuaUxHPdCDJDSVEuTkFTREFRR1M6TVNGVC5JUV9ORVRfREVCVF9FQklUREEuMjAwMC40LzEvMjAyNQEAAABLVQAAAgAAAAgwLjIxNDA4MQEIAAAABQAAAAExAQAAAAstMTk2MTY2NjQ3MAMAAAADMTYwAgAAAAQ0MTkzBAAAAAEwBwAAAAg0LzEvMjAyNQgAAAAKMTIvMzEvMjAyNAkAAAABMI2OYhK/c90I8h7mlMRz3QgtQ0lRLk5BU0RBUUdTOk1TRlQuSVFfRUJJVERBX0lOVC4yMDAwLjQvMS8yMDI1AQAAAEtVAAACAAAACDUzLjgwNTI5AQgAAAAFAAAAATEBAAAACy0xOTYxNjY2NDcwAwAAAAMxNjACAAAABDQxOTAEAAAAATAHAAAACDQvMS8yMDI1CAAAAAoxMi8zMS8yMDI0CQAAAAEwjY5iEr9z3QjyHuaUxHPdCDNDSVEuTkFTREFRR1M6TVNGVC5JUV9FQklUREFfQ0FQRVhfSU5ULjIwMDAuNC8xLzIwMjUBAAAAS1UAAAIAAAAJMzMuMzk2NzY3AQgAAAAFAAAAATEBAAAACy0xOTYxNjY2NDcwAwAAAAMxNjACAAAABDQxOTEEAAAAATAHAAAACDQvMS8yMDI1CAAAAAoxMi8zMS8yMDI0CQAAAAEwjY5iEr9z3QjyHuaUxHPdCDNDSVEuTkFTREFRR1M6TVNGVC5JUV9UT1RBTF9ERUJUX0VRVUlUWS41MDAuNC8xLzIwMjUBAAAAS1UAAAIAAAAHMzMuOTk3NQEIAAAABQAAAAExAQAAAAstMTk2</t>
  </si>
  <si>
    <t>MTY2NjY1NwMAAAADMTYwAgAAAAQ0MDM0BAAAAAEwBwAAAAg0LzEvMjAyNQgAAAAKMTIvMzEvMjAyNAkAAAABMI2OYhK/c90I8h7mlMRz3Qg0Q0lRLk5BU0RBUUdTOk1TRlQuSVFfVE9UQUxfREVCVF9DQVBJVEFMLjUwMC40LzEvMjAyNQEAAABLVQAAAgAAAAcyNS4zNzE3AQgAAAAFAAAAATEBAAAACy0xOTYxNjY2NjU3AwAAAAMxNjACAAAABDQxODYEAAAAATAHAAAACDQvMS8yMDI1CAAAAAoxMi8zMS8yMDI0CQAAAAEwjY5iEr9z3QjyHuaUxHPdCC9DSVEuTllTRTpIUEUuSVFfVE9UQUxfREVCVF9DQVBJVEFMLjUwMC40LzEvMjAyNQEAAAAOqVQQAgAAAAc0MS40Nzk1AQgAAAAFAAAAATEBAAAACy0xOTU2NjQxNTIwAwAAAAMxNjACAAAABDQxODYEAAAAATAHAAAACDQvMS8yMDI1CAAAAAkxLzMxLzIwMjUJAAAAATCNjmISv3PdCPIe5pTEc90INENJUS5OQVNEQVFHUzpNU0ZULklRX1RPVEFMX0RFQlRfRUJJVERBLjIwMDAuNC8xLzIwMjUBAAAAS1UAAAIAAAAIMC43MDI2NTEBCAAAAAUAAAABMQEAAAALLTE5NjE2NjY0NzADAAAAAzE2MAIAAAAENDE5MgQAAAABMAcAAAAINC8xLzIwMjUIAAAACjEyLzMxLzIwMjQJAAAAATCNjmISv3PdCPIe5pTEc90IL0NJUS5OWVNFOkhQRS5JUV9UT1RBTF9ERUJUX0VCSVREQS4yMDAwLjQvMS8yMDI1AQAAAA6pVBACAAAACDMuMzg3NTIzAQgAAAAFAAAAATEBAAAACy0x</t>
  </si>
  <si>
    <t>OTU2NjM5NTkwAwAAAAMxNjACAAAABDQxOTIEAAAAATAHAAAACDQvMS8yMDI1CAAAAAkxLzMxLzIwMjUJAAAAATCNjmISv3PdCD5t5pTEc90ILUNJUS5OWVNFOkhQRS5JUV9ORVRfREVCVF9FQklUREEuMjAwMC40LzEvMjAyNQEAAAAOqVQQAgAAAAgwLjk5NTg0MQEIAAAABQAAAAExAQAAAAstMTk1NjYzOTU5MAMAAAADMTYwAgAAAAQ0MTkzBAAAAAEwBwAAAAg0LzEvMjAyNQgAAAAJMS8zMS8yMDI1CQAAAAEwjY5iEr9z3Qg+beaUxHPdCChDSVEuTllTRTpIUEUuSVFfRUJJVERBX0lOVC4yMDAwLjQvMS8yMDI1AQAAAA6pVBACAAAACTEwLjUzNzg0OAEIAAAABQAAAAExAQAAAAstMTk1NjYzOTU5MAMAAAADMTYwAgAAAAQ0MTkwBAAAAAEwBwAAAAg0LzEvMjAyNQgAAAAJMS8zMS8yMDI1CQAAAAEwjY5iEr9z3Qg+beaUxHPdCC5DSVEuTllTRTpIUEUuSVFfRUJJVERBX0NBUEVYX0lOVC4yMDAwLjQvMS8yMDI1AQAAAA6pVBACAAAACDYuMDc3Njg5AQgAAAAFAAAAATEBAAAACy0xOTU2NjM5NTkwAwAAAAMxNjACAAAABDQxOTEEAAAAATAHAAAACDQvMS8yMDI1CAAAAAkxLzMxLzIwMjUJAAAAATCNjmISv3PdCD5t5pTEc90ILkNJUS5OWVNFOkhQRS5JUV9UT1RBTF9ERUJUX0VRVUlUWS41MDAuNC8xLzIwMjUBAAAADqlUEAIAAAAHNzAuODgwNAEIAAAABQAAAAExAQAAAAstMTk1NjY0MTUyMAMAAAADMTYwAgAA</t>
  </si>
  <si>
    <t>AAQ0MDM0BAAAAAEwBwAAAAg0LzEvMjAyNQgAAAAJMS8zMS8yMDI1CQAAAAEwjY5iEr9z3QjyHuaUxHPdCChDSVEuTllTRTpDUk0uSVFfRUJJVERBX0lOVC4yMDAwLjQvMS8yMDI1AQAAACXgAQACAAAACTM5LjQyMzMzMwEIAAAABQAAAAExAQAAAAstMTk1Njk0MDQ1NgMAAAADMTYwAgAAAAQ0MTkwBAAAAAEwBwAAAAg0LzEvMjAyNQgAAAAJMS8zMS8yMDI1CQAAAAEwjY5iEr9z3Qg+beaUxHPdCC5DSVEuTllTRTpDUk0uSVFfRUJJVERBX0NBUEVYX0lOVC4yMDAwLjQvMS8yMDI1AQAAACXgAQACAAAABTM3LjIzAQgAAAAFAAAAATEBAAAACy0xOTU2OTQwNDU2AwAAAAMxNjACAAAABDQxOTEEAAAAATAHAAAACDQvMS8yMDI1CAAAAAkxLzMxLzIwMjUJAAAAATCNjmISv3PdCD5t5pTEc90ILkNJUS5OWVNFOkNSTS5JUV9UT1RBTF9ERUJUX0VRVUlUWS41MDAuNC8xLzIwMjUBAAAAJeABAAIAAAAHMTkuNzMwOQEIAAAABQAAAAExAQAAAAstMTk1Njk0MDQ1OAMAAAADMTYwAgAAAAQ0MDM0BAAAAAEwBwAAAAg0LzEvMjAyNQgAAAAJMS8zMS8yMDI1CQAAAAEwjY5iEr9z3Qg+beaUxHPdCC9DSVEuTllTRTpDUk0uSVFfVE9UQUxfREVCVF9DQVBJVEFMLjUwMC40LzEvMjAyNQEAAAAl4AEAAgAAAAcxNi40NzkzAQgAAAAFAAAAATEBAAAACy0xOTU2OTQwNDU4AwAAAAMxNjACAAAABDQxODYEAAAAATAHAAAACDQvMS8y</t>
  </si>
  <si>
    <t>MDI1CAAAAAkxLzMxLzIwMjUJAAAAATCNjmISv3PdCD5t5pTEc90IL0NJUS5OWVNFOkNSTS5JUV9UT1RBTF9ERUJUX0VCSVREQS4yMDAwLjQvMS8yMDI1AQAAACXgAQACAAAACDEuMDIwNTQ2AQgAAAAFAAAAATEBAAAACy0xOTU2OTQwNDU2AwAAAAMxNjACAAAABDQxOTIEAAAAATAHAAAACDQvMS8yMDI1CAAAAAkxLzMxLzIwMjUJAAAAATCNjmISv3PdCD5t5pTEc90ILUNJUS5OWVNFOkNSTS5JUV9ORVRfREVCVF9FQklUREEuMjAwMC40LzEvMjAyNQEAAAAl4AEAAwAAAAJOTQEIAAAABQAAAAExAQAAAAstMTk1Njk0MDQ1NgMAAAADMTYwAgAAAAQ0MTkzBAAAAAEwBwAAAAg0LzEvMjAyNQgAAAAJMS8zMS8yMDI1CQAAAAEwjY5iEr9z3Qg+beaUxHPdCDRDSVEuTkFTREFRR1M6Q1RTSC5JUV9UT1RBTF9ERUJUX0VCSVREQS4yMDAwLjQvMS8yMDI1AQAAAOjjBQACAAAACDAuNDAxMjI3AQgAAAAFAAAAATEBAAAACy0xOTU5OTUyMzg0AwAAAAMxNjACAAAABDQxOTIEAAAAATAHAAAACDQvMS8yMDI1CAAAAAoxMi8zMS8yMDI0CQAAAAEwjY5iEr9z3Qg+beaUxHPdCDJDSVEuTkFTREFRR1M6Q1RTSC5JUV9ORVRfREVCVF9FQklUREEuMjAwMC40LzEvMjAyNQEAAADo4wUAAwAAAAJOTQEIAAAABQAAAAExAQAAAAstMTk1OTk1MjM4NAMAAAADMTYwAgAAAAQ0MTkzBAAAAAEwBwAAAAg0LzEvMjAyNQgAAAAKMTIvMzEv</t>
  </si>
  <si>
    <t>MjAyNAkAAAABMI2OYhK/c90IPm3mlMRz3QgtQ0lRLk5BU0RBUUdTOkNUU0guSVFfRUJJVERBX0lOVC4yMDAwLjQvMS8yMDI1AQAAAOjjBQACAAAACDY5LjM3MDM3AQgAAAAFAAAAATEBAAAACy0xOTU5OTUyMzg0AwAAAAMxNjACAAAABDQxOTAEAAAAATAHAAAACDQvMS8yMDI1CAAAAAoxMi8zMS8yMDI0CQAAAAEwjY5iEr9z3Qg+beaUxHPdCDNDSVEuTkFTREFRR1M6Q1RTSC5JUV9FQklUREFfQ0FQRVhfSU5ULjIwMDAuNC8xLzIwMjUBAAAA6OMFAAIAAAAINjMuODcwMzcBCAAAAAUAAAABMQEAAAALLTE5NTk5NTIzODQDAAAAAzE2MAIAAAAENDE5MQQAAAABMAcAAAAINC8xLzIwMjUIAAAACjEyLzMxLzIwMjQJAAAAATCNjmISv3PdCD5t5pTEc90IM0NJUS5OQVNEQVFHUzpDVFNILklRX1RPVEFMX0RFQlRfRVFVSVRZLjUwMC40LzEvMjAyNQEAAADo4wUAAgAAAAcxMC40MzE3AQgAAAAFAAAAATEBAAAACy0xOTU5OTUyMzg2AwAAAAMxNjACAAAABDQwMzQEAAAAATAHAAAACDQvMS8yMDI1CAAAAAoxMi8zMS8yMDI0CQAAAAEwjY5iEr9z3Qg+beaUxHPdCDRDSVEuTkFTREFRR1M6Q1RTSC5JUV9UT1RBTF9ERUJUX0NBUElUQUwuNTAwLjQvMS8yMDI1AQAAAOjjBQACAAAABjkuNDQ2MgEIAAAABQAAAAExAQAAAAstMTk1OTk1MjM4NgMAAAADMTYwAgAAAAQ0MTg2BAAAAAEwBwAAAAg0LzEvMjAyNQgAAAAKMTIv</t>
  </si>
  <si>
    <t>MzEvMjAyNAkAAAABMI2OYhK/c90IPm3mlMRz3QguQ0lRLk5ZU0U6QUNOLklRX0VCSVREQV9DQVBFWF9JTlQuMjAwMC40LzEvMjAyNQEAAACe1Q4AAgAAAAg5MS4xMzY0NgEIAAAABQAAAAExAQAAAAstMTk1NTEyODMwNwMAAAADMTYwAgAAAAQ0MTkxBAAAAAEwBwAAAAg0LzEvMjAyNQgAAAAJMi8yOC8yMDI1CQAAAAEwjY5iEr9z3Qg+beaUxHPdCC5DSVEuTllTRTpBQ04uSVFfVE9UQUxfREVCVF9FUVVJVFkuNTAwLjQvMS8yMDI1AQAAAJ7VDgACAAAABzI2LjcwNTcBCAAAAAUAAAABMQEAAAALLTE5NTUxMjg0ODYDAAAAAzE2MAIAAAAENDAzNAQAAAABMAcAAAAINC8xLzIwMjUIAAAACTIvMjgvMjAyNQkAAAABMI2OYhK/c90IPm3mlMRz3QgvQ0lRLk5ZU0U6QUNOLklRX1RPVEFMX0RFQlRfQ0FQSVRBTC41MDAuNC8xLzIwMjUBAAAAntUOAAIAAAAGMjEuMDc3AQgAAAAFAAAAATEBAAAACy0xOTU1MTI4NDg2AwAAAAMxNjACAAAABDQxODYEAAAAATAHAAAACDQvMS8yMDI1CAAAAAkyLzI4LzIwMjUJAAAAATCNjmISv3PdCD5t5pTEc90IL0NJUS5OWVNFOkFDTi5JUV9UT1RBTF9ERUJUX0VCSVREQS4yMDAwLjQvMS8yMDI1AQAAAJ7VDgACAAAACDAuNjQ5Njg5AQgAAAAFAAAAATEBAAAACy0xOTU1MTI4MzA3AwAAAAMxNjACAAAABDQxOTIEAAAAATAHAAAACDQvMS8yMDI1CAAAAAkyLzI4LzIwMjUJAAAAATCN</t>
  </si>
  <si>
    <t>jmISv3PdCD5t5pTEc90ILUNJUS5OWVNFOkFDTi5JUV9ORVRfREVCVF9FQklUREEuMjAwMC40LzEvMjAyNQEAAACe1Q4AAwAAAAJOTQEIAAAABQAAAAExAQAAAAstMTk1NTEyODMwNwMAAAADMTYwAgAAAAQ0MTkzBAAAAAEwBwAAAAg0LzEvMjAyNQgAAAAJMi8yOC8yMDI1CQAAAAEwjY5iEr9z3Qg+beaUxHPdCChDSVEuTllTRTpBQ04uSVFfRUJJVERBX0lOVC4yMDAwLjQvMS8yMDI1AQAAAJ7VDgACAAAACTk2LjI2MzQ3NwEIAAAABQAAAAExAQAAAAstMTk1NTEyODMwNwMAAAADMTYwAgAAAAQ0MTkwBAAAAAEwBwAAAAg0LzEvMjAyNQgAAAAJMi8yOC8yMDI1CQAAAAEwjY5iEr9z3Qg+beaUxHPdCDBDSVEuTllTRTpPUkNMLklRX1RPVEFMX0RFQlRfRUJJVERBLjIwMDAuNC8xLzIwMjUBAAAA51YAAAIAAAAINC41MjcxMTgBCAAAAAUAAAABMQEAAAALLTE5NTYzMDQ5MjADAAAAAzE2MAIAAAAENDE5MgQAAAABMAcAAAAINC8xLzIwMjUIAAAACTIvMjgvMjAyNQkAAAABMI2OYhK/c90IkLvmlMRz3QguQ0lRLk5ZU0U6T1JDTC5JUV9ORVRfREVCVF9FQklUREEuMjAwMC40LzEvMjAyNQEAAADnVgAAAgAAAAgzLjc4ODA2NgEIAAAABQAAAAExAQAAAAstMTk1NjMwNDkyMAMAAAADMTYwAgAAAAQ0MTkzBAAAAAEwBwAAAAg0LzEvMjAyNQgAAAAJMi8yOC8yMDI1CQAAAAEwjY5iEr9z3QiQu+aUxHPdCClDSVEuTllT</t>
  </si>
  <si>
    <t>RTpPUkNMLklRX0VCSVREQV9JTlQuMjAwMC40LzEvMjAyNQEAAADnVgAAAgAAAAc2LjkzMzg3AQgAAAAFAAAAATEBAAAACy0xOTU2MzA0OTIwAwAAAAMxNjACAAAABDQxOTAEAAAAATAHAAAACDQvMS8yMDI1CAAAAAkyLzI4LzIwMjUJAAAAATCNjmISv3PdCJC75pTEc90IL0NJUS5OWVNFOk9SQ0wuSVFfRUJJVERBX0NBUEVYX0lOVC4yMDAwLjQvMS8yMDI1AQAAAOdWAAACAAAABzIuNjQwMzEBCAAAAAUAAAABMQEAAAALLTE5NTYzMDQ5MjADAAAAAzE2MAIAAAAENDE5MQQAAAABMAcAAAAINC8xLzIwMjUIAAAACTIvMjgvMjAyNQkAAAABMI2OYhK/c90IkLvmlMRz3QgvQ0lRLk5ZU0U6T1JDTC5JUV9UT1RBTF9ERUJUX0VRVUlUWS41MDAuNC8xLzIwMjUBAAAA51YAAAIAAAAHNjMyLjUwMQEIAAAABQAAAAExAQAAAAstMTk1NjMwNTMyMAMAAAADMTYwAgAAAAQ0MDM0BAAAAAEwBwAAAAg0LzEvMjAyNQgAAAAJMi8yOC8yMDI1CQAAAAEwjY5iEr9z3QiQu+aUxHPdCDBDSVEuTllTRTpPUkNMLklRX1RPVEFMX0RFQlRfQ0FQSVRBTC41MDAuNC8xLzIwMjUBAAAA51YAAAIAAAAHODYuMzQ4MQEIAAAABQAAAAExAQAAAAstMTk1NjMwNTMyMAMAAAADMTYwAgAAAAQ0MTg2BAAAAAEwBwAAAAg0LzEvMjAyNQgAAAAJMi8yOC8yMDI1CQAAAAEwjY5iEr9z3QiQu+aUxHPdCEFDSVEuTkFTREFRR1M6SE9OLklRX01JTk9S</t>
  </si>
  <si>
    <t>SVRZX0lOVEVSRVNUX1RPVEFMLjUwMC40LzEvMjAyNS4uRi5VU0QuSAEAAABEdRQAAgAAAAM1NDIBCAAAAAUAAAABMQEAAAALLTE5NTg4MTE3NjUDAAAAAzE2MAIAAAAEMTMxMgQAAAABMAcAAAAINC8xLzIwMjUIAAAACjEyLzMxLzIwMjQJAAAAATCNjmISv3PdCJC75pTEc90IM0NJUS5OQVNEQVFHUzpIT04uSVFfVE9UQUxfUkVWLjIwMDAuNC8xLzIwMjUuLi5VU0QuSAEAAABEdRQAAgAAAAUzODQ5OAEIAAAABQAAAAExAQAAAAstMTk1ODgxMTc2MwMAAAADMTYwAgAAAAIyOAQAAAABMAcAAAAINC8xLzIwMjUIAAAACjEyLzMxLzIwMjQJAAAAATCNjmISv3PdCJC75pTEc90IMENJUS5OQVNEQVFHUzpIT04uSVFfRUJJVERBLjIwMDAuNC8xLzIwMjUuLi5VU0QuSAEAAABEdRQAAgAAAAQ5NTM2AQgAAAAFAAAAATEBAAAACy0xOTU4ODExNzYzAwAAAAMxNjACAAAABDQwNTEEAAAAATAHAAAACDQvMS8yMDI1CAAAAAoxMi8zMS8yMDI0CQAAAAEwjY5iEr9z3QiQu+aUxHPdCDhDSVEuTkFTREFRR1M6SE9OLklRX0RJTFVUX0VQU19FWENMLjIwMDAuNC8xLzIwMjUuLi5VU0QuSAEAAABEdRQAAgAAAAQ4LjcxAQgAAAAFAAAAATEBAAAACy0xOTU4ODExNzYzAwAAAAMxNjACAAAAAzE0MgQAAAABMAcAAAAINC8xLzIwMjUIAAAACjEyLzMxLzIwMjQJAAAAATCNjmISv3PdCJC75pTEc90IOENJUS5OQVNEQVFHUzpIT04u</t>
  </si>
  <si>
    <t>SVFfQ0FTSF9TVF9JTlZFU1QuNTAwLjQvMS8yMDI1Li5GLlVTRC5IAQAAAER1FAACAAAABTEwOTUzAQgAAAAFAAAAATEBAAAACy0xOTU4ODExNzY1AwAAAAMxNjACAAAABDEwMDIEAAAAATAHAAAACDQvMS8yMDI1CAAAAAoxMi8zMS8yMDI0CQAAAAEwjY5iEr9z3QiQu+aUxHPdCDRDSVEuTkFTREFRR1M6SE9OLklRX1RPVEFMX0RFQlQuNTAwLjQvMS8yMDI1Li5GLlVTRC5IAQAAAER1FAACAAAABTMyMjI1AQgAAAAFAAAAATEBAAAACy0xOTU4ODExNzY1AwAAAAMxNjACAAAABDQxNzMEAAAAATAHAAAACDQvMS8yMDI1CAAAAAoxMi8zMS8yMDI0CQAAAAEwjY5iEr9z3QiQu+aUxHPdCDVDSVEuTkFTREFRR1M6SE9OLklRX1BSRUZfRVFVSVRZLjUwMC40LzEvMjAyNS4uRi5VU0QuSAEAAABEdRQAAwAAAAAAjY5iEr9z3QiQu+aUxHPdCD1DSVEuTllTRTpEWEMuSVFfTUlOT1JJVFlfSU5URVJFU1RfVE9UQUwuNTAwLjQvMS8yMDI1Li5GLlVTRC5IAQAAALUDBAACAAAAAzI2MgEIAAAABQAAAAExAQAAAAstMTk2MTAxMDQ3MQMAAAADMTYwAgAAAAQxMzEyBAAAAAEwBwAAAAg0LzEvMjAyNQgAAAAKMTIvMzEvMjAyNAkAAAABMI2OYhK/c90IkLvmlMRz3QgvQ0lRLk5ZU0U6RFhDLklRX1RPVEFMX1JFVi4yMDAwLjQvMS8yMDI1Li4uVVNELkgBAAAAtQMEAAIAAAAFMTMwODgBCAAAAAUAAAABMQEAAAALLTE5NjEwMTAw</t>
  </si>
  <si>
    <t>MjgDAAAAAzE2MAIAAAACMjgEAAAAATAHAAAACDQvMS8yMDI1CAAAAAoxMi8zMS8yMDI0CQAAAAEwjY5iEr9z3QiQu+aUxHPdCCxDSVEuTllTRTpEWEMuSVFfRUJJVERBLjIwMDAuNC8xLzIwMjUuLi5VU0QuSAEAAAC1AwQAAgAAAAQxMzk1AQgAAAAFAAAAATEBAAAACy0xOTYxMDEwMDI4AwAAAAMxNjACAAAABDQwNTEEAAAAATAHAAAACDQvMS8yMDI1CAAAAAoxMi8zMS8yMDI0CQAAAAEwjY5iEr9z3QiQu+aUxHPdCDRDSVEuTllTRTpEWEMuSVFfRElMVVRfRVBTX0VYQ0wuMjAwMC40LzEvMjAyNS4uLlVTRC5IAQAAALUDBAACAAAACS0wLjQxNTA2NAEIAAAABQAAAAExAQAAAAstMTk2MTAxMDAyOAMAAAADMTYwAgAAAAMxNDIEAAAAATAHAAAACDQvMS8yMDI1CAAAAAoxMi8zMS8yMDI0CQAAAAEwjY5iEr9z3QiQu+aUxHPdCDRDSVEuTllTRTpEWEMuSVFfQ0FTSF9TVF9JTlZFU1QuNTAwLjQvMS8yMDI1Li5GLlVTRC5IAQAAALUDBAACAAAABDE3MjMBCAAAAAUAAAABMQEAAAALLTE5NjEwMTA0NzEDAAAAAzE2MAIAAAAEMTAwMgQAAAABMAcAAAAINC8xLzIwMjUIAAAACjEyLzMxLzIwMjQJAAAAATCNjmISv3PdCJC75pTEc90IMENJUS5OWVNFOkRYQy5JUV9UT1RBTF9ERUJULjUwMC40LzEvMjAyNS4uRi5VU0QuSAEAAAC1AwQAAgAAAAQ0NTAxAQgAAAAFAAAAATEBAAAACy0xOTYxMDEwNDcxAwAAAAMxNjAC</t>
  </si>
  <si>
    <t>AAAABDQxNzMEAAAAATAHAAAACDQvMS8yMDI1CAAAAAoxMi8zMS8yMDI0CQAAAAEwjY5iEr9z3QiQu+aUxHPdCDFDSVEuTllTRTpEWEMuSVFfUFJFRl9FUVVJVFkuNTAwLjQvMS8yMDI1Li5GLlVTRC5IAQAAALUDBAADAAAAAACNjmISv3PdCJC75pTEc90IQkNJUS5OQVNEQVFHUzpNU0ZULklRX01JTk9SSVRZX0lOVEVSRVNUX1RPVEFMLjUwMC40LzEvMjAyNS4uRi5VU0QuSAEAAABLVQAAAwAAAAAAjY5iEr9z3QjZCeeUxHPdCDRDSVEuTkFTREFRR1M6TVNGVC5JUV9UT1RBTF9SRVYuMjAwMC40LzEvMjAyNS4uLlVTRC5IAQAAAEtVAAACAAAABjI2MTgwMgEIAAAABQAAAAExAQAAAAstMTk2MTY2NjQ3MAMAAAADMTYwAgAAAAIyOAQAAAABMAcAAAAINC8xLzIwMjUIAAAACjEyLzMxLzIwMjQJAAAAATCNjmISv3PdCJC75pTEc90IMUNJUS5OQVNEQVFHUzpNU0ZULklRX0VCSVREQS4yMDAwLjQvMS8yMDI1Li4uVVNELkgBAAAAS1UAAAIAAAAGMTQyMDQxAQgAAAAFAAAAATEBAAAACy0xOTYxNjY2NDcwAwAAAAMxNjACAAAABDQwNTEEAAAAATAHAAAACDQvMS8yMDI1CAAAAAoxMi8zMS8yMDI0CQAAAAEwjY5iEr9z3QiQu+aUxHPdCDlDSVEuTkFTREFRR1M6TVNGVC5JUV9ESUxVVF9FUFNfRVhDTC4yMDAwLjQvMS8yMDI1Li4uVVNELkgBAAAAS1UAAAIAAAAJMTIuNDA5ODQ3AQgAAAAFAAAAATEBAAAACy0xOTYx</t>
  </si>
  <si>
    <t>NjY2NDcwAwAAAAMxNjACAAAAAzE0MgQAAAABMAcAAAAINC8xLzIwMjUIAAAACjEyLzMxLzIwMjQJAAAAATCNjmISv3PdCJC75pTEc90IOUNJUS5OQVNEQVFHUzpNU0ZULklRX0NBU0hfU1RfSU5WRVNULjUwMC40LzEvMjAyNS4uRi5VU0QuSAEAAABLVQAAAgAAAAU3MTU1NQEIAAAABQAAAAExAQAAAAstMTk2MTY2NjY1NwMAAAADMTYwAgAAAAQxMDAyBAAAAAEwBwAAAAg0LzEvMjAyNQgAAAAKMTIvMzEvMjAyNAkAAAABMI2OYhK/c90I2QnnlMRz3Qg1Q0lRLk5BU0RBUUdTOk1TRlQuSVFfVE9UQUxfREVCVC41MDAuNC8xLzIwMjUuLkYuVVNELkgBAAAAS1UAAAIAAAAGMTAyOTA5AQgAAAAFAAAAATEBAAAACy0xOTYxNjY2NjU3AwAAAAMxNjACAAAABDQxNzMEAAAAATAHAAAACDQvMS8yMDI1CAAAAAoxMi8zMS8yMDI0CQAAAAEwjY5iEr9z3QjZCeeUxHPdCDZDSVEuTkFTREFRR1M6TVNGVC5JUV9QUkVGX0VRVUlUWS41MDAuNC8xLzIwMjUuLkYuVVNELkgBAAAAS1UAAAMAAAAAAI2OYhK/c90I2QnnlMRz3Qg9Q0lRLk5ZU0U6SFBFLklRX01JTk9SSVRZX0lOVEVSRVNUX1RPVEFMLjUwMC40LzEvMjAyNS4uRi5VU0QuSAEAAAAOqVQQAgAAAAI1OAEIAAAABQAAAAExAQAAAAstMTk1NjY0MTUyMAMAAAADMTYwAgAAAAQxMzEyBAAAAAEwBwAAAAg0LzEvMjAyNQgAAAAJMS8zMS8yMDI1CQAAAAEwjY5iEr9z3QjZ</t>
  </si>
  <si>
    <t>CeeUxHPdCC9DSVEuTllTRTpIUEUuSVFfVE9UQUxfUkVWLjIwMDAuNC8xLzIwMjUuLi5VU0QuSAEAAAAOqVQQAgAAAAUzMTIyNgEIAAAABQAAAAExAQAAAAstMTk1NjYzOTU5MAMAAAADMTYwAgAAAAIyOAQAAAABMAcAAAAINC8xLzIwMjUIAAAACTEvMzEvMjAyNQkAAAABMI2OYhK/c90I2QnnlMRz3QgsQ0lRLk5ZU0U6SFBFLklRX0VCSVREQS4yMDAwLjQvMS8yMDI1Li4uVVNELkgBAAAADqlUEAIAAAAENTA1NwEIAAAABQAAAAExAQAAAAstMTk1NjYzOTU5MAMAAAADMTYwAgAAAAQ0MDUxBAAAAAEwBwAAAAg0LzEvMjAyNQgAAAAJMS8zMS8yMDI1CQAAAAEwjY5iEr9z3QjZCeeUxHPdCDRDSVEuTllTRTpIUEUuSVFfRElMVVRfRVBTX0VYQ0wuMjAwMC40LzEvMjAyNS4uLlVTRC5IAQAAAA6pVBACAAAACDIuMDc2MzUzAQgAAAAFAAAAATEBAAAACy0xOTU2NjM5NTkwAwAAAAMxNjACAAAAAzE0MgQAAAABMAcAAAAINC8xLzIwMjUIAAAACTEvMzEvMjAyNQkAAAABMI2OYhK/c90I2QnnlMRz3Qg0Q0lRLk5ZU0U6SFBFLklRX0NBU0hfU1RfSU5WRVNULjUwMC40LzEvMjAyNS4uRi5VU0QuSAEAAAAOqVQQAgAAAAUxMjY1MgEIAAAABQAAAAExAQAAAAstMTk1NjY0MTUyMAMAAAADMTYwAgAAAAQxMDAyBAAAAAEwBwAAAAg0LzEvMjAyNQgAAAAJMS8zMS8yMDI1CQAAAAEwjY5iEr9z3QjZCeeUxHPdCDBDSVEuTllT</t>
  </si>
  <si>
    <t>RTpIUEUuSVFfVE9UQUxfREVCVC41MDAuNC8xLzIwMjUuLkYuVVNELkgBAAAADqlUEAIAAAAFMTc5MjABCAAAAAUAAAABMQEAAAALLTE5NTY2NDE1MjADAAAAAzE2MAIAAAAENDE3MwQAAAABMAcAAAAINC8xLzIwMjUIAAAACTEvMzEvMjAyNQkAAAABMI2OYhK/c90I2QnnlMRz3QgxQ0lRLk5ZU0U6SFBFLklRX1BSRUZfRVFVSVRZLjUwMC40LzEvMjAyNS4uRi5VU0QuSAEAAAAOqVQQAwAAAAAAjY5iEr9z3QjZCeeUxHPdCD1DSVEuTllTRTpDUk0uSVFfTUlOT1JJVFlfSU5URVJFU1RfVE9UQUwuNTAwLjQvMS8yMDI1Li5GLlVTRC5IAQAAACXgAQADAAAAAACNjmISv3PdCAlO55TEc90IL0NJUS5OWVNFOkNSTS5JUV9UT1RBTF9SRVYuMjAwMC40LzEvMjAyNS4uLlVTRC5IAQAAACXgAQACAAAABTM3ODk1AQgAAAAFAAAAATEBAAAACy0xOTU2OTQwNDU2AwAAAAMxNjACAAAAAjI4BAAAAAEwBwAAAAg0LzEvMjAyNQgAAAAJMS8zMS8yMDI1CQAAAAEwjY5iEr9z3QjZCeeUxHPdCCxDSVEuTllTRTpDUk0uSVFfRUJJVERBLjIwMDAuNC8xLzIwMjUuLi5VU0QuSAEAAAAl4AEAAgAAAAUxMTE0MwEIAAAABQAAAAExAQAAAAstMTk1Njk0MDQ1NgMAAAADMTYwAgAAAAQ0MDUxBAAAAAEwBwAAAAg0LzEvMjAyNQgAAAAJMS8zMS8yMDI1CQAAAAEwjY5iEr9z3QjZCeeUxHPdCDRDSVEuTllTRTpDUk0uSVFfRElMVVRfRVBT</t>
  </si>
  <si>
    <t>X0VYQ0wuMjAwMC40LzEvMjAyNS4uLlVTRC5IAQAAACXgAQACAAAABDYuMzYBCAAAAAUAAAABMQEAAAALLTE5NTY5NDA0NTYDAAAAAzE2MAIAAAADMTQyBAAAAAEwBwAAAAg0LzEvMjAyNQgAAAAJMS8zMS8yMDI1CQAAAAEwjY5iEr9z3QjZCeeUxHPdCDRDSVEuTllTRTpDUk0uSVFfQ0FTSF9TVF9JTlZFU1QuNTAwLjQvMS8yMDI1Li5GLlVTRC5IAQAAACXgAQACAAAABTE0MDMyAQgAAAAFAAAAATEBAAAACy0xOTU2OTQwNDU4AwAAAAMxNjACAAAABDEwMDIEAAAAATAHAAAACDQvMS8yMDI1CAAAAAkxLzMxLzIwMjUJAAAAATCNjmISv3PdCNkJ55TEc90IMENJUS5OWVNFOkNSTS5JUV9UT1RBTF9ERUJULjUwMC40LzEvMjAyNS4uRi5VU0QuSAEAAAAl4AEAAgAAAAUxMjA3MAEIAAAABQAAAAExAQAAAAstMTk1Njk0MDQ1OAMAAAADMTYwAgAAAAQ0MTczBAAAAAEwBwAAAAg0LzEvMjAyNQgAAAAJMS8zMS8yMDI1CQAAAAEwjY5iEr9z3QgJTueUxHPdCDFDSVEuTllTRTpDUk0uSVFfUFJFRl9FUVVJVFkuNTAwLjQvMS8yMDI1Li5GLlVTRC5IAQAAACXgAQADAAAAAACNjmISv3PdCAlO55TEc90IQkNJUS5OQVNEQVFHUzpDVFNILklRX01JTk9SSVRZX0lOVEVSRVNUX1RPVEFMLjUwMC40LzEvMjAyNS4uRi5VU0QuSAEAAADo4wUAAwAAAAAAjY5iEr9z3QgJTueUxHPdCDRDSVEuTkFTREFRR1M6Q1RTSC5JUV9UT1RB</t>
  </si>
  <si>
    <t>TF9SRVYuMjAwMC40LzEvMjAyNS4uLlVTRC5IAQAAAOjjBQACAAAABTE5NzM2AQgAAAAFAAAAATEBAAAACy0xOTU5OTUyMzg0AwAAAAMxNjACAAAAAjI4BAAAAAEwBwAAAAg0LzEvMjAyNQgAAAAKMTIvMzEvMjAyNAkAAAABMI2OYhK/c90ICU7nlMRz3QgxQ0lRLk5BU0RBUUdTOkNUU0guSVFfRUJJVERBLjIwMDAuNC8xLzIwMjUuLi5VU0QuSAEAAADo4wUAAgAAAAQzNTE5AQgAAAAFAAAAATEBAAAACy0xOTU5OTUyMzg0AwAAAAMxNjACAAAABDQwNTEEAAAAATAHAAAACDQvMS8yMDI1CAAAAAoxMi8zMS8yMDI0CQAAAAEwjY5iEr9z3QgJTueUxHPdCDlDSVEuTkFTREFRR1M6Q1RTSC5JUV9ESUxVVF9FUFNfRVhDTC4yMDAwLjQvMS8yMDI1Li4uVVNELkgBAAAA6OMFAAIAAAAENC41MQEIAAAABQAAAAExAQAAAAstMTk1OTk1MjM4NAMAAAADMTYwAgAAAAMxNDIEAAAAATAHAAAACDQvMS8yMDI1CAAAAAoxMi8zMS8yMDI0CQAAAAEwjY5iEr9z3QgJTueUxHPdCDlDSVEuTkFTREFRR1M6Q1RTSC5JUV9DQVNIX1NUX0lOVkVTVC41MDAuNC8xLzIwMjUuLkYuVVNELkgBAAAA6OMFAAIAAAAEMjI0MwEIAAAABQAAAAExAQAAAAstMTk1OTk1MjM4NgMAAAADMTYwAgAAAAQxMDAyBAAAAAEwBwAAAAg0LzEvMjAyNQgAAAAKMTIvMzEvMjAyNAkAAAABMI2OYhK/c90ICU7nlMRz3Qg1Q0lRLk5BU0RBUUdTOkNUU0guSVFf</t>
  </si>
  <si>
    <t>VE9UQUxfREVCVC41MDAuNC8xLzIwMjUuLkYuVVNELkgBAAAA6OMFAAIAAAAEMTUwMwEIAAAABQAAAAExAQAAAAstMTk1OTk1MjM4NgMAAAADMTYwAgAAAAQ0MTczBAAAAAEwBwAAAAg0LzEvMjAyNQgAAAAKMTIvMzEvMjAyNAkAAAABMI2OYhK/c90ICU7nlMRz3Qg2Q0lRLk5BU0RBUUdTOkNUU0guSVFfUFJFRl9FUVVJVFkuNTAwLjQvMS8yMDI1Li5GLlVTRC5IAQAAAOjjBQADAAAAAACNjmISv3PdCAlO55TEc90IPUNJUS5OWVNFOkFDTi5JUV9NSU5PUklUWV9JTlRFUkVTVF9UT1RBTC41MDAuNC8xLzIwMjUuLkYuVVNELkgBAAAAntUOAAIAAAAHOTM1Ljg5NQEIAAAABQAAAAExAQAAAAstMTk1NTEyODQ4NgMAAAADMTYwAgAAAAQxMzEyBAAAAAEwBwAAAAg0LzEvMjAyNQgAAAAJMi8yOC8yMDI1CQAAAAEwjY5iEr9z3QgJTueUxHPdCC9DSVEuTllTRTpBQ04uSVFfVE9UQUxfUkVWLjIwMDAuNC8xLzIwMjUuLi5VU0QuSAEAAACe1Q4AAgAAAAk2NzIyMS40OTMBCAAAAAUAAAABMQEAAAALLTE5NTUxMjgzMDcDAAAAAzE2MAIAAAACMjgEAAAAATAHAAAACDQvMS8yMDI1CAAAAAkyLzI4LzIwMjUJAAAAATCNjmISv3PdCAlO55TEc90ILENJUS5OWVNFOkFDTi5JUV9FQklUREEuMjAwMC40LzEvMjAyNS4uLlVTRC5IAQAAAJ7VDgACAAAACTExNDcyLjUwMgEIAAAABQAAAAExAQAAAAstMTk1NTEyODMwNwMAAAAD</t>
  </si>
  <si>
    <t>MTYwAgAAAAQ0MDUxBAAAAAEwBwAAAAg0LzEvMjAyNQgAAAAJMi8yOC8yMDI1CQAAAAEwjY5iEr9z3QgJTueUxHPdCDRDSVEuTllTRTpBQ04uSVFfRElMVVRfRVBTX0VYQ0wuMjAwMC40LzEvMjAyNS4uLlVTRC5IAQAAAJ7VDgACAAAACTEyLjExNzY4NAEIAAAABQAAAAExAQAAAAstMTk1NTEyODMwNwMAAAADMTYwAgAAAAMxNDIEAAAAATAHAAAACDQvMS8yMDI1CAAAAAkyLzI4LzIwMjUJAAAAATCNjmISv3PdCAlO55TEc90INENJUS5OWVNFOkFDTi5JUV9DQVNIX1NUX0lOVkVTVC41MDAuNC8xLzIwMjUuLkYuVVNELkgBAAAAntUOAAIAAAAGODQ5NS41AQgAAAAFAAAAATEBAAAACy0xOTU1MTI4NDg2AwAAAAMxNjACAAAABDEwMDIEAAAAATAHAAAACDQvMS8yMDI1CAAAAAkyLzI4LzIwMjUJAAAAATCNjmISv3PdCAlO55TEc90IMENJUS5OWVNFOkFDTi5JUV9UT1RBTF9ERUJULjUwMC40LzEvMjAyNS4uRi5VU0QuSAEAAACe1Q4AAgAAAAc4MDYwLjMzAQgAAAAFAAAAATEBAAAACy0xOTU1MTI4NDg2AwAAAAMxNjACAAAABDQxNzMEAAAAATAHAAAACDQvMS8yMDI1CAAAAAkyLzI4LzIwMjUJAAAAATCNjmISv3PdCAlO55TEc90IMUNJUS5OWVNFOkFDTi5JUV9QUkVGX0VRVUlUWS41MDAuNC8xLzIwMjUuLkYuVVNELkgBAAAAntUOAAMAAAAAAI2OYhK/c90ICU7nlMRz3Qg+Q0lRLk5ZU0U6T1JDTC5JUV9NSU5P</t>
  </si>
  <si>
    <t>UklUWV9JTlRFUkVTVF9UT1RBTC41MDAuNC8xLzIwMjUuLkYuVVNELkgBAAAA51YAAAIAAAADNTMxAQgAAAAFAAAAATEBAAAACy0xOTU2MzA1MzIwAwAAAAMxNjACAAAABDEzMTIEAAAAATAHAAAACDQvMS8yMDI1CAAAAAkyLzI4LzIwMjUJAAAAATCNjmISv3PdCFOc55TEc90IMENJUS5OWVNFOk9SQ0wuSVFfVE9UQUxfUkVWLjIwMDAuNC8xLzIwMjUuLi5VU0QuSAEAAADnVgAAAgAAAAU1NTc4MwEIAAAABQAAAAExAQAAAAstMTk1NjMwNDkyMAMAAAADMTYwAgAAAAIyOAQAAAABMAcAAAAINC8xLzIwMjUIAAAACTIvMjgvMjAyNQkAAAABMI2OYhK/c90IU5znlMRz3QgtQ0lRLk5ZU0U6T1JDTC5JUV9FQklUREEuMjAwMC40LzEvMjAyNS4uLlVTRC5IAQAAAOdWAAACAAAABTIyOTE2AQgAAAAFAAAAATEBAAAACy0xOTU2MzA0OTIwAwAAAAMxNjACAAAABDQwNTEEAAAAATAHAAAACDQvMS8yMDI1CAAAAAkyLzI4LzIwMjUJAAAAATCNjmISv3PdCFOc55TEc90INUNJUS5OWVNFOk9SQ0wuSVFfRElMVVRfRVBTX0VYQ0wuMjAwMC40LzEvMjAyNS4uLlVTRC5IAQAAAOdWAAACAAAACDQuMjU4NzEzAQgAAAAFAAAAATEBAAAACy0xOTU2MzA0OTIwAwAAAAMxNjACAAAAAzE0MgQAAAABMAcAAAAINC8xLzIwMjUIAAAACTIvMjgvMjAyNQkAAAABMI2OYhK/c90IU5znlMRz3Qg1Q0lRLk5ZU0U6T1JDTC5JUV9DQVNIX1NU</t>
  </si>
  <si>
    <t>X0lOVkVTVC41MDAuNC8xLzIwMjUuLkYuVVNELkgBAAAA51YAAAIAAAAFMTc4MjMBCAAAAAUAAAABMQEAAAALLTE5NTYzMDUzMjADAAAAAzE2MAIAAAAEMTAwMgQAAAABMAcAAAAINC8xLzIwMjUIAAAACTIvMjgvMjAyNQkAAAABMI2OYhK/c90IU5znlMRz3QgxQ0lRLk5ZU0U6T1JDTC5JUV9UT1RBTF9ERUJULjUwMC40LzEvMjAyNS4uRi5VU0QuSAEAAADnVgAAAgAAAAYxMDkxNzYBCAAAAAUAAAABMQEAAAALLTE5NTYzMDUzMjADAAAAAzE2MAIAAAAENDE3MwQAAAABMAcAAAAINC8xLzIwMjUIAAAACTIvMjgvMjAyNQkAAAABMI2OYhK/c90IU5znlMRz3QgyQ0lRLk5ZU0U6T1JDTC5JUV9QUkVGX0VRVUlUWS41MDAuNC8xLzIwMjUuLkYuVVNELkgBAAAA51YAAAMAAAAAAI2OYhK/c90IU5znlMRz3Qg1Q0lRLk5BU0RBUUdTOkhPTi5JUV9FQklUREFfRVNULjEwMDAyLjQvMS8yMDI1Li4uVVNELkgBAAAARHUUAAIAAAAKMTExODkuNjEzNQEOAAAABQAAAAIxMQEAAAABMAIAAAAKMTAwNDI0MDIzMgMAAAAGMTAwMTg3BAAAAAEyBgAAAAEwBwAAAAMxNjAIAAAAATAJAAAAATEKAAAAATALAAAACzE0MTkzODIyMjM5DAAAAAE3DQAAAAg0LzIvMjAyNRAAAAAINC8xLzIwMjWNjmISv3PdCBNo45TEc90IMkNJUS5OQVNEQVFHUzpIT04uSVFfRVBTX0VTVC4xMDAwMi40LzEvMjAyNS4uLlVTRC5IAQAAAER1FAACAAAA</t>
  </si>
  <si>
    <t>CDExLjQ1Nzk0AQ4AAAAFAAAAAjExAQAAAAcyNjE4OTUwAgAAAAoxMDA0MjQwMjMyAwAAAAYxMDAxNzMEAAAAATIGAAAAATAHAAAAAzE2MAgAAAABMAkAAAABMQoAAAABMAsAAAALMTQxOTM4MjMxODgMAAAAATcNAAAACDQvMi8yMDI1EAAAAAg0LzEvMjAyNY2OYhK/c90InxnjlMRz3Qg2Q0lRLk5BU0RBUUdTOkhPTi5JUV9SRVZFTlVFX0VTVC4xMDAwMi40LzEvMjAyNS4uLlVTRC5IAQAAAER1FAACAAAACzQyNTU2LjQyMTAzAQ4AAAAFAAAAAjExAQAAAAEwAgAAAAoxMDA0MjQwMjMyAwAAAAYxMDAxODAEAAAAATIGAAAAATAHAAAAAzE2MAgAAAABMAkAAAABMQoAAAABMAsAAAALMTQxOTM4MjI0ODUMAAAAATcNAAAACDQvMi8yMDI1EAAAAAg0LzEvMjAyNY2OYhK/c90IE2jjlMRz3QgyQ0lRLk5ZU0U6RFhDLklRX1JFVkVOVUVfRVNULjEwMDAyLjQvMS8yMDI1Li4uVVNELkgBAAAAtQMEAAIAAAAKMTIyNzEuNzgxOAEOAAAABQAAAAIxMQEAAAABMAIAAAAJNzA5NTU4NTA2AwAAAAYxMDAxODAEAAAAATIGAAAAATAHAAAAAzE2MAgAAAABMAkAAAABMQoAAAABMAsAAAALMTQxNzA2Njg0ODAMAAAAATcNAAAACDQvMi8yMDI1EAAAAAg0LzEvMjAyNY2OYhK/c90IE2jjlMRz3QgxQ0lRLk5ZU0U6RFhDLklRX0VCSVREQV9FU1QuMTAwMDIuNC8xLzIwMjUuLi5VU0QuSAEAAAC1AwQAAgAAAAkxODc0Ljg2MTkBDgAA</t>
  </si>
  <si>
    <t>AAUAAAACMTEBAAAAATACAAAACTcwOTU1ODUwNgMAAAAGMTAwMTg3BAAAAAEyBgAAAAEwBwAAAAMxNjAIAAAAATAJAAAAATEKAAAAATALAAAACzE0MTcwNjY4MzcwDAAAAAE3DQAAAAg0LzIvMjAyNRAAAAAINC8xLzIwMjWNjmISv3PdCBNo45TEc90ILkNJUS5OWVNFOkRYQy5JUV9FUFNfRVNULjEwMDAyLjQvMS8yMDI1Li4uVVNELkgBAAAAtQMEAAIAAAAGMy42MjczAQ4AAAAFAAAAAjExAQAAAAk0MjM2NTQ4NTkCAAAACTcwOTU1ODUwNgMAAAAGMTAwMTczBAAAAAEyBgAAAAEwBwAAAAMxNjAIAAAAATAJAAAAATEKAAAAATALAAAACzE0MTcwNjcwNjE5DAAAAAE3DQAAAAg0LzIvMjAyNRAAAAAINC8xLzIwMjWNjmISv3PdCBNo45TEc90INkNJUS5OQVNEQVFHUzpNU0ZULklRX0VCSVREQV9FU1QuMTAwMDIuNC8xLzIwMjUuLi5VU0QuSAEAAABLVQAAAgAAAAsxNzk3ODIuMjkwMgEOAAAABQAAAAIxMQEAAAABMAIAAAAJNDc1NTAyMzUwAwAAAAYxMDAxODcEAAAAATIGAAAAATAHAAAAAzE2MAgAAAABMAkAAAABMQoAAAABMAsAAAALMTQyMDQzOTg2MTYMAAAAATcNAAAACDQvMi8yMDI1EAAAAAg0LzEvMjAyNY2OYhK/c90Ic7bjlMRz3QgzQ0lRLk5BU0RBUUdTOk1TRlQuSVFfRVBTX0VTVC4xMDAwMi40LzEvMjAyNS4uLlVTRC5IAQAAAEtVAAACAAAABzE1Ljk1MDUBDgAAAAUAAAACMTEBAAAABzI2MzA0MTMC</t>
  </si>
  <si>
    <t>AAAACTQ3NTUwMjM1MAMAAAAGMTAwMTczBAAAAAEyBgAAAAEwBwAAAAMxNjAIAAAAATAJAAAAATEKAAAAATALAAAACzE0MjA1MTg3NzU3DAAAAAE3DQAAAAg0LzIvMjAyNRAAAAAINC8xLzIwMjWNjmISv3PdCHO245TEc90IN0NJUS5OQVNEQVFHUzpNU0ZULklRX1JFVkVOVUVfRVNULjEwMDAyLjQvMS8yMDI1Li4uVVNELkgBAAAAS1UAAAIAAAAKMzMxMTExLjcxNgEOAAAABQAAAAIxMQEAAAABMAIAAAAJNDc1NTAyMzUwAwAAAAYxMDAxODAEAAAAATIGAAAAATAHAAAAAzE2MAgAAAABMAkAAAABMQoAAAABMAsAAAALMTQyMDQzOTg2MDkMAAAAATcNAAAACDQvMi8yMDI1EAAAAAg0LzEvMjAyNY2OYhK/c90Ic7bjlMRz3QguQ0lRLk5ZU0U6SFBFLklRX0VQU19FU1QuMTAwMDIuNC8xLzIwMjUuLi5VU0QuSAEAAAAOqVQQAgAAAAYyLjE0NzMBDgAAAAUAAAACMTEBAAAACTMxMzA2NDUxNAIAAAAHMzgzMjIwMAMAAAAGMTAwMTczBAAAAAEyBgAAAAEwBwAAAAMxNjAIAAAAATAJAAAAATEKAAAAATALAAAACzE0MTgxNzQwNTczDAAAAAE3DQAAAAg0LzIvMjAyNRAAAAAINC8xLzIwMjWNjmISv3PdCNAE5JTEc90IMkNJUS5OWVNFOkhQRS5JUV9SRVZFTlVFX0VTVC4xMDAwMi40LzEvMjAyNS4uLlVTRC5IAQAAAA6pVBACAAAACjM0Nzg0LjA1MzEBDgAAAAUAAAACMTEBAAAAATACAAAABzM4MzIyMDADAAAABjEwMDE4</t>
  </si>
  <si>
    <t>MAQAAAABMgYAAAABMAcAAAADMTYwCAAAAAEwCQAAAAExCgAAAAEwCwAAAAsxNDE4MTc0MDUwMgwAAAABNw0AAAAINC8yLzIwMjUQAAAACDQvMS8yMDI1jY5iEr9z3QjQBOSUxHPdCDFDSVEuTllTRTpIUEUuSVFfRUJJVERBX0VTVC4xMDAwMi40LzEvMjAyNS4uLlVTRC5IAQAAAA6pVBACAAAABjYyNjIuNgEOAAAABQAAAAIxMQEAAAABMAIAAAAHMzgzMjIwMAMAAAAGMTAwMTg3BAAAAAEyBgAAAAEwBwAAAAMxNjAIAAAAATAJAAAAATEKAAAAATALAAAACzE0MTcyODg0NDMwDAAAAAE3DQAAAAg0LzIvMjAyNRAAAAAINC8xLzIwMjWNjmISv3PdCNAE5JTEc90IMkNJUS5OWVNFOkNSTS5JUV9SRVZFTlVFX0VTVC4xMDAwMi40LzEvMjAyNS4uLlVTRC5IAQAAACXgAQACAAAACzQ0Njc0LjE2OTk0AQ4AAAAFAAAAAjExAQAAAAEwAgAAAAoxMDAyMzI2MTA3AwAAAAYxMDAxODAEAAAAATIGAAAAATAHAAAAAzE2MAgAAAABMAkAAAABMQoAAAABMAsAAAALMTQxODUxMDQ5ODAMAAAAATcNAAAACDQvMi8yMDI1EAAAAAg0LzEvMjAyNY2OYhK/c90IKFPklMRz3QgxQ0lRLk5ZU0U6Q1JNLklRX0VCSVREQV9FU1QuMTAwMDIuNC8xLzIwMjUuLi5VU0QuSAEAAAAl4AEAAgAAAAoxNzUxNS40NDc1AQ4AAAAFAAAAAjExAQAAAAEwAgAAAAoxMDAyMzI2MTA3AwAAAAYxMDAxODcEAAAAATIGAAAAATAHAAAAAzE2MAgAAAABMAkA</t>
  </si>
  <si>
    <t>AAABMQoAAAABMAsAAAALMTQxOTAwOTQ4OTQMAAAAATcNAAAACDQvMi8yMDI1EAAAAAg0LzEvMjAyNY2OYhK/c90IKFPklMRz3QguQ0lRLk5ZU0U6Q1JNLklRX0VQU19FU1QuMTAwMDIuNC8xLzIwMjUuLi5VU0QuSAEAAAAl4AEAAgAAAAgxMi41NjUwMgEOAAAABQAAAAIxMQEAAAAIMTA0NTgyMjYCAAAACjEwMDIzMjYxMDcDAAAABjEwMDE3MwQAAAABMgYAAAABMAcAAAADMTYwCAAAAAEwCQAAAAExCgAAAAEwCwAAAAsxNDE4NTEwNDMyMQwAAAABNw0AAAAINC8yLzIwMjUQAAAACDQvMS8yMDI1jY5iEr9z3QgoU+SUxHPdCDNDSVEuTkFTREFRR1M6Q1RTSC5JUV9FUFNfRVNULjEwMDAyLjQvMS8yMDI1Li4uVVNELkgBAAAA6OMFAAIAAAAHNS4zNTg5NQEOAAAABQAAAAIxMQEAAAAHMjYwMTI3NAIAAAAKMTAwMzYxOTg0OAMAAAAGMTAwMTczBAAAAAEyBgAAAAEwBwAAAAMxNjAIAAAAATAJAAAAATEKAAAAATALAAAACzE0MTk5NjU3NzY1DAAAAAE3DQAAAAg0LzIvMjAyNRAAAAAINC8xLzIwMjWNjmISv3PdCHeh5JTEc90IN0NJUS5OQVNEQVFHUzpDVFNILklRX1JFVkVOVUVfRVNULjEwMDAyLjQvMS8yMDI1Li4uVVNELkgBAAAA6OMFAAIAAAALMjE2NTcuMzg2ODkBDgAAAAUAAAACMTEBAAAAATACAAAACjEwMDM2MTk4NDgDAAAABjEwMDE4MAQAAAABMgYAAAABMAcAAAADMTYwCAAAAAEwCQAAAAExCgAAAAEw</t>
  </si>
  <si>
    <t>CwAAAAsxNDE5OTY1NzU3MwwAAAABNw0AAAAINC8yLzIwMjUQAAAACDQvMS8yMDI1jY5iEr9z3Qh3oeSUxHPdCDZDSVEuTkFTREFRR1M6Q1RTSC5JUV9FQklUREFfRVNULjEwMDAyLjQvMS8yMDI1Li4uVVNELkgBAAAA6OMFAAIAAAAKNDAzMS41MTYyNAEOAAAABQAAAAIxMQEAAAABMAIAAAAKMTAwMzYxOTg0OAMAAAAGMTAwMTg3BAAAAAEyBgAAAAEwBwAAAAMxNjAIAAAAATAJAAAAATEKAAAAATALAAAACzE0MTk5NjU3NDI2DAAAAAE3DQAAAAg0LzIvMjAyNRAAAAAINC8xLzIwMjWNjmISv3PdCHeh5JTEc90IMkNJUS5OWVNFOkFDTi5JUV9SRVZFTlVFX0VTVC4xMDAwMi40LzEvMjAyNS4uLlVTRC5IAQAAAJ7VDgACAAAACjc0MTUzLjQzOTQBDgAAAAUAAAACMTEBAAAAATACAAAACTcwMzUwNjY4MQMAAAAGMTAwMTgwBAAAAAEyBgAAAAEwBwAAAAMxNjAIAAAAATAJAAAAATEKAAAAATALAAAACzE0MjAzNTY3MDQ2DAAAAAE3DQAAAAg0LzIvMjAyNRAAAAAINC8xLzIwMjWNjmISv3PdCKTl5JTEc90IMUNJUS5OWVNFOkFDTi5JUV9FQklUREFfRVNULjEwMDAyLjQvMS8yMDI1Li4uVVNELkgBAAAAntUOAAIAAAAKMTQyNTIuMDAyNQEOAAAABQAAAAIxMQEAAAABMAIAAAAJNzAzNTA2NjgxAwAAAAYxMDAxODcEAAAAATIGAAAAATAHAAAAAzE2MAgAAAABMAkAAAABMQoAAAABMAsAAAALMTQxODgyMTM3OTIMAAAA</t>
  </si>
  <si>
    <t>ATcNAAAACDQvMi8yMDI1EAAAAAg0LzEvMjAyNY2OYhK/c90IpOXklMRz3QguQ0lRLk5ZU0U6QUNOLklRX0VQU19FU1QuMTAwMDIuNC8xLzIwMjUuLi5VU0QuSAEAAACe1Q4AAgAAAAcxNC4xODY4AQ4AAAAFAAAAAjExAQAAAAcyNjY1ODQ2AgAAAAk3MDM1MDY2ODEDAAAABjEwMDE3MwQAAAABMgYAAAABMAcAAAADMTYwCAAAAAEwCQAAAAExCgAAAAEwCwAAAAsxNDIwMzU2NzA2MwwAAAABNw0AAAAINC8yLzIwMjUQAAAACDQvMS8yMDI1jY5iEr9z3Qik5eSUxHPdCDJDSVEuTllTRTpPUkNMLklRX0VCSVREQV9FU1QuMTAwMDIuNC8xLzIwMjUuLi5VU0QuSAEAAADnVgAAAgAAAAozNzEzMi45MzUxAQ4AAAAFAAAAAjExAQAAAAEwAgAAAAk2NTE1Nzk2MTIDAAAABjEwMDE4NwQAAAABMgYAAAABMAcAAAADMTYwCAAAAAEwCQAAAAExCgAAAAEwCwAAAAsxNDE5OTIwNzUxNgwAAAABNw0AAAAINC8yLzIwMjUQAAAACDQvMS8yMDI1jY5iEr9z3QgENOWUxHPdCC9DSVEuTllTRTpPUkNMLklRX0VQU19FU1QuMTAwMDIuNC8xLzIwMjUuLi5VU0QuSAEAAADnVgAAAgAAAAY3LjM0NTQBDgAAAAUAAAACMTEBAAAABzI2MzYwNzcCAAAACTY1MTU3OTYxMgMAAAAGMTAwMTczBAAAAAEyBgAAAAEwBwAAAAMxNjAIAAAAATAJAAAAATEKAAAAATALAAAACzE0MTk5MjA3NjEyDAAAAAE3DQAAAAg0LzIvMjAyNRAAAAAINC8xLzIw</t>
  </si>
  <si>
    <t>MjWNjmISv3PdCAQ05ZTEc90IM0NJUS5OWVNFOk9SQ0wuSVFfUkVWRU5VRV9FU1QuMTAwMDIuNC8xLzIwMjUuLi5VU0QuSAEAAADnVgAAAgAAAAk3MDY5Ny42NzYBDgAAAAUAAAACMTEBAAAAATACAAAACTY1MTU3OTYxMgMAAAAGMTAwMTgwBAAAAAEyBgAAAAEwBwAAAAMxNjAIAAAAATAJAAAAATEKAAAAATALAAAACzE0MTk5MjA3NTEyDAAAAAE3DQAAAAg0LzIvMjAyNRAAAAAINC8xLzIwMjWNjmISv3PdCAQ05ZTEc90INkNJUS5OQVNEQVFHUzpIT04uSVFfUkVWRU5VRV9FU1QuMTAwMDEuNC8xLzIwMjUuLi5VU0QuSAEAAABEdRQAAgAAAAs0MDQyMi43MjQzMQEOAAAABQAAAAIxMQEAAAABMAIAAAAKMTAwNDI0MDIyNwMAAAAGMTAwMTgwBAAAAAEyBgAAAAEwBwAAAAMxNjAIAAAAATAJAAAAATEKAAAAATALAAAACzE0MTkzODIyNTAzDAAAAAE3DQAAAAg0LzIvMjAyNRAAAAAINC8xLzIwMjWNjmISv3PdCJC75pTEc90INUNJUS5OQVNEQVFHUzpIT04uSVFfRUJJVERBX0VTVC4xMDAwMS40LzEvMjAyNS4uLlVTRC5IAQAAAER1FAACAAAACzEwNDQ5LjIyODM5AQ4AAAAFAAAAAjExAQAAAAEwAgAAAAoxMDA0MjQwMjI3AwAAAAYxMDAxODcEAAAAATIGAAAAATAHAAAAAzE2MAgAAAABMAkAAAABMQoAAAABMAsAAAALMTQxOTM4MjIyOTEMAAAAATcNAAAACDQvMi8yMDI1EAAAAAg0LzEvMjAyNY2OYhK/c90IkLvm</t>
  </si>
  <si>
    <t>lMRz3QgyQ0lRLk5BU0RBUUdTOkhPTi5JUV9FUFNfRVNULjEwMDAxLjQvMS8yMDI1Li4uVVNELkgBAAAARHUUAAIAAAAIMTAuMzQ2MTgBDgAAAAUAAAACMTEBAAAABzI2MTg5NTACAAAACjEwMDQyNDAyMjcDAAAABjEwMDE3MwQAAAABMgYAAAABMAcAAAADMTYwCAAAAAEwCQAAAAExCgAAAAEwCwAAAAsxNDE5MzgyMzIzMQwAAAABNw0AAAAINC8yLzIwMjUQAAAACDQvMS8yMDI1jY5iEr9z3QiQu+aUxHPdCDJDSVEuTllTRTpEWEMuSVFfUkVWRU5VRV9FU1QuMTAwMDEuNC8xLzIwMjUuLi5VU0QuSAEAAAC1AwQAAgAAAAkxMjUwOS44MzcBDgAAAAUAAAACMTEBAAAAATACAAAACTcwOTU1ODUwNQMAAAAGMTAwMTgwBAAAAAEyBgAAAAEwBwAAAAMxNjAIAAAAATAJAAAAATEKAAAAATALAAAACzE0MTcwNjY4NTAyDAAAAAE3DQAAAAg0LzIvMjAyNRAAAAAINC8xLzIwMjWNjmISv3PdCJC75pTEc90IMUNJUS5OWVNFOkRYQy5JUV9FQklUREFfRVNULjEwMDAxLjQvMS8yMDI1Li4uVVNELkgBAAAAtQMEAAIAAAAJMTk0Mi4yNjY3AQ4AAAAFAAAAAjExAQAAAAEwAgAAAAk3MDk1NTg1MDUDAAAABjEwMDE4NwQAAAABMgYAAAABMAcAAAADMTYwCAAAAAEwCQAAAAExCgAAAAEwCwAAAAsxNDE3MDY2ODQxOQwAAAABNw0AAAAINC8yLzIwMjUQAAAACDQvMS8yMDI1jY5iEr9z3QiQu+aUxHPdCC5DSVEuTllTRTpEWEMuSVFf</t>
  </si>
  <si>
    <t>RVBTX0VTVC4xMDAwMS40LzEvMjAyNS4uLlVTRC5IAQAAALUDBAACAAAABjMuMzc0MQEOAAAABQAAAAIxMQEAAAAJNDIzNjU0ODU5AgAAAAk3MDk1NTg1MDUDAAAABjEwMDE3MwQAAAABMgYAAAABMAcAAAADMTYwCAAAAAEwCQAAAAExCgAAAAEwCwAAAAsxNDE3MDY3MDYxNQwAAAABNw0AAAAINC8yLzIwMjUQAAAACDQvMS8yMDI1jY5iEr9z3QiQu+aUxHPdCDdDSVEuTkFTREFRR1M6TVNGVC5JUV9SRVZFTlVFX0VTVC4xMDAwMS40LzEvMjAyNS4uLlVTRC5IAQAAAEtVAAACAAAACjI5MzA4My43MjgBDgAAAAUAAAACMTEBAAAAATACAAAACTQ3NTUwMjM0OQMAAAAGMTAwMTgwBAAAAAEyBgAAAAEwBwAAAAMxNjAIAAAAATAJAAAAATEKAAAAATALAAAACzE0MjA0Mzk4NTg1DAAAAAE3DQAAAAg0LzIvMjAyNRAAAAAINC8xLzIwMjWNjmISv3PdCJC75pTEc90INkNJUS5OQVNEQVFHUzpNU0ZULklRX0VCSVREQV9FU1QuMTAwMDEuNC8xLzIwMjUuLi5VU0QuSAEAAABLVQAAAgAAAAoxNjA5NTkuNjE1AQ4AAAAFAAAAAjExAQAAAAEwAgAAAAk0NzU1MDIzNDkDAAAABjEwMDE4NwQAAAABMgYAAAABMAcAAAADMTYwCAAAAAEwCQAAAAExCgAAAAEwCwAAAAsxNDIwNDM5ODM2MwwAAAABNw0AAAAINC8yLzIwMjUQAAAACDQvMS8yMDI1jY5iEr9z3QiQu+aUxHPdCDNDSVEuTkFTREFRR1M6TVNGVC5JUV9FUFNfRVNULjEw</t>
  </si>
  <si>
    <t>MDAxLjQvMS8yMDI1Li4uVVNELkgBAAAAS1UAAAIAAAAHMTMuODA5MQEOAAAABQAAAAIxMQEAAAAHMjYzMDQxMwIAAAAJNDc1NTAyMzQ5AwAAAAYxMDAxNzMEAAAAATIGAAAAATAHAAAAAzE2MAgAAAABMAkAAAABMQoAAAABMAsAAAALMTQyMDQzOTk3NjQMAAAAATcNAAAACDQvMi8yMDI1EAAAAAg0LzEvMjAyNY2OYhK/c90I2QnnlMRz3QgyQ0lRLk5ZU0U6SFBFLklRX1JFVkVOVUVfRVNULjEwMDAxLjQvMS8yMDI1Li4uVVNELkgBAAAADqlUEAIAAAAKMzMxMDUuMjc4OAEOAAAABQAAAAIxMQEAAAABMAIAAAAHMjI2NDYwOAMAAAAGMTAwMTgwBAAAAAEyBgAAAAEwBwAAAAMxNjAIAAAAATAJAAAAATEKAAAAATALAAAACzE0MTgxNzQwNDkxDAAAAAE3DQAAAAg0LzIvMjAyNRAAAAAINC8xLzIwMjWNjmISv3PdCNkJ55TEc90IMUNJUS5OWVNFOkhQRS5JUV9FQklUREFfRVNULjEwMDAxLjQvMS8yMDI1Li4uVVNELkgBAAAADqlUEAIAAAAHNTI3MS42NQEOAAAABQAAAAIxMQEAAAABMAIAAAAHMjI2NDYwOAMAAAAGMTAwMTg3BAAAAAEyBgAAAAEwBwAAAAMxNjAIAAAAATAJAAAAATEKAAAAATALAAAACzE0MTcyODg0NDE4DAAAAAE3DQAAAAg0LzIvMjAyNRAAAAAINC8xLzIwMjWNjmISv3PdCNkJ55TEc90ILkNJUS5OWVNFOkhQRS5JUV9FUFNfRVNULjEwMDAxLjQvMS8yMDI1Li4uVVNELkgBAAAADqlUEAIAAAAG</t>
  </si>
  <si>
    <t>MS44MDUzAQ4AAAAFAAAAAjExAQAAAAkzMTMwNjQ1MTQCAAAABzIyNjQ2MDgDAAAABjEwMDE3MwQAAAABMgYAAAABMAcAAAADMTYwCAAAAAEwCQAAAAExCgAAAAEwCwAAAAsxNDE4MTc0MDU2MgwAAAABNw0AAAAINC8yLzIwMjUQAAAACDQvMS8yMDI1jY5iEr9z3QjZCeeUxHPdCDJDSVEuTllTRTpDUk0uSVFfUkVWRU5VRV9FU1QuMTAwMDEuNC8xLzIwMjUuLi5VU0QuSAEAAAAl4AEAAgAAAAs0MDg2OS40MTI1MgEOAAAABQAAAAIxMQEAAAABMAIAAAAKMTAwMjMyNjEwNgMAAAAGMTAwMTgwBAAAAAEyBgAAAAEwBwAAAAMxNjAIAAAAATAJAAAAATEKAAAAATALAAAACzE0MTg1MTA1MDQwDAAAAAE3DQAAAAg0LzIvMjAyNRAAAAAINC8xLzIwMjWNjmISv3PdCNkJ55TEc90IMUNJUS5OWVNFOkNSTS5JUV9FQklUREFfRVNULjEwMDAxLjQvMS8yMDI1Li4uVVNELkgBAAAAJeABAAIAAAAKMTYwMDQuMDIyNQEOAAAABQAAAAIxMQEAAAABMAIAAAAKMTAwMjMyNjEwNgMAAAAGMTAwMTg3BAAAAAEyBgAAAAEwBwAAAAMxNjAIAAAAATAJAAAAATEKAAAAATALAAAACzE0MTkwMDk0NzIzDAAAAAE3DQAAAAg0LzIvMjAyNRAAAAAINC8xLzIwMjWNjmISv3PdCNkJ55TEc90ILkNJUS5OWVNFOkNSTS5JUV9FUFNfRVNULjEwMDAxLjQvMS8yMDI1Li4uVVNELkgBAAAAJeABAAIAAAAHMTEuMTY0NgEOAAAABQAAAAIxMQEAAAAI</t>
  </si>
  <si>
    <t>MTA0NTgyMjYCAAAACjEwMDIzMjYxMDYDAAAABjEwMDE3MwQAAAABMgYAAAABMAcAAAADMTYwCAAAAAEwCQAAAAExCgAAAAEwCwAAAAsxNDE4NTEwNDMyNwwAAAABNw0AAAAINC8yLzIwMjUQAAAACDQvMS8yMDI1jY5iEr9z3QjZCeeUxHPdCDdDSVEuTkFTREFRR1M6Q1RTSC5JUV9SRVZFTlVFX0VTVC4xMDAwMS40LzEvMjAyNS4uLlVTRC5IAQAAAOjjBQACAAAACzIwNjE2LjY2MDE2AQ4AAAAFAAAAAjExAQAAAAEwAgAAAAoxMDAxODExOTg5AwAAAAYxMDAxODAEAAAAATIGAAAAATAHAAAAAzE2MAgAAAABMAkAAAABMQoAAAABMAsAAAALMTQxOTk2NTc2MjcMAAAAATcNAAAACDQvMi8yMDI1EAAAAAg0LzEvMjAyNY2OYhK/c90ICU7nlMRz3Qg2Q0lRLk5BU0RBUUdTOkNUU0guSVFfRUJJVERBX0VTVC4xMDAwMS40LzEvMjAyNS4uLlVTRC5IAQAAAOjjBQACAAAACjM4MjAuOTYxNDEBDgAAAAUAAAACMTEBAAAAATACAAAACjEwMDE4MTE5ODkDAAAABjEwMDE4NwQAAAABMgYAAAABMAcAAAADMTYwCAAAAAEwCQAAAAExCgAAAAEwCwAAAAsxNDE5OTY1Nzk2OQwAAAABNw0AAAAINC8yLzIwMjUQAAAACDQvMS8yMDI1jY5iEr9z3QgJTueUxHPdCDNDSVEuTkFTREFRR1M6Q1RTSC5JUV9FUFNfRVNULjEwMDAxLjQvMS8yMDI1Li4uVVNELkgBAAAA6OMFAAIAAAAHNS4wMDA1OQEOAAAABQAAAAIxMQEAAAAHMjYwMTI3</t>
  </si>
  <si>
    <t>NAIAAAAKMTAwMTgxMTk4OQMAAAAGMTAwMTczBAAAAAEyBgAAAAEwBwAAAAMxNjAIAAAAATAJAAAAATEKAAAAATALAAAACzE0MTk5NjU3ODAxDAAAAAE3DQAAAAg0LzIvMjAyNRAAAAAINC8xLzIwMjWNjmISv3PdCAlO55TEc90IMkNJUS5OWVNFOkFDTi5JUV9SRVZFTlVFX0VTVC4xMDAwMS40LzEvMjAyNS4uLlVTRC5IAQAAAJ7VDgACAAAACTY5NDUwLjYyNQEOAAAABQAAAAIxMQEAAAABMAIAAAAJNzAzNTA2NjgwAwAAAAYxMDAxODAEAAAAATIGAAAAATAHAAAAAzE2MAgAAAABMAkAAAABMQoAAAABMAsAAAALMTQxODgzMjY4OTYMAAAAATcNAAAACDQvMi8yMDI1EAAAAAg0LzEvMjAyNY2OYhK/c90ICU7nlMRz3QgxQ0lRLk5ZU0U6QUNOLklRX0VCSVREQV9FU1QuMTAwMDEuNC8xLzIwMjUuLi5VU0QuSAEAAACe1Q4AAgAAAAoxMzE3MC43NjQ0AQ4AAAAFAAAAAjExAQAAAAEwAgAAAAk3MDM1MDY2ODADAAAABjEwMDE4NwQAAAABMgYAAAABMAcAAAADMTYwCAAAAAEwCQAAAAExCgAAAAEwCwAAAAsxNDE4ODMyNjkxMQwAAAABNw0AAAAINC8yLzIwMjUQAAAACDQvMS8yMDI1jY5iEr9z3QgJTueUxHPdCC5DSVEuTllTRTpBQ04uSVFfRVBTX0VTVC4xMDAwMS40LzEvMjAyNS4uLlVTRC5IAQAAAJ7VDgACAAAABzEyLjg1MTMBDgAAAAUAAAACMTEBAAAABzI2NjU4NDYCAAAACTcwMzUwNjY4MAMAAAAGMTAwMTcz</t>
  </si>
  <si>
    <t>BAAAAAEyBgAAAAEwBwAAAAMxNjAIAAAAATAJAAAAATEKAAAAATALAAAACzE0MTkwNDk2NTk2DAAAAAE3DQAAAAg0LzIvMjAyNRAAAAAINC8xLzIwMjWNjmISv3PdCAlO55TEc90IM0NJUS5OWVNFOk9SQ0wuSVFfUkVWRU5VRV9FU1QuMTAwMDEuNC8xLzIwMjUuLi5VU0QuSAEAAADnVgAAAgAAAAo2MDYyOC4yNTg3AQ4AAAAFAAAAAjExAQAAAAEwAgAAAAk2NTE1Nzk2MTEDAAAABjEwMDE4MAQAAAABMgYAAAABMAcAAAADMTYwCAAAAAEwCQAAAAExCgAAAAEwCwAAAAsxNDE5OTIwNzQ4NAwAAAABNw0AAAAINC8yLzIwMjUQAAAACDQvMS8yMDI1jY5iEr9z3QhTnOeUxHPdCDJDSVEuTllTRTpPUkNMLklRX0VCSVREQV9FU1QuMTAwMDEuNC8xLzIwMjUuLi5VU0QuSAEAAADnVgAAAgAAAAozMTYyNy4yNDUyAQ4AAAAFAAAAAjExAQAAAAEwAgAAAAk2NTE1Nzk2MTEDAAAABjEwMDE4NwQAAAABMgYAAAABMAcAAAADMTYwCAAAAAEwCQAAAAExCgAAAAEwCwAAAAsxNDE5OTIwNzQ4OAwAAAABNw0AAAAINC8yLzIwMjUQAAAACDQvMS8yMDI1jY5iEr9z3QgJTueUxHPdCC9DSVEuTllTRTpPUkNMLklRX0VQU19FU1QuMTAwMDEuNC8xLzIwMjUuLi5VU0QuSAEAAADnVgAAAgAAAAY2LjIwNzYBDgAAAAUAAAACMTEBAAAABzI2MzYwNzcCAAAACTY1MTU3OTYxMQMAAAAGMTAwMTczBAAAAAEyBgAAAAEwBwAAAAMxNjAIAAAA</t>
  </si>
  <si>
    <t>ATAJAAAAATEKAAAAATALAAAACzE0MTk5MjA3NjA4DAAAAAE3DQAAAAg0LzIvMjAyNRAAAAAINC8xLzIwMjWNjmISv3PdCFOc55TEc90IIUNJUS5OWVNFOklCTS5JUV9DT01QQU5ZX05BTUVfTE9ORwEAAADetgEAAwAAADZJbnRlcm5hdGlvbmFsIEJ1c2luZXNzIE1hY2hpbmVzIENvcnBvcmF0aW9uIChOWVNFOklCTSkASOpQE79z3Qj/OOiUxHPdCBxDSVEuTllTRTpJQk0uSVFfQ09NUEFOWV9OQU1FAQAAAN62AQADAAAAK0ludGVybmF0aW9uYWwgQnVzaW5lc3MgTWFjaGluZXMgQ29ycG9yYXRpb24ASOpQE79z3Qj/OOiUxHPdCBxDSVEuTllTRTpJQk0uSVFfUVVJQ0tfQ09NUC4xAQAAAN62AQADAAAACU5ZU0U6T1JDTABI6lATv3PdCOyNxJTEc90IHENJUS5OWVNFOklCTS5JUV9RVUlDS19DT01QLjIBAAAA3rYBAAMAAAAITllTRTpBQ04ASOpQE79z3QjsjcSUxHPdCBxDSVEuTllTRTpJQk0uSVFfUVVJQ0tfQ09NUC4zAQAAAN62AQADAAAADU5hc2RhcUdTOkNUU0gASOpQE79z3QjsjcSUxHPdCBxDSVEuTllTRTpJQk0uSVFfUVVJQ0tfQ09NUC40AQAAAN62AQADAAAACE5ZU0U6Q1JNAEjqUBO/c90I7I3ElMRz3QgcQ0lRLk5ZU0U6SUJNLklRX1FVSUNLX0NPTVAuNQEAAADetgEAAwAAAAhOWVNFOkhQRQBI6lATv3PdCMGnxJTEc90IHENJUS5OWVNFOklCTS5JUV9RVUlDS19DT01QLjYBAAAA3rYBAAMAAAAN</t>
  </si>
  <si>
    <t>TmFzZGFxR1M6TVNGVABI6lATv3PdCMGnxJTEc90IHENJUS5OWVNFOklCTS5JUV9RVUlDS19DT01QLjcBAAAA3rYBAAMAAAAITllTRTpEWEMASOpQE79z3QjBp8SUxHPdCBxDSVEuTllTRTpJQk0uSVFfUVVJQ0tfQ09NUC44AQAAAN62AQADAAAADE5hc2RhcUdTOkhPTgBI6lATv3PdCMGnxJTEc90IHkNJUS4xODAyLklRX0VWX09WRVJfTFRNX0VCSVREQQEAAACHXA0AAgAAAAkxMC41MTc3MTMBCAAAAAUAAAABMQEAAAALLTE5NjkxNTIzMTkDAAAAAjc5AgAAAAYxMDAwMzAEAAAAATAHAAAACDQvNC8yMDI1CAAAAAk5LzMwLzIwMjQJAAAAATBI6lATv3PdCP846JTEc90IHUNJUS5OWVNFOk9SQ0wuSVFfQ09NUEFOWV9OQU1FAQAAAOdWAAADAAAAEk9yYWNsZSBDb3Jwb3JhdGlvbgBHWJATv3PdCFOc55TEc90IHENJUS5OWVNFOkFDTi5JUV9DT01QQU5ZX05BTUUBAAAAntUOAAMAAAANQWNjZW50dXJlIHBsYwBHWJATv3PdCFOc55TEc90IIUNJUS5OQVNEQVFHUzpDVFNILklRX0NPTVBBTllfTkFNRQEAAADo4wUAAwAAACpDb2duaXphbnQgVGVjaG5vbG9neSBTb2x1dGlvbnMgQ29ycG9yYXRpb24AR1iQE79z3QgJTueUxHPdCBxDSVEuTllTRTpDUk0uSVFfQ09NUEFOWV9OQU1FAQAAACXgAQADAAAAEFNhbGVzZm9yY2UsIEluYy4AR1iQE79z3QgJTueUxHPdCBxDSVEuTllTRTpIUEUuSVFfQ09NUEFOWV9OQU1F</t>
  </si>
  <si>
    <t>AQAAAA6pVBADAAAAIkhld2xldHQgUGFja2FyZCBFbnRlcnByaXNlIENvbXBhbnkAR1iQE79z3QjZCeeUxHPdCCFDSVEuTkFTREFRR1M6TVNGVC5JUV9DT01QQU5ZX05BTUUBAAAAS1UAAAMAAAAVTWljcm9zb2Z0IENvcnBvcmF0aW9uAEdYkBO/c90I2QnnlMRz3QgcQ0lRLk5ZU0U6RFhDLklRX0NPTVBBTllfTkFNRQEAAAC1AwQAAwAAABZEWEMgVGVjaG5vbG9neSBDb21wYW55AEdYkBO/c90IkLvmlMRz3QggQ0lRLk5BU0RBUUdTOkhPTi5JUV9DT01QQU5ZX05BTUUBAAAARHUUAAMAAAAcSG9uZXl3ZWxsIEludGVybmF0aW9uYWwgSW5jLgBHWJATv3PdCJC75pTEc90ILUNJUS5OWVNFOk9SQ0wuSVFfTEFTVFNBTEVQUklDRS40LzEvMjAyNS5VU0QuSAEAAADnVgAAAgAAAAYxNDEuOTQAR1iQE79z3QhTnOeUxHPdCChDSVEuTllTRTpPUkNMLklRX1lFQVJISUdILjQvMS8yMDI1LlVTRC5IAQAAAOdWAAACAAAACDE5OC4zMDk5AEdYkBO/c90IU5znlMRz3QgnQ0lRLk5ZU0U6T1JDTC5JUV9ZRUFSTE9XLjQvMS8yMDI1LlVTRC5IAQAAAOdWAAACAAAABjExMi43OABHWJATv3PdCFOc55TEc90IK0NJUS5OWVNFOk9SQ0wuSVFfU0hBUkVTT1VUU1RBTkRJTkcuNC8xLzIwMjUBAAAA51YAAAIAAAAIMjgwNC4yMzQAR1iQE79z3QhTnOeUxHPdCCxDSVEuTllTRTpBQ04uSVFfTEFTVFNBTEVQUklDRS40LzEvMjAyNS5V</t>
  </si>
  <si>
    <t>U0QuSAEAAACe1Q4AAgAAAAYzMTMuNTgAR1iQE79z3QhTnOeUxHPdCCdDSVEuTllTRTpBQ04uSVFfWUVBUkhJR0guNC8xLzIwMjUuVVNELkgBAAAAntUOAAIAAAAGMzk4LjM1AEdYkBO/c90IU5znlMRz3QgmQ0lRLk5ZU0U6QUNOLklRX1lFQVJMT1cuNC8xLzIwMjUuVVNELkgBAAAAntUOAAIAAAAGMjc4LjY5AEdYkBO/c90ICU7nlMRz3QgqQ0lRLk5ZU0U6QUNOLklRX1NIQVJFU09VVFNUQU5ESU5HLjQvMS8yMDI1AQAAAJ7VDgACAAAACjYyNi4wMjU4MjUAR1iQE79z3QgJTueUxHPdCDFDSVEuTkFTREFRR1M6Q1RTSC5JUV9MQVNUU0FMRVBSSUNFLjQvMS8yMDI1LlVTRC5IAQAAAOjjBQACAAAABTc2LjQ1AEdYkBO/c90ICU7nlMRz3QgsQ0lRLk5BU0RBUUdTOkNUU0guSVFfWUVBUkhJR0guNC8xLzIwMjUuVVNELkgBAAAA6OMFAAIAAAAFOTAuODIAR1iQE79z3QgJTueUxHPdCCtDSVEuTkFTREFRR1M6Q1RTSC5JUV9ZRUFSTE9XLjQvMS8yMDI1LlVTRC5IAQAAAOjjBQACAAAABTYzLjc5AEdYkBO/c90ICU7nlMRz3QgvQ0lRLk5BU0RBUUdTOkNUU0guSVFfU0hBUkVTT1VUU1RBTkRJTkcuNC8xLzIwMjUBAAAA6OMFAAIAAAAKNDk0LjYxNTUxNABHWJATv3PdCAlO55TEc90ILENJUS5OWVNFOkNSTS5JUV9MQVNUU0FMRVBSSUNFLjQvMS8yMDI1LlVTRC5IAQAAACXgAQACAAAABTI3MC4yAEdYkBO/c90ICU7n</t>
  </si>
  <si>
    <t>lMRz3QgnQ0lRLk5ZU0U6Q1JNLklRX1lFQVJISUdILjQvMS8yMDI1LlVTRC5IAQAAACXgAQACAAAAAzM2OQBHWJATv3PdCAlO55TEc90IJkNJUS5OWVNFOkNSTS5JUV9ZRUFSTE9XLjQvMS8yMDI1LlVTRC5IAQAAACXgAQACAAAAAzIxMgBHWJATv3PdCNkJ55TEc90IKkNJUS5OWVNFOkNSTS5JUV9TSEFSRVNPVVRTVEFORElORy40LzEvMjAyNQEAAAAl4AEAAgAAAAM5NjEAR1iQE79z3QjZCeeUxHPdCCxDSVEuTllTRTpIUEUuSVFfTEFTVFNBTEVQUklDRS40LzEvMjAyNS5VU0QuSAEAAAAOqVQQAgAAAAUxNS42NABHWJATv3PdCNkJ55TEc90IJ0NJUS5OWVNFOkhQRS5JUV9ZRUFSSElHSC40LzEvMjAyNS5VU0QuSAEAAAAOqVQQAgAAAAUyNC42NgBHWJATv3PdCNkJ55TEc90IJkNJUS5OWVNFOkhQRS5JUV9ZRUFSTE9XLjQvMS8yMDI1LlVTRC5IAQAAAA6pVBACAAAABTE0LjY0AEdYkBO/c90I2QnnlMRz3QgqQ0lRLk5ZU0U6SFBFLklRX1NIQVJFU09VVFNUQU5ESU5HLjQvMS8yMDI1AQAAAA6pVBACAAAACzEzMTMuNTc4MjQ0AEdYkBO/c90I2QnnlMRz3QgxQ0lRLk5BU0RBUUdTOk1TRlQuSVFfTEFTVFNBTEVQUklDRS40LzEvMjAyNS5VU0QuSAEAAABLVQAAAgAAAAYzODIuMTkAR1iQE79z3QjZCeeUxHPdCCxDSVEuTkFTREFRR1M6TVNGVC5JUV9ZRUFSSElHSC40LzEvMjAyNS5VU0QuSAEAAABLVQAAAgAA</t>
  </si>
  <si>
    <t>AAY0NjguMzUAR1iQE79z3QjZCeeUxHPdCCtDSVEuTkFTREFRR1M6TVNGVC5JUV9ZRUFSTE9XLjQvMS8yMDI1LlVTRC5IAQAAAEtVAAACAAAABjM2Ny4yNABHWJATv3PdCNkJ55TEc90IL0NJUS5OQVNEQVFHUzpNU0ZULklRX1NIQVJFU09VVFNUQU5ESU5HLjQvMS8yMDI1AQAAAEtVAAACAAAACzc0MzMuOTgyMjM1AEdYkBO/c90I2QnnlMRz3QgsQ0lRLk5ZU0U6RFhDLklRX0xBU1RTQUxFUFJJQ0UuNC8xLzIwMjUuVVNELkgBAAAAtQMEAAIAAAAFMTcuMzQAR1iQE79z3QiQu+aUxHPdCCdDSVEuTllTRTpEWEMuSVFfWUVBUkhJR0guNC8xLzIwMjUuVVNELkgBAAAAtQMEAAIAAAAFMjQuODMAR1iQE79z3QiQu+aUxHPdCCZDSVEuTllTRTpEWEMuSVFfWUVBUkxPVy40LzEvMjAyNS5VU0QuSAEAAAC1AwQAAgAAAAYxNC43ODUAR1iQE79z3QiQu+aUxHPdCCpDSVEuTllTRTpEWEMuSVFfU0hBUkVTT1VUU1RBTkRJTkcuNC8xLzIwMjUBAAAAtQMEAAIAAAAKMTgxLjA0ODU2MQBHWJATv3PdCJC75pTEc90IMENJUS5OQVNEQVFHUzpIT04uSVFfTEFTVFNBTEVQUklDRS40LzEvMjAyNS5VU0QuSAEAAABEdRQAAgAAAAYyMTMuNDUAR1iQE79z3QiQu+aUxHPdCCtDSVEuTkFTREFRR1M6SE9OLklRX1lFQVJISUdILjQvMS8yMDI1LlVTRC5IAQAAAER1FAACAAAABjI0Mi43NwBHWJATv3PdCJC75pTEc90IKkNJUS5OQVNE</t>
  </si>
  <si>
    <t>QVFHUzpIT04uSVFfWUVBUkxPVy40LzEvMjAyNS5VU0QuSAEAAABEdRQAAgAAAAYxODkuNzUAR1iQE79z3QiQu+aUxHPdCC5DSVEuTkFTREFRR1M6SE9OLklRX1NIQVJFU09VVFNUQU5ESU5HLjQvMS8yMDI1AQAAAER1FAACAAAACjY0OC43Njc3NDYAR1iQE79z3QiQu+aUxHPdCDRDSVEuTllTRTpJQk0uSVFfVE9UQUxfUkVWX1NIQVJFLjk5OC40LzEvMjAyNS4uLlVTRC5IAQAAAN62AQACAAAACTY3LjA1NzA1MgEIAAAABQAAAAExAQAAAAstMTk1ODI4MTA5NgMAAAADMTYwAgAAAAQ0MzgyBAAAAAEwBwAAAAg0LzEvMjAyNQgAAAAKMTIvMzEvMjAyMgkAAAABMLrRTmPBc90IjCbKlMRz3QguQ0lRLk5ZU0U6SUJNLklRX0RSX1JBVElPX1BSSU1BUlkuMjAwMC40LzEvMjAyNQEAAADetgEAAgAAAAExALrRTmPBc90InKi+lMRz3Qg0Q0lRLk5ZU0U6SUJNLklRX1RPVEFMX1JFVl9TSEFSRS45OTAuNC8xLzIwMjUuLi5VU0QuSAEAAADetgEAAgAAAAg5Mi4zOTgyMgEIAAAABQAAAAExAQAAAAoxODI5OTExOTY4AwAAAAMxNjACAAAABDQzODIEAAAAATAHAAAACDQvMS8yMDI1CAAAAAoxMi8zMS8yMDE0CQAAAAEwutFOY8Fz3QiMJsqUxHPdCDRDSVEuTllTRTpJQk0uSVFfVE9UQUxfUkVWX1NIQVJFLjk5MS40LzEvMjAyNS4uLlVTRC5IAQAAAN62AQACAAAACTgzLjUxNjE3NgEIAAAABQAAAAExAQAAAAoxODc2NDMy</t>
  </si>
  <si>
    <t>ODcyAwAAAAMxNjACAAAABDQzODIEAAAAATAHAAAACDQvMS8yMDI1CAAAAAoxMi8zMS8yMDE1CQAAAAEwutFOY8Fz3QiMJsqUxHPdCDRDSVEuTllTRTpJQk0uSVFfVE9UQUxfUkVWX1NIQVJFLjk5Mi40LzEvMjAyNS4uLlVTRC5IAQAAAN62AQACAAAACTgzLjY0NzgwNwEIAAAABQAAAAExAQAAAAoxOTQ3MTc5NTgzAwAAAAMxNjACAAAABDQzODIEAAAAATAHAAAACDQvMS8yMDI1CAAAAAoxMi8zMS8yMDE2CQAAAAEwutFOY8Fz3QiMJsqUxHPdCDRDSVEuTllTRTpJQk0uSVFfVE9UQUxfUkVWX1NIQVJFLjk5My40LzEvMjAyNS4uLlVTRC5IAQAAAN62AQACAAAACTg0LjgzNzY5MgEIAAAABQAAAAExAQAAAAoyMDE3MTY0MjQ0AwAAAAMxNjACAAAABDQzODIEAAAAATAHAAAACDQvMS8yMDI1CAAAAAoxMi8zMS8yMDE3CQAAAAEwutFOY8Fz3QiMJsqUxHPdCC1DSVEuTllTRTpJQk0uSVFfRFJfUkFUSU9fUFJJTUFSWS45OTYuNC8xLzIwMjUBAAAA3rYBAAIAAAABMQC60U5jwXPdCIwmypTEc90ILUNJUS5OWVNFOklCTS5JUV9EUl9SQVRJT19QUklNQVJZLjk5Ny40LzEvMjAyNQEAAADetgEAAgAAAAExALrRTmPBc90IjCbKlMRz3QgtQ0lRLk5ZU0U6SUJNLklRX0RSX1JBVElPX1BSSU1BUlkuOTk4LjQvMS8yMDI1AQAAAN62AQACAAAAATEAutFOY8Fz3QiMJsqUxHPdCC1DSVEuTllTRTpJQk0uSVFfRFJfUkFUSU9f</t>
  </si>
  <si>
    <t>UFJJTUFSWS45OTkuNC8xLzIwMjUBAAAA3rYBAAIAAAABMQC60U5jwXPdCEb2w5TEc90ILkNJUS5OWVNFOklCTS5JUV9EUl9SQVRJT19QUklNQVJZLjEwMDAuNC8xLzIwMjUBAAAA3rYBAAIAAAABMQC60U5jwXPdCIwmypTEc90ILUNJUS5OWVNFOklCTS5JUV9EUl9SQVRJT19QUklNQVJZLjk5MS40LzEvMjAyNQEAAADetgEAAgAAAAExALrRTmPBc90IjCbKlMRz3QgtQ0lRLk5ZU0U6SUJNLklRX0RSX1JBVElPX1BSSU1BUlkuOTkyLjQvMS8yMDI1AQAAAN62AQACAAAAATEAutFOY8Fz3QiMJsqUxHPdCC1DSVEuTllTRTpJQk0uSVFfRFJfUkFUSU9fUFJJTUFSWS45OTMuNC8xLzIwMjUBAAAA3rYBAAIAAAABMQC60U5jwXPdCIwmypTEc90ILUNJUS5OWVNFOklCTS5JUV9EUl9SQVRJT19QUklNQVJZLjk5NC40LzEvMjAyNQEAAADetgEAAgAAAAExALrRTmPBc90IjCbKlMRz3QgtQ0lRLk5ZU0U6SUJNLklRX0RSX1JBVElPX1BSSU1BUlkuOTk1LjQvMS8yMDI1AQAAAN62AQACAAAAATEAutFOY8Fz3QiMJsqUxHPdCC5DSVEuTllTRTpJQk0uSVFfRElWX1NIQVJFLjk5OC40LzEvMjAyNS4uLlVTRC5IAQAAAN62AQACAAAABDYuNTkBCAAAAAUAAAABMQEAAAALLTE5NTgyODEwOTYDAAAAAzE2MAIAAAAEMzA1OAQAAAABMAcAAAAINC8xLzIwMjUIAAAACjEyLzMxLzIwMjIJAAAAATC60U5jwXPdCIwmypTEc90ILkNJ</t>
  </si>
  <si>
    <t>US5OWVNFOklCTS5JUV9ESVZfU0hBUkUuOTk5LjQvMS8yMDI1Li4uVVNELkgBAAAA3rYBAAIAAAAENi42MwEIAAAABQAAAAExAQAAAAstMTk1ODI4MTA5NQMAAAADMTYwAgAAAAQzMDU4BAAAAAEwBwAAAAg0LzEvMjAyNQgAAAAKMTIvMzEvMjAyMwkAAAABMLrRTmPBc90IRvbDlMRz3QgvQ0lRLk5ZU0U6SUJNLklRX0RJVl9TSEFSRS4xMDAwLjQvMS8yMDI1Li4uVVNELkgBAAAA3rYBAAIAAAAENi42NwEIAAAABQAAAAExAQAAAAstMTk1ODI4MTA5NwMAAAADMTYwAgAAAAQzMDU4BAAAAAEwBwAAAAg0LzEvMjAyNQgAAAAKMTIvMzEvMjAyNAkAAAABMLrRTmPBc90IjCbKlMRz3QgvQ0lRLk5ZU0U6SUJNLklRX0RJVl9TSEFSRS4yMDAwLjQvMS8yMDI1Li4uVVNELkgBAAAA3rYBAAIAAAAENi42NwEIAAAABQAAAAExAQAAAAstMTk1ODI4MDYxNQMAAAADMTYwAgAAAAQzMDU4BAAAAAEwBwAAAAg0LzEvMjAyNQgAAAAKMTIvMzEvMjAyNAkAAAABMLrRTmPBc90InKi+lMRz3QgtQ0lRLk5ZU0U6SUJNLklRX0RSX1JBVElPX1BSSU1BUlkuOTkwLjQvMS8yMDI1AQAAAN62AQACAAAAATEAutFOY8Fz3QiMJsqUxHPdCC5DSVEuTllTRTpJQk0uSVFfRElWX1NIQVJFLjk5My40LzEvMjAyNS4uLlVTRC5IAQAAAN62AQACAAAAAzUuOQEIAAAABQAAAAExAQAAAAoyMDE3MTY0MjQ0AwAAAAMxNjACAAAABDMwNTgEAAAAATAH</t>
  </si>
  <si>
    <t>AAAACDQvMS8yMDI1CAAAAAoxMi8zMS8yMDE3CQAAAAEwutFOY8Fz3QiMJsqUxHPdCC5DSVEuTllTRTpJQk0uSVFfRElWX1NIQVJFLjk5NC40LzEvMjAyNS4uLlVTRC5IAQAAAN62AQACAAAABDYuMjEBCAAAAAUAAAABMQEAAAAKMjA4MTUwNTQwMQMAAAADMTYwAgAAAAQzMDU4BAAAAAEwBwAAAAg0LzEvMjAyNQgAAAAKMTIvMzEvMjAxOAkAAAABMLrRTmPBc90IjCbKlMRz3QguQ0lRLk5ZU0U6SUJNLklRX0RJVl9TSEFSRS45OTUuNC8xLzIwMjUuLi5VU0QuSAEAAADetgEAAgAAAAQ2LjQzAQgAAAAFAAAAATEBAAAACy0yMTEwNzY5MzU1AwAAAAMxNjACAAAABDMwNTgEAAAAATAHAAAACDQvMS8yMDI1CAAAAAoxMi8zMS8yMDE5CQAAAAEwutFOY8Fz3QiMJsqUxHPdCC5DSVEuTllTRTpJQk0uSVFfRElWX1NIQVJFLjk5Ni40LzEvMjAyNS4uLlVTRC5IAQAAAN62AQACAAAABDYuNTEBCAAAAAUAAAABMQEAAAALLTIwNTkwNzMyMDIDAAAAAzE2MAIAAAAEMzA1OAQAAAABMAcAAAAINC8xLzIwMjUIAAAACjEyLzMxLzIwMjAJAAAAATC60U5jwXPdCIwmypTEc90ILkNJUS5OWVNFOklCTS5JUV9ESVZfU0hBUkUuOTk3LjQvMS8yMDI1Li4uVVNELkgBAAAA3rYBAAIAAAAENi41NQEIAAAABQAAAAExAQAAAAstMjAwODY0NzE5OAMAAAADMTYwAgAAAAQzMDU4BAAAAAEwBwAAAAg0LzEvMjAyNQgAAAAKMTIvMzEvMjAy</t>
  </si>
  <si>
    <t>MQkAAAABMLrRTmPBc90IMNjJlMRz3Qg/Q0lRLk5ZU0U6SUJNLklRX0RJU1RSSUJVVEFCTEVfQ0FTSF9TSEFSRVNfRElMVVRFRC4xMDAwLjQvMS8yMDI1AQAAAN62AQADAAAAAADiPe5jwXPdCK8z0JTEc90IP0NJUS5OWVNFOklCTS5JUV9ESVNUUklCVVRBQkxFX0NBU0hfU0hBUkVTX0RJTFVURUQuMjAwMC40LzEvMjAyNQEAAADetgEAAwAAAAAA4j3uY8Fz3QhhRb+UxHPdCC5DSVEuTllTRTpJQk0uSVFfRElWX1NIQVJFLjk5MC40LzEvMjAyNS4uLlVTRC5IAQAAAN62AQACAAAABDQuMjUBCAAAAAUAAAABMQEAAAAKMTgyOTkxMTk2OAMAAAADMTYwAgAAAAQzMDU4BAAAAAEwBwAAAAg0LzEvMjAyNQgAAAAKMTIvMzEvMjAxNAkAAAABMLrRTmPBc90IjCbKlMRz3QguQ0lRLk5ZU0U6SUJNLklRX0RJVl9TSEFSRS45OTEuNC8xLzIwMjUuLi5VU0QuSAEAAADetgEAAgAAAAE1AQgAAAAFAAAAATEBAAAACjE4NzY0MzI4NzIDAAAAAzE2MAIAAAAEMzA1OAQAAAABMAcAAAAINC8xLzIwMjUIAAAACjEyLzMxLzIwMTUJAAAAATC60U5jwXPdCIwmypTEc90ILkNJUS5OWVNFOklCTS5JUV9ESVZfU0hBUkUuOTkyLjQvMS8yMDI1Li4uVVNELkgBAAAA3rYBAAIAAAADNS41AQgAAAAFAAAAATEBAAAACjE5NDcxNzk1ODMDAAAAAzE2MAIAAAAEMzA1OAQAAAABMAcAAAAINC8xLzIwMjUIAAAACjEyLzMxLzIwMTYJAAAAATC6</t>
  </si>
  <si>
    <t>0U5jwXPdCIwmypTEc90IPkNJUS5OWVNFOklCTS5JUV9ESVNUUklCVVRBQkxFX0NBU0hfU0hBUkVTX0RJTFVURUQuOTk1LjQvMS8yMDI1AQAAAN62AQADAAAAAADiPe5jwXPdCF7lz5TEc90IPkNJUS5OWVNFOklCTS5JUV9ESVNUUklCVVRBQkxFX0NBU0hfU0hBUkVTX0RJTFVURUQuOTk2LjQvMS8yMDI1AQAAAN62AQADAAAAAADiPe5jwXPdCF7lz5TEc90IPkNJUS5OWVNFOklCTS5JUV9ESVNUUklCVVRBQkxFX0NBU0hfU0hBUkVTX0RJTFVURUQuOTk3LjQvMS8yMDI1AQAAAN62AQADAAAAAADiPe5jwXPdCF7lz5TEc90IPkNJUS5OWVNFOklCTS5JUV9ESVNUUklCVVRBQkxFX0NBU0hfU0hBUkVTX0RJTFVURUQuOTk4LjQvMS8yMDI1AQAAAN62AQADAAAAAADiPe5jwXPdCF7lz5TEc90IPkNJUS5OWVNFOklCTS5JUV9ESVNUUklCVVRBQkxFX0NBU0hfU0hBUkVTX0RJTFVURUQuOTk5LjQvMS8yMDI1AQAAAN62AQADAAAAAADiPe5jwXPdCEb2w5TEc90IPkNJUS5OWVNFOklCTS5JUV9ESVNUUklCVVRBQkxFX0NBU0hfU0hBUkVTX0RJTFVURUQuOTkwLjQvMS8yMDI1AQAAAN62AQADAAAAAADiPe5jwXPdCF7lz5TEc90IPkNJUS5OWVNFOklCTS5JUV9ESVNUUklCVVRBQkxFX0NBU0hfU0hBUkVTX0RJTFVURUQuOTkxLjQvMS8yMDI1AQAAAN62AQADAAAAAADiPe5jwXPdCF7lz5TEc90IPkNJUS5OWVNFOklCTS5J</t>
  </si>
  <si>
    <t>UV9ESVNUUklCVVRBQkxFX0NBU0hfU0hBUkVTX0RJTFVURUQuOTkyLjQvMS8yMDI1AQAAAN62AQADAAAAAADiPe5jwXPdCF7lz5TEc90IPkNJUS5OWVNFOklCTS5JUV9ESVNUUklCVVRBQkxFX0NBU0hfU0hBUkVTX0RJTFVURUQuOTkzLjQvMS8yMDI1AQAAAN62AQADAAAAAADiPe5jwXPdCF7lz5TEc90IPkNJUS5OWVNFOklCTS5JUV9ESVNUUklCVVRBQkxFX0NBU0hfU0hBUkVTX0RJTFVURUQuOTk0LjQvMS8yMDI1AQAAAN62AQADAAAAAADiPe5jwXPdCF7lz5TEc90IPENJUS5OWVNFOklCTS5JUV9ESVNUUklCVVRBQkxFX0NBU0hfU0hBUkVTX0JBU0lDLjk5Ny40LzEvMjAyNQEAAADetgEAAwAAAAAA4j3uY8Fz3Qhe5c+UxHPdCDxDSVEuTllTRTpJQk0uSVFfRElTVFJJQlVUQUJMRV9DQVNIX1NIQVJFU19CQVNJQy45OTguNC8xLzIwMjUBAAAA3rYBAAMAAAAAAOI97mPBc90IXuXPlMRz3Qg8Q0lRLk5ZU0U6SUJNLklRX0RJU1RSSUJVVEFCTEVfQ0FTSF9TSEFSRVNfQkFTSUMuOTk5LjQvMS8yMDI1AQAAAN62AQADAAAAAADiPe5jwXPdCEb2w5TEc90IPUNJUS5OWVNFOklCTS5JUV9ESVNUUklCVVRBQkxFX0NBU0hfU0hBUkVTX0JBU0lDLjEwMDAuNC8xLzIwMjUBAAAA3rYBAAMAAAAAAOI97mPBc90IXuXPlMRz3Qg9Q0lRLk5ZU0U6SUJNLklRX0RJU1RSSUJVVEFCTEVfQ0FTSF9TSEFSRVNfQkFTSUMuMjAw</t>
  </si>
  <si>
    <t>MC40LzEvMjAyNQEAAADetgEAAwAAAAAA4j3uY8Fz3QhhRb+UxHPdCDxDSVEuTllTRTpJQk0uSVFfRElTVFJJQlVUQUJMRV9DQVNIX1NIQVJFU19CQVNJQy45OTIuNC8xLzIwMjUBAAAA3rYBAAMAAAAAAOI97mPBc90IXuXPlMRz3Qg8Q0lRLk5ZU0U6SUJNLklRX0RJU1RSSUJVVEFCTEVfQ0FTSF9TSEFSRVNfQkFTSUMuOTkzLjQvMS8yMDI1AQAAAN62AQADAAAAAADiPe5jwXPdCF7lz5TEc90IPENJUS5OWVNFOklCTS5JUV9ESVNUUklCVVRBQkxFX0NBU0hfU0hBUkVTX0JBU0lDLjk5NC40LzEvMjAyNQEAAADetgEAAwAAAAAA4j3uY8Fz3Qhe5c+UxHPdCDxDSVEuTllTRTpJQk0uSVFfRElTVFJJQlVUQUJMRV9DQVNIX1NIQVJFU19CQVNJQy45OTUuNC8xLzIwMjUBAAAA3rYBAAMAAAAAAOI97mPBc90IXuXPlMRz3Qg8Q0lRLk5ZU0U6SUJNLklRX0RJU1RSSUJVVEFCTEVfQ0FTSF9TSEFSRVNfQkFTSUMuOTk2LjQvMS8yMDI1AQAAAN62AQADAAAAAADiPe5jwXPdCF7lz5TEc90ISUNJUS5OWVNFOklCTS5JUV9ESVNUUklCVVRBQkxFX0NBU0hfUEVSX1NIQVJFX0RJTFVURUQuOTk5LjQvMS8yMDI1Li4uVVNELkgBAAAA3rYBAAMAAAAAALrRTmPBc90IRvbDlMRz3QhKQ0lRLk5ZU0U6SUJNLklRX0RJU1RSSUJVVEFCTEVfQ0FTSF9QRVJfU0hBUkVfRElMVVRFRC4xMDAwLjQvMS8yMDI1Li4uVVNELkgBAAAA3rYB</t>
  </si>
  <si>
    <t>AAMAAAAAALrRTmPBc90IMNjJlMRz3QhKQ0lRLk5ZU0U6SUJNLklRX0RJU1RSSUJVVEFCTEVfQ0FTSF9QRVJfU0hBUkVfRElMVVRFRC4yMDAwLjQvMS8yMDI1Li4uVVNELkgBAAAA3rYBAAMAAAAAALrRTmPBc90InKi+lMRz3Qg8Q0lRLk5ZU0U6SUJNLklRX0RJU1RSSUJVVEFCTEVfQ0FTSF9TSEFSRVNfQkFTSUMuOTkwLjQvMS8yMDI1AQAAAN62AQADAAAAAADiPe5jwXPdCF7lz5TEc90IPENJUS5OWVNFOklCTS5JUV9ESVNUUklCVVRBQkxFX0NBU0hfU0hBUkVTX0JBU0lDLjk5MS40LzEvMjAyNQEAAADetgEAAwAAAAAA4j3uY8Fz3Qhe5c+UxHPdCElDSVEuTllTRTpJQk0uSVFfRElTVFJJQlVUQUJMRV9DQVNIX1BFUl9TSEFSRV9ESUxVVEVELjk5NC40LzEvMjAyNS4uLlVTRC5IAQAAAN62AQADAAAAAAC60U5jwXPdCDDYyZTEc90ISUNJUS5OWVNFOklCTS5JUV9ESVNUUklCVVRBQkxFX0NBU0hfUEVSX1NIQVJFX0RJTFVURUQuOTk1LjQvMS8yMDI1Li4uVVNELkgBAAAA3rYBAAMAAAAAALrRTmPBc90IMNjJlMRz3QhJQ0lRLk5ZU0U6SUJNLklRX0RJU1RSSUJVVEFCTEVfQ0FTSF9QRVJfU0hBUkVfRElMVVRFRC45OTYuNC8xLzIwMjUuLi5VU0QuSAEAAADetgEAAwAAAAAAutFOY8Fz3Qgw2MmUxHPdCElDSVEuTllTRTpJQk0uSVFfRElTVFJJQlVUQUJMRV9DQVNIX1BFUl9TSEFSRV9ESUxVVEVELjk5Ny40</t>
  </si>
  <si>
    <t>LzEvMjAyNS4uLlVTRC5IAQAAAN62AQADAAAAAAC60U5jwXPdCDDYyZTEc90ISUNJUS5OWVNFOklCTS5JUV9ESVNUUklCVVRBQkxFX0NBU0hfUEVSX1NIQVJFX0RJTFVURUQuOTk4LjQvMS8yMDI1Li4uVVNELkgBAAAA3rYBAAMAAAAAALrRTmPBc90IMNjJlMRz3Qg0Q0lRLk5ZU0U6SUJNLklRX0RJTFVUX0VQU19OT1JNLjIwMDAuNC8xLzIwMjUuLi5VU0QuSAEAAADetgEAAgAAAAg2LjQ3NTAwNgEIAAAABQAAAAExAQAAAAstMTk1ODI4MDYxNQMAAAADMTYwAgAAAAQ0MzgwBAAAAAEwBwAAAAg0LzEvMjAyNQgAAAAKMTIvMzEvMjAyNAkAAAABMLrRTmPBc90InKi+lMRz3QhJQ0lRLk5ZU0U6SUJNLklRX0RJU1RSSUJVVEFCTEVfQ0FTSF9QRVJfU0hBUkVfRElMVVRFRC45OTAuNC8xLzIwMjUuLi5VU0QuSAEAAADetgEAAwAAAAAAutFOY8Fz3Qgw2MmUxHPdCElDSVEuTllTRTpJQk0uSVFfRElTVFJJQlVUQUJMRV9DQVNIX1BFUl9TSEFSRV9ESUxVVEVELjk5MS40LzEvMjAyNS4uLlVTRC5IAQAAAN62AQADAAAAAAC60U5jwXPdCDDYyZTEc90ISUNJUS5OWVNFOklCTS5JUV9ESVNUUklCVVRBQkxFX0NBU0hfUEVSX1NIQVJFX0RJTFVURUQuOTkyLjQvMS8yMDI1Li4uVVNELkgBAAAA3rYBAAMAAAAAALrRTmPBc90IMNjJlMRz3QhJQ0lRLk5ZU0U6SUJNLklRX0RJU1RSSUJVVEFCTEVfQ0FTSF9QRVJfU0hBUkVf</t>
  </si>
  <si>
    <t>RElMVVRFRC45OTMuNC8xLzIwMjUuLi5VU0QuSAEAAADetgEAAwAAAAAAutFOY8Fz3Qgw2MmUxHPdCDNDSVEuTllTRTpJQk0uSVFfRElMVVRfRVBTX05PUk0uOTk2LjQvMS8yMDI1Li4uVVNELkgBAAAA3rYBAAIAAAAIMS43OTI5NTYBCAAAAAUAAAABMQEAAAALLTIwNTkwNzMyMDIDAAAAAzE2MAIAAAAENDM4MAQAAAABMAcAAAAINC8xLzIwMjUIAAAACjEyLzMxLzIwMjAJAAAAATC60U5jwXPdCDDYyZTEc90IM0NJUS5OWVNFOklCTS5JUV9ESUxVVF9FUFNfTk9STS45OTcuNC8xLzIwMjUuLi5VU0QuSAEAAADetgEAAgAAAAgzLjI0OTkwNwEIAAAABQAAAAExAQAAAAstMjAwODY0NzE5OAMAAAADMTYwAgAAAAQ0MzgwBAAAAAEwBwAAAAg0LzEvMjAyNQgAAAAKMTIvMzEvMjAyMQkAAAABMLrRTmPBc90IMNjJlMRz3QgzQ0lRLk5ZU0U6SUJNLklRX0RJTFVUX0VQU19OT1JNLjk5OC40LzEvMjAyNS4uLlVTRC5IAQAAAN62AQACAAAACDUuMDIwNDQ4AQgAAAAFAAAAATEBAAAACy0xOTU4MjgxMDk2AwAAAAMxNjACAAAABDQzODAEAAAAATAHAAAACDQvMS8yMDI1CAAAAAoxMi8zMS8yMDIyCQAAAAEwutFOY8Fz3Qgw2MmUxHPdCDNDSVEuTllTRTpJQk0uSVFfRElMVVRfRVBTX05PUk0uOTk5LjQvMS8yMDI1Li4uVVNELkgBAAAA3rYBAAIAAAAINi4xODMwNzMBCAAAAAUAAAABMQEAAAALLTE5NTgyODEwOTUDAAAA</t>
  </si>
  <si>
    <t>AzE2MAIAAAAENDM4MAQAAAABMAcAAAAINC8xLzIwMjUIAAAACjEyLzMxLzIwMjMJAAAAATC60U5jwXPdCPYLxJTEc90INENJUS5OWVNFOklCTS5JUV9ESUxVVF9FUFNfTk9STS4xMDAwLjQvMS8yMDI1Li4uVVNELkgBAAAA3rYBAAIAAAAINi40NzUwMDYBCAAAAAUAAAABMQEAAAALLTE5NTgyODEwOTcDAAAAAzE2MAIAAAAENDM4MAQAAAABMAcAAAAINC8xLzIwMjUIAAAACjEyLzMxLzIwMjQJAAAAATC60U5jwXPdCDDYyZTEc90IM0NJUS5OWVNFOklCTS5JUV9ESUxVVF9FUFNfTk9STS45OTEuNC8xLzIwMjUuLi5VU0QuSAEAAADetgEAAgAAAAkxMC42OTY5MjkBCAAAAAUAAAABMQEAAAAKMTg3NjQzMjg3MgMAAAADMTYwAgAAAAQ0MzgwBAAAAAEwBwAAAAg0LzEvMjAyNQgAAAAKMTIvMzEvMjAxNQkAAAABMLrRTmPBc90IMNjJlMRz3QgzQ0lRLk5ZU0U6SUJNLklRX0RJTFVUX0VQU19OT1JNLjk5Mi40LzEvMjAyNS4uLlVTRC5IAQAAAN62AQACAAAACDguNzUxOTU3AQgAAAAFAAAAATEBAAAACjE5NDcxNzk1ODMDAAAAAzE2MAIAAAAENDM4MAQAAAABMAcAAAAINC8xLzIwMjUIAAAACjEyLzMxLzIwMTYJAAAAATC60U5jwXPdCDDYyZTEc90IM0NJUS5OWVNFOklCTS5JUV9ESUxVVF9FUFNfTk9STS45OTMuNC8xLzIwMjUuLi5VU0QuSAEAAADetgEAAgAAAAg3LjYwMDkyNwEIAAAABQAAAAExAQAAAAoyMDE3</t>
  </si>
  <si>
    <t>MTY0MjQ0AwAAAAMxNjACAAAABDQzODAEAAAAATAHAAAACDQvMS8yMDI1CAAAAAoxMi8zMS8yMDE3CQAAAAEwutFOY8Fz3QjLicmUxHPdCDNDSVEuTllTRTpJQk0uSVFfRElMVVRfRVBTX05PUk0uOTk0LjQvMS8yMDI1Li4uVVNELkgBAAAA3rYBAAIAAAAINy43MzYxNDMBCAAAAAUAAAABMQEAAAAKMjA4MTUwNTQwMQMAAAADMTYwAgAAAAQ0MzgwBAAAAAEwBwAAAAg0LzEvMjAyNQgAAAAKMTIvMzEvMjAxOAkAAAABMLrRTmPBc90Iy4nJlMRz3QgzQ0lRLk5ZU0U6SUJNLklRX0RJTFVUX0VQU19OT1JNLjk5NS40LzEvMjAyNS4uLlVTRC5IAQAAAN62AQACAAAACDQuNTExMDIxAQgAAAAFAAAAATEBAAAACy0yMTEwNzY5MzU1AwAAAAMxNjACAAAABDQzODAEAAAAATAHAAAACDQvMS8yMDI1CAAAAAoxMi8zMS8yMDE5CQAAAAEwutFOY8Fz3QjLicmUxHPdCC1DSVEuTllTRTpJQk0uSVFfRVBTX05PUk0uOTk4LjQvMS8yMDI1Li4uVVNELkgBAAAA3rYBAAIAAAAINS4wNzM4NjkBCAAAAAUAAAABMQEAAAALLTE5NTgyODEwOTYDAAAAAzE2MAIAAAAENDM3OQQAAAABMAcAAAAINC8xLzIwMjUIAAAACjEyLzMxLzIwMjIJAAAAATC60U5jwXPdCMuJyZTEc90ILUNJUS5OWVNFOklCTS5JUV9FUFNfTk9STS45OTkuNC8xLzIwMjUuLi5VU0QuSAEAAADetgEAAgAAAAg2LjI1Njc4OAEIAAAABQAAAAExAQAAAAstMTk1ODI4</t>
  </si>
  <si>
    <t>MTA5NQMAAAADMTYwAgAAAAQ0Mzc5BAAAAAEwBwAAAAg0LzEvMjAyNQgAAAAKMTIvMzEvMjAyMwkAAAABMLrRTmPBc90I9gvElMRz3QguQ0lRLk5ZU0U6SUJNLklRX0VQU19OT1JNLjEwMDAuNC8xLzIwMjUuLi5VU0QuSAEAAADetgEAAgAAAAg2LjU4MzEzOAEIAAAABQAAAAExAQAAAAstMTk1ODI4MTA5NwMAAAADMTYwAgAAAAQ0Mzc5BAAAAAEwBwAAAAg0LzEvMjAyNQgAAAAKMTIvMzEvMjAyNAkAAAABMLrRTmPBc90Iy4nJlMRz3QguQ0lRLk5ZU0U6SUJNLklRX0VQU19OT1JNLjIwMDAuNC8xLzIwMjUuLi5VU0QuSAEAAADetgEAAgAAAAg2LjU4MzEzOAEIAAAABQAAAAExAQAAAAstMTk1ODI4MDYxNQMAAAADMTYwAgAAAAQ0Mzc5BAAAAAEwBwAAAAg0LzEvMjAyNQgAAAAKMTIvMzEvMjAyNAkAAAABMLrRTmPBc90InKi+lMRz3QgzQ0lRLk5ZU0U6SUJNLklRX0RJTFVUX0VQU19OT1JNLjk5MC40LzEvMjAyNS4uLlVTRC5IAQAAAN62AQACAAAACTEzLjIwNjY3NgEIAAAABQAAAAExAQAAAAoxODI5OTExOTY4AwAAAAMxNjACAAAABDQzODAEAAAAATAHAAAACDQvMS8yMDI1CAAAAAoxMi8zMS8yMDE0CQAAAAEwutFOY8Fz3QjLicmUxHPdCC1DSVEuTllTRTpJQk0uSVFfRVBTX05PUk0uOTkzLjQvMS8yMDI1Li4uVVNELkgBAAAA3rYBAAIAAAAINy42MzgwNjEBCAAAAAUAAAABMQEAAAAKMjAxNzE2NDI0NAMA</t>
  </si>
  <si>
    <t>AAADMTYwAgAAAAQ0Mzc5BAAAAAEwBwAAAAg0LzEvMjAyNQgAAAAKMTIvMzEvMjAxNwkAAAABMLrRTmPBc90Iy4nJlMRz3QgtQ0lRLk5ZU0U6SUJNLklRX0VQU19OT1JNLjk5NC40LzEvMjAyNS4uLlVTRC5IAQAAAN62AQACAAAACDcuNzcyMzQyAQgAAAAFAAAAATEBAAAACjIwODE1MDU0MDEDAAAAAzE2MAIAAAAENDM3OQQAAAABMAcAAAAINC8xLzIwMjUIAAAACjEyLzMxLzIwMTgJAAAAATC60U5jwXPdCMuJyZTEc90ILUNJUS5OWVNFOklCTS5JUV9FUFNfTk9STS45OTUuNC8xLzIwMjUuLi5VU0QuSAEAAADetgEAAgAAAAg0LjUzOTM4MwEIAAAABQAAAAExAQAAAAstMjExMDc2OTM1NQMAAAADMTYwAgAAAAQ0Mzc5BAAAAAEwBwAAAAg0LzEvMjAyNQgAAAAKMTIvMzEvMjAxOQkAAAABMLrRTmPBc90Iy4nJlMRz3QgtQ0lRLk5ZU0U6SUJNLklRX0VQU19OT1JNLjk5Ni40LzEvMjAyNS4uLlVTRC5IAQAAAN62AQACAAAACDEuODA1NDcyAQgAAAAFAAAAATEBAAAACy0yMDU5MDczMjAyAwAAAAMxNjACAAAABDQzNzkEAAAAATAHAAAACDQvMS8yMDI1CAAAAAoxMi8zMS8yMDIwCQAAAAEwutFOY8Fz3QjLicmUxHPdCC1DSVEuTllTRTpJQk0uSVFfRVBTX05PUk0uOTk3LjQvMS8yMDI1Li4uVVNELkgBAAAA3rYBAAIAAAAIMy4yODEyODMBCAAAAAUAAAABMQEAAAALLTIwMDg2NDcxOTgDAAAAAzE2MAIAAAAENDM3</t>
  </si>
  <si>
    <t>OQQAAAABMAcAAAAINC8xLzIwMjUIAAAACjEyLzMxLzIwMjEJAAAAATC60U5jwXPdCMuJyZTEc90IKkNJUS5OWVNFOklCTS5JUV9ESUxVVF9XRUlHSFQuMTAwMC40LzEvMjAyNQEAAADetgEAAgAAAAo5MzcuMTYxMjI0ALrRTmPBc90Iy4nJlMRz3QgqQ0lRLk5ZU0U6SUJNLklRX0RJTFVUX1dFSUdIVC4yMDAwLjQvMS8yMDI1AQAAAN62AQACAAAACjkzNy4xNjEyMjQAutFOY8Fz3QicqL6UxHPdCC1DSVEuTllTRTpJQk0uSVFfRVBTX05PUk0uOTkwLjQvMS8yMDI1Li4uVVNELkgBAAAA3rYBAAIAAAAJMTMuMjgyMDAxAQgAAAAFAAAAATEBAAAACjE4Mjk5MTE5NjgDAAAAAzE2MAIAAAAENDM3OQQAAAABMAcAAAAINC8xLzIwMjUIAAAACjEyLzMxLzIwMTQJAAAAATC60U5jwXPdCMuJyZTEc90ILUNJUS5OWVNFOklCTS5JUV9FUFNfTk9STS45OTEuNC8xLzIwMjUuLi5VU0QuSAEAAADetgEAAgAAAAkxMC43NDAxNjIBCAAAAAUAAAABMQEAAAAKMTg3NjQzMjg3MgMAAAADMTYwAgAAAAQ0Mzc5BAAAAAEwBwAAAAg0LzEvMjAyNQgAAAAKMTIvMzEvMjAxNQkAAAABMLrRTmPBc90Iy4nJlMRz3QgtQ0lRLk5ZU0U6SUJNLklRX0VQU19OT1JNLjk5Mi40LzEvMjAyNS4uLlVTRC5IAQAAAN62AQACAAAACDguNzgyMTA5AQgAAAAFAAAAATEBAAAACjE5NDcxNzk1ODMDAAAAAzE2MAIAAAAENDM3OQQAAAABMAcAAAAINC8x</t>
  </si>
  <si>
    <t>LzIwMjUIAAAACjEyLzMxLzIwMTYJAAAAATC60U5jwXPdCMuJyZTEc90IKUNJUS5OWVNFOklCTS5JUV9ESUxVVF9XRUlHSFQuOTk1LjQvMS8yMDI1AQAAAN62AQACAAAACjg5Mi44MTMzNzYAutFOY8Fz3QjLicmUxHPdCClDSVEuTllTRTpJQk0uSVFfRElMVVRfV0VJR0hULjk5Ni40LzEvMjAyNQEAAADetgEAAgAAAAo4OTYuNTYzOTcxALrRTmPBc90Iy4nJlMRz3QgpQ0lRLk5ZU0U6SUJNLklRX0RJTFVUX1dFSUdIVC45OTcuNC8xLzIwMjUBAAAA3rYBAAIAAAAKOTA0LjY0MTAwMQC60U5jwXPdCMuJyZTEc90IKUNJUS5OWVNFOklCTS5JUV9ESUxVVF9XRUlHSFQuOTk4LjQvMS8yMDI1AQAAAN62AQACAAAACjkxMi4yNjkwNjIAutFOY8Fz3QjLicmUxHPdCClDSVEuTllTRTpJQk0uSVFfRElMVVRfV0VJR0hULjk5OS40LzEvMjAyNQEAAADetgEAAgAAAAo5MjIuMDczODI4ALrRTmPBc90IRvbDlMRz3QgpQ0lRLk5ZU0U6SUJNLklRX0RJTFVUX1dFSUdIVC45OTAuNC8xLzIwMjUBAAAA3rYBAAIAAAAKMTAxMC4wMDA0OAC60U5jwXPdCMuJyZTEc90IKUNJUS5OWVNFOklCTS5JUV9ESUxVVF9XRUlHSFQuOTkxLjQvMS8yMDI1AQAAAN62AQACAAAACjk4Mi43MDAyNjcAutFOY8Fz3QjLicmUxHPdCClDSVEuTllTRTpJQk0uSVFfRElMVVRfV0VJR0hULjk5Mi40LzEvMjAyNQEAAADetgEAAgAAAAo5NTguNzE0MDk3</t>
  </si>
  <si>
    <t>ALrRTmPBc90Iy4nJlMRz3QgpQ0lRLk5ZU0U6SUJNLklRX0RJTFVUX1dFSUdIVC45OTMuNC8xLzIwMjUBAAAA3rYBAAIAAAAKOTM3LjM4NTYyNQC60U5jwXPdCMuJyZTEc90IKUNJUS5OWVNFOklCTS5JUV9ESUxVVF9XRUlHSFQuOTk0LjQvMS8yMDI1AQAAAN62AQACAAAACjkxNi4zMTU3MTQAutFOY8Fz3QjLicmUxHPdCDNDSVEuTllTRTpJQk0uSVFfRElMVVRfRVBTX0VYQ0wuOTk3LjQvMS8yMDI1Li4uVVNELkgBAAAA3rYBAAIAAAAINS4yMDk5OTkBCAAAAAUAAAABMQEAAAALLTIwMDg2NDcxOTgDAAAAAzE2MAIAAAADMTQyBAAAAAEwBwAAAAg0LzEvMjAyNQgAAAAKMTIvMzEvMjAyMQkAAAABMLrRTmPBc90Iy4nJlMRz3QgzQ0lRLk5ZU0U6SUJNLklRX0RJTFVUX0VQU19FWENMLjk5OC40LzEvMjAyNS4uLlVTRC5IAQAAAN62AQACAAAABDEuOTUBCAAAAAUAAAABMQEAAAALLTE5NTgyODEwOTYDAAAAAzE2MAIAAAADMTQyBAAAAAEwBwAAAAg0LzEvMjAyNQgAAAAKMTIvMzEvMjAyMgkAAAABMLrRTmPBc90Iy4nJlMRz3QgzQ0lRLk5ZU0U6SUJNLklRX0RJTFVUX0VQU19FWENMLjk5OS40LzEvMjAyNS4uLlVTRC5IAQAAAN62AQACAAAACDguMTQ5OTk5AQgAAAAFAAAAATEBAAAACy0xOTU4MjgxMDk1AwAAAAMxNjACAAAAAzE0MgQAAAABMAcAAAAINC8xLzIwMjUIAAAACjEyLzMxLzIwMjMJAAAAATC60U5j</t>
  </si>
  <si>
    <t>wXPdCEb2w5TEc90IM0NJUS5OWVNFOklCTS5JUV9ESUxVVF9FUFNfRVhDTC45OTIuNC8xLzIwMjUuLi5VU0QuSAEAAADetgEAAgAAAAUxMi4zOQEIAAAABQAAAAExAQAAAAoxOTQ3MTc5NTgzAwAAAAMxNjACAAAAAzE0MgQAAAABMAcAAAAINC8xLzIwMjUIAAAACjEyLzMxLzIwMTYJAAAAATC60U5jwXPdCMuJyZTEc90IM0NJUS5OWVNFOklCTS5JUV9ESUxVVF9FUFNfRVhDTC45OTMuNC8xLzIwMjUuLi5VU0QuSAEAAADetgEAAgAAAAg2LjE0MDQ4MgEIAAAABQAAAAExAQAAAAoyMDE3MTY0MjQ0AwAAAAMxNjACAAAAAzE0MgQAAAABMAcAAAAINC8xLzIwMjUIAAAACjEyLzMxLzIwMTcJAAAAATC60U5jwXPdCMuJyZTEc90IM0NJUS5OWVNFOklCTS5JUV9ESUxVVF9FUFNfRVhDTC45OTQuNC8xLzIwMjUuLi5VU0QuSAEAAADetgEAAgAAAAg5LjUxNDE4OAEIAAAABQAAAAExAQAAAAoyMDgxNTA1NDAxAwAAAAMxNjACAAAAAzE0MgQAAAABMAcAAAAINC8xLzIwMjUIAAAACjEyLzMxLzIwMTgJAAAAATC60U5jwXPdCMuJyZTEc90IM0NJUS5OWVNFOklCTS5JUV9ESUxVVF9FUFNfRVhDTC45OTUuNC8xLzIwMjUuLi5VU0QuSAEAAADetgEAAgAAAAE4AQgAAAAFAAAAATEBAAAACy0yMTEwNzY5MzU1AwAAAAMxNjACAAAAAzE0MgQAAAABMAcAAAAINC8xLzIwMjUIAAAACjEyLzMxLzIwMTkJAAAAATC60U5jwXPdCMuJ</t>
  </si>
  <si>
    <t>yZTEc90IM0NJUS5OWVNFOklCTS5JUV9ESUxVVF9FUFNfRVhDTC45OTYuNC8xLzIwMjUuLi5VU0QuSAEAAADetgEAAgAAAAg0LjM4MzQwMQEIAAAABQAAAAExAQAAAAstMjA1OTA3MzIwMgMAAAADMTYwAgAAAAMxNDIEAAAAATAHAAAACDQvMS8yMDI1CAAAAAoxMi8zMS8yMDIwCQAAAAEwutFOY8Fz3QjLicmUxHPdCDNDSVEuTllTRTpJQk0uSVFfRElMVVRfRVBTX0lOQ0wuOTk5LjQvMS8yMDI1Li4uVVNELkgBAAAA3rYBAAIAAAAIOC4xMzY5ODUBCAAAAAUAAAABMQEAAAALLTE5NTgyODEwOTUDAAAAAzE2MAIAAAABOAQAAAABMAcAAAAINC8xLzIwMjUIAAAACjEyLzMxLzIwMjMJAAAAATC60U5jwXPdCEb2w5TEc90INENJUS5OWVNFOklCTS5JUV9ESUxVVF9FUFNfSU5DTC4xMDAwLjQvMS8yMDI1Li4uVVNELkgBAAAA3rYBAAIAAAAINi40Mjg1MzYBCAAAAAUAAAABMQEAAAALLTE5NTgyODEwOTcDAAAAAzE2MAIAAAABOAQAAAABMAcAAAAINC8xLzIwMjUIAAAACjEyLzMxLzIwMjQJAAAAATC60U5jwXPdCMuJyZTEc90INENJUS5OWVNFOklCTS5JUV9ESUxVVF9FUFNfSU5DTC4yMDAwLjQvMS8yMDI1Li4uVVNELkgBAAAA3rYBAAIAAAAINi40Mjg1MzYBCAAAAAUAAAABMQEAAAALLTE5NTgyODA2MTUDAAAAAzE2MAIAAAABOAQAAAABMAcAAAAINC8xLzIwMjUIAAAACjEyLzMxLzIwMjQJAAAAATC60U5jwXPd</t>
  </si>
  <si>
    <t>CJyovpTEc90IM0NJUS5OWVNFOklCTS5JUV9ESUxVVF9FUFNfRVhDTC45OTAuNC8xLzIwMjUuLi5VU0QuSAEAAADetgEAAgAAAAkxNS41OTMwNjEBCAAAAAUAAAABMQEAAAAKMTgyOTkxMTk2OAMAAAADMTYwAgAAAAMxNDIEAAAAATAHAAAACDQvMS8yMDI1CAAAAAoxMi8zMS8yMDE0CQAAAAEwutFOY8Fz3QjLicmUxHPdCDNDSVEuTllTRTpJQk0uSVFfRElMVVRfRVBTX0VYQ0wuOTkxLjQvMS8yMDI1Li4uVVNELkgBAAAA3rYBAAIAAAAJMTMuNTk4MjQ2AQgAAAAFAAAAATEBAAAACjE4NzY0MzI4NzIDAAAAAzE2MAIAAAADMTQyBAAAAAEwBwAAAAg0LzEvMjAyNQgAAAAKMTIvMzEvMjAxNQkAAAABMLrRTmPBc90Iy4nJlMRz3QgzQ0lRLk5ZU0U6SUJNLklRX0RJTFVUX0VQU19JTkNMLjk5NC40LzEvMjAyNS4uLlVTRC5IAQAAAN62AQACAAAACDkuNTE5NjQ0AQgAAAAFAAAAATEBAAAACjIwODE1MDU0MDEDAAAAAzE2MAIAAAABOAQAAAABMAcAAAAINC8xLzIwMjUIAAAACjEyLzMxLzIwMTgJAAAAATC60U5jwXPdCMuJyZTEc90IM0NJUS5OWVNFOklCTS5JUV9ESUxVVF9FUFNfSU5DTC45OTUuNC8xLzIwMjUuLi5VU0QuSAEAAADetgEAAgAAAAkxMC41NTkzMjUBCAAAAAUAAAABMQEAAAALLTIxMTA3NjkzNTUDAAAAAzE2MAIAAAABOAQAAAABMAcAAAAINC8xLzIwMjUIAAAACjEyLzMxLzIwMTkJAAAAATC60U5j</t>
  </si>
  <si>
    <t>wXPdCFQ7yZTEc90IM0NJUS5OWVNFOklCTS5JUV9ESUxVVF9FUFNfSU5DTC45OTYuNC8xLzIwMjUuLi5VU0QuSAEAAADetgEAAgAAAAg2LjIzMjY4NAEIAAAABQAAAAExAQAAAAstMjA1OTA3MzIwMgMAAAADMTYwAgAAAAE4BAAAAAEwBwAAAAg0LzEvMjAyNQgAAAAKMTIvMzEvMjAyMAkAAAABMLrRTmPBc90Iy4nJlMRz3QgzQ0lRLk5ZU0U6SUJNLklRX0RJTFVUX0VQU19JTkNMLjk5Ny40LzEvMjAyNS4uLlVTRC5IAQAAAN62AQACAAAACDYuMzQ4NTczAQgAAAAFAAAAATEBAAAACy0yMDA4NjQ3MTk4AwAAAAMxNjACAAAAATgEAAAAATAHAAAACDQvMS8yMDI1CAAAAAoxMi8zMS8yMDIxCQAAAAEwutFOY8Fz3QjLicmUxHPdCDNDSVEuTllTRTpJQk0uSVFfRElMVVRfRVBTX0lOQ0wuOTk4LjQvMS8yMDI1Li4uVVNELkgBAAAA3rYBAAIAAAAIMS43OTMyNDgBCAAAAAUAAAABMQEAAAALLTE5NTgyODEwOTYDAAAAAzE2MAIAAAABOAQAAAABMAcAAAAINC8xLzIwMjUIAAAACjEyLzMxLzIwMjIJAAAAATC60U5jwXPdCMuJyZTEc90IKkNJUS5OWVNFOklCTS5JUV9CQVNJQ19XRUlHSFQuMjAwMC40LzEvMjAyNQEAAADetgEAAgAAAAo5MjEuNzY3ODM0ALrRTmPBc90InKi+lMRz3QgzQ0lRLk5ZU0U6SUJNLklRX0RJTFVUX0VQU19JTkNMLjk5MC40LzEvMjAyNS4uLlVTRC5IAQAAAN62AQACAAAACTExLjkwMDk4NAEI</t>
  </si>
  <si>
    <t>AAAABQAAAAExAQAAAAoxODI5OTExOTY4AwAAAAMxNjACAAAAATgEAAAAATAHAAAACDQvMS8yMDI1CAAAAAoxMi8zMS8yMDE0CQAAAAEwutFOY8Fz3QjLicmUxHPdCDNDSVEuTllTRTpJQk0uSVFfRElMVVRfRVBTX0lOQ0wuOTkxLjQvMS8yMDI1Li4uVVNELkgBAAAA3rYBAAIAAAAJMTMuNDIxMTgyAQgAAAAFAAAAATEBAAAACjE4NzY0MzI4NzIDAAAAAzE2MAIAAAABOAQAAAABMAcAAAAINC8xLzIwMjUIAAAACjEyLzMxLzIwMTUJAAAAATC60U5jwXPdCFQ7yZTEc90IM0NJUS5OWVNFOklCTS5JUV9ESUxVVF9FUFNfSU5DTC45OTIuNC8xLzIwMjUuLi5VU0QuSAEAAADetgEAAgAAAAkxMi4zODA2MTIBCAAAAAUAAAABMQEAAAAKMTk0NzE3OTU4MwMAAAADMTYwAgAAAAE4BAAAAAEwBwAAAAg0LzEvMjAyNQgAAAAKMTIvMzEvMjAxNgkAAAABMLrRTmPBc90IVDvJlMRz3QgzQ0lRLk5ZU0U6SUJNLklRX0RJTFVUX0VQU19JTkNMLjk5My40LzEvMjAyNS4uLlVTRC5IAQAAAN62AQACAAAACDYuMTM1MTQ4AQgAAAAFAAAAATEBAAAACjIwMTcxNjQyNDQDAAAAAzE2MAIAAAABOAQAAAABMAcAAAAINC8xLzIwMjUIAAAACjEyLzMxLzIwMTcJAAAAATC60U5jwXPdCFQ7yZTEc90IKUNJUS5OWVNFOklCTS5JUV9CQVNJQ19XRUlHSFQuOTk2LjQvMS8yMDI1AQAAAN62AQACAAAACjg5MC4zNDg2NzkAutFOY8Fz3QhUO8mU</t>
  </si>
  <si>
    <t>xHPdCClDSVEuTllTRTpJQk0uSVFfQkFTSUNfV0VJR0hULjk5Ny40LzEvMjAyNQEAAADetgEAAgAAAAo4OTUuOTkwNzcxALrRTmPBc90IVDvJlMRz3QgpQ0lRLk5ZU0U6SUJNLklRX0JBU0lDX1dFSUdIVC45OTguNC8xLzIwMjUBAAAA3rYBAAIAAAAJOTAyLjY2NDE5ALrRTmPBc90IVDvJlMRz3QgpQ0lRLk5ZU0U6SUJNLklRX0JBU0lDX1dFSUdIVC45OTkuNC8xLzIwMjUBAAAA3rYBAAIAAAAKOTExLjIxMDMxOQC60U5jwXPdCEb2w5TEc90IKkNJUS5OWVNFOklCTS5JUV9CQVNJQ19XRUlHSFQuMTAwMC40LzEvMjAyNQEAAADetgEAAgAAAAo5MjEuNzY3ODM0ALrRTmPBc90IVDvJlMRz3QgpQ0lRLk5ZU0U6SUJNLklRX0JBU0lDX1dFSUdIVC45OTEuNC8xLzIwMjUBAAAA3rYBAAIAAAAKOTc4Ljc0NDUyMwC60U5jwXPdCFQ7yZTEc90IKUNJUS5OWVNFOklCTS5JUV9CQVNJQ19XRUlHSFQuOTkyLjQvMS8yMDI1AQAAAN62AQACAAAACTk1NS40MjI1MwC60U5jwXPdCFQ7yZTEc90IKUNJUS5OWVNFOklCTS5JUV9CQVNJQ19XRUlHSFQuOTkzLjQvMS8yMDI1AQAAAN62AQACAAAACjkzMi44MjgyOTUAutFOY8Fz3QhUO8mUxHPdCClDSVEuTllTRTpJQk0uSVFfQkFTSUNfV0VJR0hULjk5NC40LzEvMjAyNQEAAADetgEAAgAAAAo5MTIuMDQ4MDcyALrRTmPBc90IVDvJlMRz3QgpQ0lRLk5ZU0U6SUJNLklRX0JBU0lD</t>
  </si>
  <si>
    <t>X1dFSUdIVC45OTUuNC8xLzIwMjUBAAAA3rYBAAIAAAAKODg3LjIzNTEwNQC60U5jwXPdCFQ7yZTEc90IM0NJUS5OWVNFOklCTS5JUV9CQVNJQ19FUFNfRVhDTC45OTguNC8xLzIwMjUuLi5VU0QuSAEAAADetgEAAgAAAAgxLjk3NDE1NgEIAAAABQAAAAExAQAAAAstMTk1ODI4MTA5NgMAAAADMTYwAgAAAAQzMDY0BAAAAAEwBwAAAAg0LzEvMjAyNQgAAAAKMTIvMzEvMjAyMgkAAAABMLrRTmPBc90IVDvJlMRz3QgzQ0lRLk5ZU0U6SUJNLklRX0JBU0lDX0VQU19FWENMLjk5OS40LzEvMjAyNS4uLlVTRC5IAQAAAN62AQACAAAACDguMjQ2MTc1AQgAAAAFAAAAATEBAAAACy0xOTU4MjgxMDk1AwAAAAMxNjACAAAABDMwNjQEAAAAATAHAAAACDQvMS8yMDI1CAAAAAoxMi8zMS8yMDIzCQAAAAEwutFOY8Fz3Qj2C8SUxHPdCDRDSVEuTllTRTpJQk0uSVFfQkFTSUNfRVBTX0VYQ0wuMTAwMC40LzEvMjAyNS4uLlVTRC5IAQAAAN62AQACAAAACDYuNTI1NTA0AQgAAAAFAAAAATEBAAAACy0xOTU4MjgxMDk3AwAAAAMxNjACAAAABDMwNjQEAAAAATAHAAAACDQvMS8yMDI1CAAAAAoxMi8zMS8yMDI0CQAAAAEwutFOY8Fz3QhUO8mUxHPdCDRDSVEuTllTRTpJQk0uSVFfQkFTSUNfRVBTX0VYQ0wuMjAwMC40LzEvMjAyNS4uLlVTRC5IAQAAAN62AQACAAAACDYuNTI1NTA0AQgAAAAFAAAAATEBAAAACy0xOTU4MjgwNjE1</t>
  </si>
  <si>
    <t>AwAAAAMxNjACAAAABDMwNjQEAAAAATAHAAAACDQvMS8yMDI1CAAAAAoxMi8zMS8yMDI0CQAAAAEwutFOY8Fz3QicqL6UxHPdCClDSVEuTllTRTpJQk0uSVFfQkFTSUNfV0VJR0hULjk5MC40LzEvMjAyNQEAAADetgEAAgAAAAsxMDA0LjI3MjU4NAC60U5jwXPdCFQ7yZTEc90IM0NJUS5OWVNFOklCTS5JUV9CQVNJQ19FUFNfRVhDTC45OTMuNC8xLzIwMjUuLi5VU0QuSAEAAADetgEAAgAAAAg2LjE3MjYyNQEIAAAABQAAAAExAQAAAAoyMDE3MTY0MjQ0AwAAAAMxNjACAAAABDMwNjQEAAAAATAHAAAACDQvMS8yMDI1CAAAAAoxMi8zMS8yMDE3CQAAAAEwutFOY8Fz3QhUO8mUxHPdCDNDSVEuTllTRTpJQk0uSVFfQkFTSUNfRVBTX0VYQ0wuOTk0LjQvMS8yMDI1Li4uVVNELkgBAAAA3rYBAAIAAAAIOS41NjQxODgBCAAAAAUAAAABMQEAAAAKMjA4MTUwNTQwMQMAAAADMTYwAgAAAAQzMDY0BAAAAAEwBwAAAAg0LzEvMjAyNQgAAAAKMTIvMzEvMjAxOAkAAAABMLrRTmPBc90IVDvJlMRz3QgzQ0lRLk5ZU0U6SUJNLklRX0JBU0lDX0VQU19FWENMLjk5NS40LzEvMjAyNS4uLlVTRC5IAQAAAN62AQACAAAACDguMDU0MjM0AQgAAAAFAAAAATEBAAAACy0yMTEwNzY5MzU1AwAAAAMxNjACAAAABDMwNjQEAAAAATAHAAAACDQvMS8yMDI1CAAAAAoxMi8zMS8yMDE5CQAAAAEwutFOY8Fz3QhUO8mUxHPdCDNDSVEuTllT</t>
  </si>
  <si>
    <t>RTpJQk0uSVFfQkFTSUNfRVBTX0VYQ0wuOTk2LjQvMS8yMDI1Li4uVVNELkgBAAAA3rYBAAIAAAAINC40MTYyNDcBCAAAAAUAAAABMQEAAAALLTIwNTkwNzMyMDIDAAAAAzE2MAIAAAAEMzA2NAQAAAABMAcAAAAINC8xLzIwMjUIAAAACjEyLzMxLzIwMjAJAAAAATC60U5jwXPdCFQ7yZTEc90IM0NJUS5OWVNFOklCTS5JUV9CQVNJQ19FUFNfRVhDTC45OTcuNC8xLzIwMjUuLi5VU0QuSAEAAADetgEAAgAAAAg1LjI2MDA5OAEIAAAABQAAAAExAQAAAAstMjAwODY0NzE5OAMAAAADMTYwAgAAAAQzMDY0BAAAAAEwBwAAAAg0LzEvMjAyNQgAAAAKMTIvMzEvMjAyMQkAAAABMLrRTmPBc90IVDvJlMRz3Qg0Q0lRLk5ZU0U6SUJNLklRX0JBU0lDX0VQU19JTkNMLjEwMDAuNC8xLzIwMjUuLi5VU0QuSAEAAADetgEAAgAAAAg2LjUzNDE4MwEIAAAABQAAAAExAQAAAAstMTk1ODI4MTA5NwMAAAADMTYwAgAAAAE5BAAAAAEwBwAAAAg0LzEvMjAyNQgAAAAKMTIvMzEvMjAyNAkAAAABMLrRTmPBc90IVDvJlMRz3Qg0Q0lRLk5ZU0U6SUJNLklRX0JBU0lDX0VQU19JTkNMLjIwMDAuNC8xLzIwMjUuLi5VU0QuSAEAAADetgEAAgAAAAg2LjUzNDE4MwEIAAAABQAAAAExAQAAAAstMTk1ODI4MDYxNQMAAAADMTYwAgAAAAE5BAAAAAEwBwAAAAg0LzEvMjAyNQgAAAAKMTIvMzEvMjAyNAkAAAABMLrRTmPBc90InKi+lMRz3Qgz</t>
  </si>
  <si>
    <t>Q0lRLk5ZU0U6SUJNLklRX0JBU0lDX0VQU19FWENMLjk5MC40LzEvMjAyNS4uLlVTRC5IAQAAAN62AQACAAAACTE1LjY4Mzk4OAEIAAAABQAAAAExAQAAAAoxODI5OTExOTY4AwAAAAMxNjACAAAABDMwNjQEAAAAATAHAAAACDQvMS8yMDI1CAAAAAoxMi8zMS8yMDE0CQAAAAEwutFOY8Fz3QhUO8mUxHPdCDNDSVEuTllTRTpJQk0uSVFfQkFTSUNfRVBTX0VYQ0wuOTkxLjQvMS8yMDI1Li4uVVNELkgBAAAA3rYBAAIAAAAJMTMuNjU0MjI3AQgAAAAFAAAAATEBAAAACjE4NzY0MzI4NzIDAAAAAzE2MAIAAAAEMzA2NAQAAAABMAcAAAAINC8xLzIwMjUIAAAACjEyLzMxLzIwMTUJAAAAATC60U5jwXPdCFQ7yZTEc90IM0NJUS5OWVNFOklCTS5JUV9CQVNJQ19FUFNfRVhDTC45OTIuNC8xLzIwMjUuLi5VU0QuSAEAAADetgEAAgAAAAkxMi40MzUzMzUBCAAAAAUAAAABMQEAAAAKMTk0NzE3OTU4MwMAAAADMTYwAgAAAAQzMDY0BAAAAAEwBwAAAAg0LzEvMjAyNQgAAAAKMTIvMzEvMjAxNgkAAAABMLrRTmPBc90IVDvJlMRz3QgzQ0lRLk5ZU0U6SUJNLklRX0JBU0lDX0VQU19JTkNMLjk5NS40LzEvMjAyNS4uLlVTRC5IAQAAAN62AQACAAAACTEwLjYyOTY1MQEIAAAABQAAAAExAQAAAAstMjExMDc2OTM1NQMAAAADMTYwAgAAAAE5BAAAAAEwBwAAAAg0LzEvMjAyNQgAAAAKMTIvMzEvMjAxOQkAAAABMLrRTmPBc90I</t>
  </si>
  <si>
    <t>VDvJlMRz3QgzQ0lRLk5ZU0U6SUJNLklRX0JBU0lDX0VQU19JTkNMLjk5Ni40LzEvMjAyNS4uLlVTRC5IAQAAAN62AQACAAAACDYuMjc4NDM5AQgAAAAFAAAAATEBAAAACy0yMDU5MDczMjAyAwAAAAMxNjACAAAAATkEAAAAATAHAAAACDQvMS8yMDI1CAAAAAoxMi8zMS8yMDIwCQAAAAEwutFOY8Fz3QhUO8mUxHPdCDNDSVEuTllTRTpJQk0uSVFfQkFTSUNfRVBTX0lOQ0wuOTk3LjQvMS8yMDI1Li4uVVNELkgBAAAA3rYBAAIAAAAINi40MDk2NjQBCAAAAAUAAAABMQEAAAALLTIwMDg2NDcxOTgDAAAAAzE2MAIAAAABOQQAAAABMAcAAAAINC8xLzIwMjUIAAAACjEyLzMxLzIwMjEJAAAAATC60U5jwXPdCFQ7yZTEc90IM0NJUS5OWVNFOklCTS5JUV9CQVNJQ19FUFNfSU5DTC45OTguNC8xLzIwMjUuLi5VU0QuSAEAAADetgEAAgAAAAgxLjgxNTczNgEIAAAABQAAAAExAQAAAAstMTk1ODI4MTA5NgMAAAADMTYwAgAAAAE5BAAAAAEwBwAAAAg0LzEvMjAyNQgAAAAKMTIvMzEvMjAyMgkAAAABMLrRTmPBc90IVDvJlMRz3QgzQ0lRLk5ZU0U6SUJNLklRX0JBU0lDX0VQU19JTkNMLjk5OS40LzEvMjAyNS4uLlVTRC5IAQAAAN62AQACAAAACDguMjMzMDA1AQgAAAAFAAAAATEBAAAACy0xOTU4MjgxMDk1AwAAAAMxNjACAAAAATkEAAAAATAHAAAACDQvMS8yMDI1CAAAAAoxMi8zMS8yMDIzCQAAAAEwutFOY8Fz3Qj2</t>
  </si>
  <si>
    <t>C8SUxHPdCDNDSVEuTllTRTpJQk0uSVFfQkFTSUNfRVBTX0lOQ0wuOTkwLjQvMS8yMDI1Li4uVVNELkgBAAAA3rYBAAIAAAAJMTEuOTcwODUzAQgAAAAFAAAAATEBAAAACjE4Mjk5MTE5NjgDAAAAAzE2MAIAAAABOQQAAAABMAcAAAAINC8xLzIwMjUIAAAACjEyLzMxLzIwMTQJAAAAATC60U5jwXPdCFQ7yZTEc90IM0NJUS5OWVNFOklCTS5JUV9CQVNJQ19FUFNfSU5DTC45OTEuNC8xLzIwMjUuLi5VU0QuSAEAAADetgEAAgAAAAkxMy40NzY0NDgBCAAAAAUAAAABMQEAAAAKMTg3NjQzMjg3MgMAAAADMTYwAgAAAAE5BAAAAAEwBwAAAAg0LzEvMjAyNQgAAAAKMTIvMzEvMjAxNQkAAAABMLrRTmPBc90IVDvJlMRz3QgzQ0lRLk5ZU0U6SUJNLklRX0JBU0lDX0VQU19JTkNMLjk5Mi40LzEvMjAyNS4uLlVTRC5IAQAAAN62AQACAAAACTEyLjQyNTkxNQEIAAAABQAAAAExAQAAAAoxOTQ3MTc5NTgzAwAAAAMxNjACAAAAATkEAAAAATAHAAAACDQvMS8yMDI1CAAAAAoxMi8zMS8yMDE2CQAAAAEwutFOY8Fz3QhUO8mUxHPdCDNDSVEuTllTRTpJQk0uSVFfQkFTSUNfRVBTX0lOQ0wuOTkzLjQvMS8yMDI1Li4uVVNELkgBAAAA3rYBAAIAAAAINi4xNjcyNjUBCAAAAAUAAAABMQEAAAAKMjAxNzE2NDI0NAMAAAADMTYwAgAAAAE5BAAAAAEwBwAAAAg0LzEvMjAyNQgAAAAKMTIvMzEvMjAxNwkAAAABMLrRTmPBc90IVDvJ</t>
  </si>
  <si>
    <t>lMRz3QgzQ0lRLk5ZU0U6SUJNLklRX0JBU0lDX0VQU19JTkNMLjk5NC40LzEvMjAyNS4uLlVTRC5IAQAAAN62AQACAAAACDkuNTY5NjcxAQgAAAAFAAAAATEBAAAACjIwODE1MDU0MDEDAAAAAzE2MAIAAAABOQQAAAABMAcAAAAINC8xLzIwMjUIAAAACjEyLzMxLzIwMTgJAAAAATC60U5jwXPdCFQ7yZTEc90IMkNJUS5OWVNFOklCTS5JUV9OSV9BVkFJTF9FWENMLjk5Ny40LzEvMjAyNS4uLlVTRC5IAQAAAN62AQACAAAABDQ3MTMBCAAAAAUAAAABMQEAAAALLTIwMDg2NDcxOTgDAAAAAzE2MAIAAAADMzc5BAAAAAEwBwAAAAg0LzEvMjAyNQgAAAAKMTIvMzEvMjAyMQkAAAABMLrRTmPBc90IVDvJlMRz3QgyQ0lRLk5ZU0U6SUJNLklRX05JX0FWQUlMX0VYQ0wuOTk4LjQvMS8yMDI1Li4uVVNELkgBAAAA3rYBAAIAAAAEMTc4MgEIAAAABQAAAAExAQAAAAstMTk1ODI4MTA5NgMAAAADMTYwAgAAAAMzNzkEAAAAATAHAAAACDQvMS8yMDI1CAAAAAoxMi8zMS8yMDIyCQAAAAEwutFOY8Fz3QhUO8mUxHPdCDJDSVEuTllTRTpJQk0uSVFfTklfQVZBSUxfRVhDTC45OTkuNC8xLzIwMjUuLi5VU0QuSAEAAADetgEAAgAAAAQ3NTE0AQgAAAAFAAAAATEBAAAACy0xOTU4MjgxMDk1AwAAAAMxNjACAAAAAzM3OQQAAAABMAcAAAAINC8xLzIwMjUIAAAACjEyLzMxLzIwMjMJAAAAATC60U5jwXPdCPYLxJTEc90IM0NJUS5O</t>
  </si>
  <si>
    <t>WVNFOklCTS5JUV9OSV9BVkFJTF9FWENMLjEwMDAuNC8xLzIwMjUuLi5VU0QuSAEAAADetgEAAgAAAAQ2MDE1AQgAAAAFAAAAATEBAAAACy0xOTU4MjgxMDk3AwAAAAMxNjACAAAAAzM3OQQAAAABMAcAAAAINC8xLzIwMjUIAAAACjEyLzMxLzIwMjQJAAAAATC60U5jwXPdCFQ7yZTEc90IM0NJUS5OWVNFOklCTS5JUV9OSV9BVkFJTF9FWENMLjIwMDAuNC8xLzIwMjUuLi5VU0QuSAEAAADetgEAAgAAAAQ2MDE1AQgAAAAFAAAAATEBAAAACy0xOTU4MjgwNjE1AwAAAAMxNjACAAAAAzM3OQQAAAABMAcAAAAINC8xLzIwMjUIAAAACjEyLzMxLzIwMjQJAAAAATC60U5jwXPdCJyovpTEc90IMkNJUS5OWVNFOklCTS5JUV9OSV9BVkFJTF9FWENMLjk5Mi40LzEvMjAyNS4uLlVTRC5IAQAAAN62AQACAAAABTExODgxAQgAAAAFAAAAATEBAAAACjE5NDcxNzk1ODMDAAAAAzE2MAIAAAADMzc5BAAAAAEwBwAAAAg0LzEvMjAyNQgAAAAKMTIvMzEvMjAxNgkAAAABMLrRTmPBc90IB+3IlMRz3QgyQ0lRLk5ZU0U6SUJNLklRX05JX0FWQUlMX0VYQ0wuOTkzLjQvMS8yMDI1Li4uVVNELkgBAAAA3rYBAAIAAAAENTc1OAEIAAAABQAAAAExAQAAAAoyMDE3MTY0MjQ0AwAAAAMxNjACAAAAAzM3OQQAAAABMAcAAAAINC8xLzIwMjUIAAAACjEyLzMxLzIwMTcJAAAAATC60U5jwXPdCAftyJTEc90IMkNJUS5OWVNFOklCTS5JUV9O</t>
  </si>
  <si>
    <t>SV9BVkFJTF9FWENMLjk5NC40LzEvMjAyNS4uLlVTRC5IAQAAAN62AQACAAAABDg3MjMBCAAAAAUAAAABMQEAAAAKMjA4MTUwNTQwMQMAAAADMTYwAgAAAAMzNzkEAAAAATAHAAAACDQvMS8yMDI1CAAAAAoxMi8zMS8yMDE4CQAAAAEwutFOY8Fz3QgH7ciUxHPdCDJDSVEuTllTRTpJQk0uSVFfTklfQVZBSUxfRVhDTC45OTUuNC8xLzIwMjUuLi5VU0QuSAEAAADetgEAAgAAAAQ3MTQ2AQgAAAAFAAAAATEBAAAACy0yMTEwNzY5MzU1AwAAAAMxNjACAAAAAzM3OQQAAAABMAcAAAAINC8xLzIwMjUIAAAACjEyLzMxLzIwMTkJAAAAATC60U5jwXPdCAftyJTEc90IMkNJUS5OWVNFOklCTS5JUV9OSV9BVkFJTF9FWENMLjk5Ni40LzEvMjAyNS4uLlVTRC5IAQAAAN62AQACAAAABDM5MzIBCAAAAAUAAAABMQEAAAALLTIwNTkwNzMyMDIDAAAAAzE2MAIAAAADMzc5BAAAAAEwBwAAAAg0LzEvMjAyNQgAAAAKMTIvMzEvMjAyMAkAAAABMLrRTmPBc90IB+3IlMRz3QgyQ0lRLk5ZU0U6SUJNLklRX05JX0FWQUlMX0lOQ0wuOTk5LjQvMS8yMDI1Li4uVVNELkgBAAAA3rYBAAIAAAAENzUwMgEIAAAABQAAAAExAQAAAAstMTk1ODI4MTA5NQMAAAADMTYwAgAAAAIxNgQAAAABMAcAAAAINC8xLzIwMjUIAAAACjEyLzMxLzIwMjMJAAAAATC60U5jwXPdCPYLxJTEc90IM0NJUS5OWVNFOklCTS5JUV9OSV9BVkFJTF9JTkNMLjEw</t>
  </si>
  <si>
    <t>MDAuNC8xLzIwMjUuLi5VU0QuSAEAAADetgEAAgAAAAQ2MDIzAQgAAAAFAAAAATEBAAAACy0xOTU4MjgxMDk3AwAAAAMxNjACAAAAAjE2BAAAAAEwBwAAAAg0LzEvMjAyNQgAAAAKMTIvMzEvMjAyNAkAAAABMLrRTmPBc90IB+3IlMRz3QgzQ0lRLk5ZU0U6SUJNLklRX05JX0FWQUlMX0lOQ0wuMjAwMC40LzEvMjAyNS4uLlVTRC5IAQAAAN62AQACAAAABDYwMjMBCAAAAAUAAAABMQEAAAALLTE5NTgyODA2MTUDAAAAAzE2MAIAAAACMTYEAAAAATAHAAAACDQvMS8yMDI1CAAAAAoxMi8zMS8yMDI0CQAAAAEwutFOY8Fz3QicqL6UxHPdCDJDSVEuTllTRTpJQk0uSVFfTklfQVZBSUxfRVhDTC45OTAuNC8xLzIwMjUuLi5VU0QuSAEAAADetgEAAgAAAAUxNTc1MQEIAAAABQAAAAExAQAAAAoxODI5OTExOTY4AwAAAAMxNjACAAAAAzM3OQQAAAABMAcAAAAINC8xLzIwMjUIAAAACjEyLzMxLzIwMTQJAAAAATC60U5jwXPdCAftyJTEc90IMkNJUS5OWVNFOklCTS5JUV9OSV9BVkFJTF9FWENMLjk5MS40LzEvMjAyNS4uLlVTRC5IAQAAAN62AQACAAAABTEzMzY0AQgAAAAFAAAAATEBAAAACjE4NzY0MzI4NzIDAAAAAzE2MAIAAAADMzc5BAAAAAEwBwAAAAg0LzEvMjAyNQgAAAAKMTIvMzEvMjAxNQkAAAABMLrRTmPBc90IB+3IlMRz3QgyQ0lRLk5ZU0U6SUJNLklRX05JX0FWQUlMX0lOQ0wuOTk0LjQvMS8yMDI1Li4u</t>
  </si>
  <si>
    <t>VVNELkgBAAAA3rYBAAIAAAAEODcyOAEIAAAABQAAAAExAQAAAAoyMDgxNTA1NDAxAwAAAAMxNjACAAAAAjE2BAAAAAEwBwAAAAg0LzEvMjAyNQgAAAAKMTIvMzEvMjAxOAkAAAABMLrRTmPBc90IB+3IlMRz3QgyQ0lRLk5ZU0U6SUJNLklRX05JX0FWQUlMX0lOQ0wuOTk1LjQvMS8yMDI1Li4uVVNELkgBAAAA3rYBAAIAAAAEOTQzMQEIAAAABQAAAAExAQAAAAstMjExMDc2OTM1NQMAAAADMTYwAgAAAAIxNgQAAAABMAcAAAAINC8xLzIwMjUIAAAACjEyLzMxLzIwMTkJAAAAATC60U5jwXPdCAftyJTEc90IMkNJUS5OWVNFOklCTS5JUV9OSV9BVkFJTF9JTkNMLjk5Ni40LzEvMjAyNS4uLlVTRC5IAQAAAN62AQACAAAABDU1OTABCAAAAAUAAAABMQEAAAALLTIwNTkwNzMyMDIDAAAAAzE2MAIAAAACMTYEAAAAATAHAAAACDQvMS8yMDI1CAAAAAoxMi8zMS8yMDIwCQAAAAEwutFOY8Fz3QgH7ciUxHPdCDJDSVEuTllTRTpJQk0uSVFfTklfQVZBSUxfSU5DTC45OTcuNC8xLzIwMjUuLi5VU0QuSAEAAADetgEAAgAAAAQ1NzQzAQgAAAAFAAAAATEBAAAACy0yMDA4NjQ3MTk4AwAAAAMxNjACAAAAAjE2BAAAAAEwBwAAAAg0LzEvMjAyNQgAAAAKMTIvMzEvMjAyMQkAAAABMLrRTmPBc90IB+3IlMRz3QgyQ0lRLk5ZU0U6SUJNLklRX05JX0FWQUlMX0lOQ0wuOTk4LjQvMS8yMDI1Li4uVVNELkgBAAAA3rYBAAIAAAAE</t>
  </si>
  <si>
    <t>MTYzOQEIAAAABQAAAAExAQAAAAstMTk1ODI4MTA5NgMAAAADMTYwAgAAAAIxNgQAAAABMAcAAAAINC8xLzIwMjUIAAAACjEyLzMxLzIwMjIJAAAAATC60U5jwXPdCAftyJTEc90INENJUS5OWVNFOklCTS5JUV9QUkVGX0RJVl9PVEhFUi4yMDAwLjQvMS8yMDI1Li4uVVNELkgBAAAA3rYBAAMAAAAAALrRTmPBc90InKi+lMRz3QgyQ0lRLk5ZU0U6SUJNLklRX05JX0FWQUlMX0lOQ0wuOTkwLjQvMS8yMDI1Li4uVVNELkgBAAAA3rYBAAIAAAAFMTIwMjIBCAAAAAUAAAABMQEAAAAKMTgyOTkxMTk2OAMAAAADMTYwAgAAAAIxNgQAAAABMAcAAAAINC8xLzIwMjUIAAAACjEyLzMxLzIwMTQJAAAAATC60U5jwXPdCAftyJTEc90IMkNJUS5OWVNFOklCTS5JUV9OSV9BVkFJTF9JTkNMLjk5MS40LzEvMjAyNS4uLlVTRC5IAQAAAN62AQACAAAABTEzMTkwAQgAAAAFAAAAATEBAAAACjE4NzY0MzI4NzIDAAAAAzE2MAIAAAACMTYEAAAAATAHAAAACDQvMS8yMDI1CAAAAAoxMi8zMS8yMDE1CQAAAAEwutFOY8Fz3QgH7ciUxHPdCDJDSVEuTllTRTpJQk0uSVFfTklfQVZBSUxfSU5DTC45OTIuNC8xLzIwMjUuLi5VU0QuSAEAAADetgEAAgAAAAUxMTg3MgEIAAAABQAAAAExAQAAAAoxOTQ3MTc5NTgzAwAAAAMxNjACAAAAAjE2BAAAAAEwBwAAAAg0LzEvMjAyNQgAAAAKMTIvMzEvMjAxNgkAAAABMLrRTmPBc90IB+3IlMRz</t>
  </si>
  <si>
    <t>3QgyQ0lRLk5ZU0U6SUJNLklRX05JX0FWQUlMX0lOQ0wuOTkzLjQvMS8yMDI1Li4uVVNELkgBAAAA3rYBAAIAAAAENTc1MwEIAAAABQAAAAExAQAAAAoyMDE3MTY0MjQ0AwAAAAMxNjACAAAAAjE2BAAAAAEwBwAAAAg0LzEvMjAyNQgAAAAKMTIvMzEvMjAxNwkAAAABMLrRTmPBc90IB+3IlMRz3QgzQ0lRLk5ZU0U6SUJNLklRX1BSRUZfRElWX09USEVSLjk5Ni40LzEvMjAyNS4uLlVTRC5IAQAAAN62AQADAAAAAAC60U5jwXPdCAftyJTEc90IM0NJUS5OWVNFOklCTS5JUV9QUkVGX0RJVl9PVEhFUi45OTcuNC8xLzIwMjUuLi5VU0QuSAEAAADetgEAAwAAAAAAutFOY8Fz3QgH7ciUxHPdCDNDSVEuTllTRTpJQk0uSVFfUFJFRl9ESVZfT1RIRVIuOTk4LjQvMS8yMDI1Li4uVVNELkgBAAAA3rYBAAMAAAAAALrRTmPBc90IB+3IlMRz3QgzQ0lRLk5ZU0U6SUJNLklRX1BSRUZfRElWX09USEVSLjk5OS40LzEvMjAyNS4uLlVTRC5IAQAAAN62AQADAAAAAAC60U5jwXPdCPYLxJTEc90INENJUS5OWVNFOklCTS5JUV9QUkVGX0RJVl9PVEhFUi4xMDAwLjQvMS8yMDI1Li4uVVNELkgBAAAA3rYBAAMAAAAAALrRTmPBc90IB+3IlMRz3QgzQ0lRLk5ZU0U6SUJNLklRX1BSRUZfRElWX09USEVSLjk5MS40LzEvMjAyNS4uLlVTRC5IAQAAAN62AQADAAAAAAC60U5jwXPdCAftyJTEc90IM0NJUS5OWVNFOklCTS5JUV9QUkVG</t>
  </si>
  <si>
    <t>X0RJVl9PVEhFUi45OTIuNC8xLzIwMjUuLi5VU0QuSAEAAADetgEAAwAAAAAAutFOY8Fz3QgH7ciUxHPdCDNDSVEuTllTRTpJQk0uSVFfUFJFRl9ESVZfT1RIRVIuOTkzLjQvMS8yMDI1Li4uVVNELkgBAAAA3rYBAAMAAAAAALrRTmPBc90IB+3IlMRz3QgzQ0lRLk5ZU0U6SUJNLklRX1BSRUZfRElWX09USEVSLjk5NC40LzEvMjAyNS4uLlVTRC5IAQAAAN62AQADAAAAAAC60U5jwXPdCAftyJTEc90IM0NJUS5OWVNFOklCTS5JUV9QUkVGX0RJVl9PVEhFUi45OTUuNC8xLzIwMjUuLi5VU0QuSAEAAADetgEAAwAAAAAAutFOY8Fz3QgH7ciUxHPdCCdDSVEuTllTRTpJQk0uSVFfTkkuOTk4LjQvMS8yMDI1Li4uVVNELkgBAAAA3rYBAAIAAAAEMTYzOQEIAAAABQAAAAExAQAAAAstMTk1ODI4MTA5NgMAAAADMTYwAgAAAAIxNQQAAAABMAcAAAAINC8xLzIwMjUIAAAACjEyLzMxLzIwMjIJAAAAATC60U5jwXPdCAftyJTEc90IJ0NJUS5OWVNFOklCTS5JUV9OSS45OTkuNC8xLzIwMjUuLi5VU0QuSAEAAADetgEAAgAAAAQ3NTAyAQgAAAAFAAAAATEBAAAACy0xOTU4MjgxMDk1AwAAAAMxNjACAAAAAjE1BAAAAAEwBwAAAAg0LzEvMjAyNQgAAAAKMTIvMzEvMjAyMwkAAAABMLrRTmPBc90I9gvElMRz3QgoQ0lRLk5ZU0U6SUJNLklRX05JLjEwMDAuNC8xLzIwMjUuLi5VU0QuSAEAAADetgEAAgAAAAQ2MDIzAQgAAAAF</t>
  </si>
  <si>
    <t>AAAAATEBAAAACy0xOTU4MjgxMDk3AwAAAAMxNjACAAAAAjE1BAAAAAEwBwAAAAg0LzEvMjAyNQgAAAAKMTIvMzEvMjAyNAkAAAABMLrRTmPBc90IB+3IlMRz3QgoQ0lRLk5ZU0U6SUJNLklRX05JLjIwMDAuNC8xLzIwMjUuLi5VU0QuSAEAAADetgEAAgAAAAQ2MDIzAQgAAAAFAAAAATEBAAAACy0xOTU4MjgwNjE1AwAAAAMxNjACAAAAAjE1BAAAAAEwBwAAAAg0LzEvMjAyNQgAAAAKMTIvMzEvMjAyNAkAAAABMLrRTmPBc90InKi+lMRz3QgzQ0lRLk5ZU0U6SUJNLklRX1BSRUZfRElWX09USEVSLjk5MC40LzEvMjAyNS4uLlVTRC5IAQAAAN62AQADAAAAAAC60U5jwXPdCAftyJTEc90IJ0NJUS5OWVNFOklCTS5JUV9OSS45OTMuNC8xLzIwMjUuLi5VU0QuSAEAAADetgEAAgAAAAQ1NzUzAQgAAAAFAAAAATEBAAAACjIwMTcxNjQyNDQDAAAAAzE2MAIAAAACMTUEAAAAATAHAAAACDQvMS8yMDI1CAAAAAoxMi8zMS8yMDE3CQAAAAEwutFOY8Fz3QgH7ciUxHPdCCdDSVEuTllTRTpJQk0uSVFfTkkuOTk0LjQvMS8yMDI1Li4uVVNELkgBAAAA3rYBAAIAAAAEODcyOAEIAAAABQAAAAExAQAAAAoyMDgxNTA1NDAxAwAAAAMxNjACAAAAAjE1BAAAAAEwBwAAAAg0LzEvMjAyNQgAAAAKMTIvMzEvMjAxOAkAAAABMLrRTmPBc90IB+3IlMRz3QgnQ0lRLk5ZU0U6SUJNLklRX05JLjk5NS40LzEvMjAyNS4uLlVTRC5IAQAA</t>
  </si>
  <si>
    <t>AN62AQACAAAABDk0MzEBCAAAAAUAAAABMQEAAAALLTIxMTA3NjkzNTUDAAAAAzE2MAIAAAACMTUEAAAAATAHAAAACDQvMS8yMDI1CAAAAAoxMi8zMS8yMDE5CQAAAAEwutFOY8Fz3QgH7ciUxHPdCCdDSVEuTllTRTpJQk0uSVFfTkkuOTk2LjQvMS8yMDI1Li4uVVNELkgBAAAA3rYBAAIAAAAENTU5MAEIAAAABQAAAAExAQAAAAstMjA1OTA3MzIwMgMAAAADMTYwAgAAAAIxNQQAAAABMAcAAAAINC8xLzIwMjUIAAAACjEyLzMxLzIwMjAJAAAAATC60U5jwXPdCAftyJTEc90IJ0NJUS5OWVNFOklCTS5JUV9OSS45OTcuNC8xLzIwMjUuLi5VU0QuSAEAAADetgEAAgAAAAQ1NzQzAQgAAAAFAAAAATEBAAAACy0yMDA4NjQ3MTk4AwAAAAMxNjACAAAAAjE1BAAAAAEwBwAAAAg0LzEvMjAyNQgAAAAKMTIvMzEvMjAyMQkAAAABMLrRTmPBc90IB+3IlMRz3Qg6Q0lRLk5ZU0U6SUJNLklRX01JTk9SSVRZX0lOVEVSRVNUX0lTLjEwMDAuNC8xLzIwMjUuLi5VU0QuSAEAAADetgEAAwAAAAAAutFOY8Fz3QgH7ciUxHPdCDpDSVEuTllTRTpJQk0uSVFfTUlOT1JJVFlfSU5URVJFU1RfSVMuMjAwMC40LzEvMjAyNS4uLlVTRC5IAQAAAN62AQADAAAAAAC60U5jwXPdCJyovpTEc90IJ0NJUS5OWVNFOklCTS5JUV9OSS45OTAuNC8xLzIwMjUuLi5VU0QuSAEAAADetgEAAgAAAAUxMjAyMgEIAAAABQAAAAExAQAAAAoxODI5OTEx</t>
  </si>
  <si>
    <t>OTY4AwAAAAMxNjACAAAAAjE1BAAAAAEwBwAAAAg0LzEvMjAyNQgAAAAKMTIvMzEvMjAxNAkAAAABMLrRTmPBc90Iup7IlMRz3QgnQ0lRLk5ZU0U6SUJNLklRX05JLjk5MS40LzEvMjAyNS4uLlVTRC5IAQAAAN62AQACAAAABTEzMTkwAQgAAAAFAAAAATEBAAAACjE4NzY0MzI4NzIDAAAAAzE2MAIAAAACMTUEAAAAATAHAAAACDQvMS8yMDI1CAAAAAoxMi8zMS8yMDE1CQAAAAEwutFOY8Fz3Qi6nsiUxHPdCCdDSVEuTllTRTpJQk0uSVFfTkkuOTkyLjQvMS8yMDI1Li4uVVNELkgBAAAA3rYBAAIAAAAFMTE4NzIBCAAAAAUAAAABMQEAAAAKMTk0NzE3OTU4MwMAAAADMTYwAgAAAAIxNQQAAAABMAcAAAAINC8xLzIwMjUIAAAACjEyLzMxLzIwMTYJAAAAATC60U5jwXPdCLqeyJTEc90IOUNJUS5OWVNFOklCTS5JUV9NSU5PUklUWV9JTlRFUkVTVF9JUy45OTUuNC8xLzIwMjUuLi5VU0QuSAEAAADetgEAAwAAAAAAutFOY8Fz3QgH7ciUxHPdCDlDSVEuTllTRTpJQk0uSVFfTUlOT1JJVFlfSU5URVJFU1RfSVMuOTk2LjQvMS8yMDI1Li4uVVNELkgBAAAA3rYBAAMAAAAAALrRTmPBc90IB+3IlMRz3Qg5Q0lRLk5ZU0U6SUJNLklRX01JTk9SSVRZX0lOVEVSRVNUX0lTLjk5Ny40LzEvMjAyNS4uLlVTRC5IAQAAAN62AQADAAAAAAC60U5jwXPdCLqeyJTEc90IOUNJUS5OWVNFOklCTS5JUV9NSU5PUklUWV9JTlRFUkVT</t>
  </si>
  <si>
    <t>VF9JUy45OTguNC8xLzIwMjUuLi5VU0QuSAEAAADetgEAAwAAAAAAutFOY8Fz3Qi6nsiUxHPdCDlDSVEuTllTRTpJQk0uSVFfTUlOT1JJVFlfSU5URVJFU1RfSVMuOTk5LjQvMS8yMDI1Li4uVVNELkgBAAAA3rYBAAMAAAAAALrRTmPBc90IuyHElMRz3Qg5Q0lRLk5ZU0U6SUJNLklRX01JTk9SSVRZX0lOVEVSRVNUX0lTLjk5MC40LzEvMjAyNS4uLlVTRC5IAQAAAN62AQADAAAAAAC60U5jwXPdCLqeyJTEc90IOUNJUS5OWVNFOklCTS5JUV9NSU5PUklUWV9JTlRFUkVTVF9JUy45OTEuNC8xLzIwMjUuLi5VU0QuSAEAAADetgEAAwAAAAAAutFOY8Fz3Qi6nsiUxHPdCDlDSVEuTllTRTpJQk0uSVFfTUlOT1JJVFlfSU5URVJFU1RfSVMuOTkyLjQvMS8yMDI1Li4uVVNELkgBAAAA3rYBAAMAAAAAALrRTmPBc90Iup7IlMRz3Qg5Q0lRLk5ZU0U6SUJNLklRX01JTk9SSVRZX0lOVEVSRVNUX0lTLjk5My40LzEvMjAyNS4uLlVTRC5IAQAAAN62AQADAAAAAAC60U5jwXPdCLqeyJTEc90IOUNJUS5OWVNFOklCTS5JUV9NSU5PUklUWV9JTlRFUkVTVF9JUy45OTQuNC8xLzIwMjUuLi5VU0QuSAEAAADetgEAAwAAAAAAutFOY8Fz3Qi6nsiUxHPdCC9DSVEuTllTRTpJQk0uSVFfTklfQ09NUEFOWS45OTcuNC8xLzIwMjUuLi5VU0QuSAEAAADetgEAAgAAAAQ1NzQzAQgAAAAFAAAAATEBAAAACy0yMDA4NjQ3MTk4AwAAAAMx</t>
  </si>
  <si>
    <t>NjACAAAABTQxNTcxBAAAAAEwBwAAAAg0LzEvMjAyNQgAAAAKMTIvMzEvMjAyMQkAAAABMLrRTmPBc90Iup7IlMRz3QgvQ0lRLk5ZU0U6SUJNLklRX05JX0NPTVBBTlkuOTk4LjQvMS8yMDI1Li4uVVNELkgBAAAA3rYBAAIAAAAEMTYzOQEIAAAABQAAAAExAQAAAAstMTk1ODI4MTA5NgMAAAADMTYwAgAAAAU0MTU3MQQAAAABMAcAAAAINC8xLzIwMjUIAAAACjEyLzMxLzIwMjIJAAAAATC60U5jwXPdCLqeyJTEc90IL0NJUS5OWVNFOklCTS5JUV9OSV9DT01QQU5ZLjk5OS40LzEvMjAyNS4uLlVTRC5IAQAAAN62AQACAAAABDc1MDIBCAAAAAUAAAABMQEAAAALLTE5NTgyODEwOTUDAAAAAzE2MAIAAAAFNDE1NzEEAAAAATAHAAAACDQvMS8yMDI1CAAAAAoxMi8zMS8yMDIzCQAAAAEwutFOY8Fz3Qi7IcSUxHPdCDBDSVEuTllTRTpJQk0uSVFfTklfQ09NUEFOWS4xMDAwLjQvMS8yMDI1Li4uVVNELkgBAAAA3rYBAAIAAAAENjAyMwEIAAAABQAAAAExAQAAAAstMTk1ODI4MTA5NwMAAAADMTYwAgAAAAU0MTU3MQQAAAABMAcAAAAINC8xLzIwMjUIAAAACjEyLzMxLzIwMjQJAAAAATC60U5jwXPdCLqeyJTEc90IMENJUS5OWVNFOklCTS5JUV9OSV9DT01QQU5ZLjIwMDAuNC8xLzIwMjUuLi5VU0QuSAEAAADetgEAAgAAAAQ2MDIzAQgAAAAFAAAAATEBAAAACy0xOTU4MjgwNjE1AwAAAAMxNjACAAAABTQxNTcxBAAA</t>
  </si>
  <si>
    <t>AAEwBwAAAAg0LzEvMjAyNQgAAAAKMTIvMzEvMjAyNAkAAAABMLrRTmPBc90InKi+lMRz3QgvQ0lRLk5ZU0U6SUJNLklRX05JX0NPTVBBTlkuOTkyLjQvMS8yMDI1Li4uVVNELkgBAAAA3rYBAAIAAAAFMTE4NzIBCAAAAAUAAAABMQEAAAAKMTk0NzE3OTU4MwMAAAADMTYwAgAAAAU0MTU3MQQAAAABMAcAAAAINC8xLzIwMjUIAAAACjEyLzMxLzIwMTYJAAAAATC60U5jwXPdCLqeyJTEc90IL0NJUS5OWVNFOklCTS5JUV9OSV9DT01QQU5ZLjk5My40LzEvMjAyNS4uLlVTRC5IAQAAAN62AQACAAAABDU3NTMBCAAAAAUAAAABMQEAAAAKMjAxNzE2NDI0NAMAAAADMTYwAgAAAAU0MTU3MQQAAAABMAcAAAAINC8xLzIwMjUIAAAACjEyLzMxLzIwMTcJAAAAATC60U5jwXPdCLqeyJTEc90IL0NJUS5OWVNFOklCTS5JUV9OSV9DT01QQU5ZLjk5NC40LzEvMjAyNS4uLlVTRC5IAQAAAN62AQACAAAABDg3MjgBCAAAAAUAAAABMQEAAAAKMjA4MTUwNTQwMQMAAAADMTYwAgAAAAU0MTU3MQQAAAABMAcAAAAINC8xLzIwMjUIAAAACjEyLzMxLzIwMTgJAAAAATC60U5jwXPdCLqeyJTEc90IL0NJUS5OWVNFOklCTS5JUV9OSV9DT01QQU5ZLjk5NS40LzEvMjAyNS4uLlVTRC5IAQAAAN62AQACAAAABDk0MzEBCAAAAAUAAAABMQEAAAALLTIxMTA3NjkzNTUDAAAAAzE2MAIAAAAFNDE1NzEEAAAAATAHAAAACDQvMS8yMDI1CAAA</t>
  </si>
  <si>
    <t>AAoxMi8zMS8yMDE5CQAAAAEwutFOY8Fz3Qi6nsiUxHPdCC9DSVEuTllTRTpJQk0uSVFfTklfQ09NUEFOWS45OTYuNC8xLzIwMjUuLi5VU0QuSAEAAADetgEAAgAAAAQ1NTkwAQgAAAAFAAAAATEBAAAACy0yMDU5MDczMjAyAwAAAAMxNjACAAAABTQxNTcxBAAAAAEwBwAAAAg0LzEvMjAyNQgAAAAKMTIvMzEvMjAyMAkAAAABMLrRTmPBc90Iup7IlMRz3Qg0Q0lRLk5ZU0U6SUJNLklRX0VYVFJBX0FDQ19JVEVNUy45OTkuNC8xLzIwMjUuLi5VU0QuSAEAAADetgEAAwAAAAAAutFOY8Fz3Qi7IcSUxHPdCDVDSVEuTllTRTpJQk0uSVFfRVhUUkFfQUNDX0lURU1TLjEwMDAuNC8xLzIwMjUuLi5VU0QuSAEAAADetgEAAwAAAAAAutFOY8Fz3Qi6nsiUxHPdCDVDSVEuTllTRTpJQk0uSVFfRVhUUkFfQUNDX0lURU1TLjIwMDAuNC8xLzIwMjUuLi5VU0QuSAEAAADetgEAAwAAAAAAutFOY8Fz3QicqL6UxHPdCC9DSVEuTllTRTpJQk0uSVFfTklfQ09NUEFOWS45OTAuNC8xLzIwMjUuLi5VU0QuSAEAAADetgEAAgAAAAUxMjAyMgEIAAAABQAAAAExAQAAAAoxODI5OTExOTY4AwAAAAMxNjACAAAABTQxNTcxBAAAAAEwBwAAAAg0LzEvMjAyNQgAAAAKMTIvMzEvMjAxNAkAAAABMLrRTmPBc90Iup7IlMRz3QgvQ0lRLk5ZU0U6SUJNLklRX05JX0NPTVBBTlkuOTkxLjQvMS8yMDI1Li4uVVNELkgBAAAA3rYBAAIAAAAFMTMx</t>
  </si>
  <si>
    <t>OTABCAAAAAUAAAABMQEAAAAKMTg3NjQzMjg3MgMAAAADMTYwAgAAAAU0MTU3MQQAAAABMAcAAAAINC8xLzIwMjUIAAAACjEyLzMxLzIwMTUJAAAAATC60U5jwXPdCLqeyJTEc90INENJUS5OWVNFOklCTS5JUV9FWFRSQV9BQ0NfSVRFTVMuOTk0LjQvMS8yMDI1Li4uVVNELkgBAAAA3rYBAAMAAAAAALrRTmPBc90Iup7IlMRz3Qg0Q0lRLk5ZU0U6SUJNLklRX0VYVFJBX0FDQ19JVEVNUy45OTUuNC8xLzIwMjUuLi5VU0QuSAEAAADetgEAAwAAAAAAutFOY8Fz3Qi6nsiUxHPdCDRDSVEuTllTRTpJQk0uSVFfRVhUUkFfQUNDX0lURU1TLjk5Ni40LzEvMjAyNS4uLlVTRC5IAQAAAN62AQADAAAAAAC60U5jwXPdCLqeyJTEc90INENJUS5OWVNFOklCTS5JUV9FWFRSQV9BQ0NfSVRFTVMuOTk3LjQvMS8yMDI1Li4uVVNELkgBAAAA3rYBAAMAAAAAALrRTmPBc90Iup7IlMRz3Qg0Q0lRLk5ZU0U6SUJNLklRX0VYVFJBX0FDQ19JVEVNUy45OTguNC8xLzIwMjUuLi5VU0QuSAEAAADetgEAAwAAAAAAutFOY8Fz3Qi6nsiUxHPdCChDSVEuTllTRTpJQk0uSVFfRE8uMjAwMC40LzEvMjAyNS4uLlVTRC5IAQAAAN62AQACAAAAATgBCAAAAAUAAAABMQEAAAALLTE5NTgyODA2MTUDAAAAAzE2MAIAAAACNDAEAAAAATAHAAAACDQvMS8yMDI1CAAAAAoxMi8zMS8yMDI0CQAAAAEwutFOY8Fz3QicqL6UxHPdCDRDSVEuTllTRTpJ</t>
  </si>
  <si>
    <t>Qk0uSVFfRVhUUkFfQUNDX0lURU1TLjk5MC40LzEvMjAyNS4uLlVTRC5IAQAAAN62AQADAAAAAAC60U5jwXPdCLqeyJTEc90INENJUS5OWVNFOklCTS5JUV9FWFRSQV9BQ0NfSVRFTVMuOTkxLjQvMS8yMDI1Li4uVVNELkgBAAAA3rYBAAMAAAAAALrRTmPBc90Iup7IlMRz3Qg0Q0lRLk5ZU0U6SUJNLklRX0VYVFJBX0FDQ19JVEVNUy45OTIuNC8xLzIwMjUuLi5VU0QuSAEAAADetgEAAwAAAAAAutFOY8Fz3Qi6nsiUxHPdCDRDSVEuTllTRTpJQk0uSVFfRVhUUkFfQUNDX0lURU1TLjk5My40LzEvMjAyNS4uLlVTRC5IAQAAAN62AQADAAAAAAC60U5jwXPdCLqeyJTEc90IJ0NJUS5OWVNFOklCTS5JUV9ETy45OTYuNC8xLzIwMjUuLi5VU0QuSAEAAADetgEAAgAAAAQxNjU4AQgAAAAFAAAAATEBAAAACy0yMDU5MDczMjAyAwAAAAMxNjACAAAAAjQwBAAAAAEwBwAAAAg0LzEvMjAyNQgAAAAKMTIvMzEvMjAyMAkAAAABMLrRTmPBc90Iup7IlMRz3QgnQ0lRLk5ZU0U6SUJNLklRX0RPLjk5Ny40LzEvMjAyNS4uLlVTRC5IAQAAAN62AQACAAAABDEwMzABCAAAAAUAAAABMQEAAAALLTIwMDg2NDcxOTgDAAAAAzE2MAIAAAACNDAEAAAAATAHAAAACDQvMS8yMDI1CAAAAAoxMi8zMS8yMDIxCQAAAAEwutFOY8Fz3Qi6nsiUxHPdCCdDSVEuTllTRTpJQk0uSVFfRE8uOTk4LjQvMS8yMDI1Li4uVVNELkgBAAAA3rYBAAIA</t>
  </si>
  <si>
    <t>AAAELTE0MwEIAAAABQAAAAExAQAAAAstMTk1ODI4MTA5NgMAAAADMTYwAgAAAAI0MAQAAAABMAcAAAAINC8xLzIwMjUIAAAACjEyLzMxLzIwMjIJAAAAATC60U5jwXPdCLqeyJTEc90IJ0NJUS5OWVNFOklCTS5JUV9ETy45OTkuNC8xLzIwMjUuLi5VU0QuSAEAAADetgEAAgAAAAMtMTIBCAAAAAUAAAABMQEAAAALLTE5NTgyODEwOTUDAAAAAzE2MAIAAAACNDAEAAAAATAHAAAACDQvMS8yMDI1CAAAAAoxMi8zMS8yMDIzCQAAAAEwutFOY8Fz3Qi7IcSUxHPdCChDSVEuTllTRTpJQk0uSVFfRE8uMTAwMC40LzEvMjAyNS4uLlVTRC5IAQAAAN62AQACAAAAATgBCAAAAAUAAAABMQEAAAALLTE5NTgyODEwOTcDAAAAAzE2MAIAAAACNDAEAAAAATAHAAAACDQvMS8yMDI1CAAAAAoxMi8zMS8yMDI0CQAAAAEwutFOY8Fz3QhfUMiUxHPdCCdDSVEuTllTRTpJQk0uSVFfRE8uOTkxLjQvMS8yMDI1Li4uVVNELkgBAAAA3rYBAAIAAAAELTE3NAEIAAAABQAAAAExAQAAAAoxODc2NDMyODcyAwAAAAMxNjACAAAAAjQwBAAAAAEwBwAAAAg0LzEvMjAyNQgAAAAKMTIvMzEvMjAxNQkAAAABMLrRTmPBc90Iup7IlMRz3QgnQ0lRLk5ZU0U6SUJNLklRX0RPLjk5Mi40LzEvMjAyNS4uLlVTRC5IAQAAAN62AQACAAAAAi05AQgAAAAFAAAAATEBAAAACjE5NDcxNzk1ODMDAAAAAzE2MAIAAAACNDAEAAAAATAHAAAACDQvMS8yMDI1</t>
  </si>
  <si>
    <t>CAAAAAoxMi8zMS8yMDE2CQAAAAEwutFOY8Fz3Qi6nsiUxHPdCCdDSVEuTllTRTpJQk0uSVFfRE8uOTkzLjQvMS8yMDI1Li4uVVNELkgBAAAA3rYBAAIAAAACLTUBCAAAAAUAAAABMQEAAAAKMjAxNzE2NDI0NAMAAAADMTYwAgAAAAI0MAQAAAABMAcAAAAINC8xLzIwMjUIAAAACjEyLzMxLzIwMTcJAAAAATC60U5jwXPdCLqeyJTEc90IJ0NJUS5OWVNFOklCTS5JUV9ETy45OTQuNC8xLzIwMjUuLi5VU0QuSAEAAADetgEAAgAAAAE1AQgAAAAFAAAAATEBAAAACjIwODE1MDU0MDEDAAAAAzE2MAIAAAACNDAEAAAAATAHAAAACDQvMS8yMDI1CAAAAAoxMi8zMS8yMDE4CQAAAAEwutFOY8Fz3Qi6nsiUxHPdCCdDSVEuTllTRTpJQk0uSVFfRE8uOTk1LjQvMS8yMDI1Li4uVVNELkgBAAAA3rYBAAIAAAAEMjI4NQEIAAAABQAAAAExAQAAAAstMjExMDc2OTM1NQMAAAADMTYwAgAAAAI0MAQAAAABMAcAAAAINC8xLzIwMjUIAAAACjEyLzMxLzIwMTkJAAAAATC60U5jwXPdCF9QyJTEc90IL0NJUS5OWVNFOklCTS5JUV9FQVJOSU5HX0NPLjk5OC40LzEvMjAyNS4uLlVTRC5IAQAAAN62AQACAAAABDE3ODIBCAAAAAUAAAABMQEAAAALLTE5NTgyODEwOTYDAAAAAzE2MAIAAAABNwQAAAABMAcAAAAINC8xLzIwMjUIAAAACjEyLzMxLzIwMjIJAAAAATC60U5jwXPdCF9QyJTEc90IL0NJUS5OWVNFOklCTS5JUV9FQVJOSU5H</t>
  </si>
  <si>
    <t>X0NPLjk5OS40LzEvMjAyNS4uLlVTRC5IAQAAAN62AQACAAAABDc1MTQBCAAAAAUAAAABMQEAAAALLTE5NTgyODEwOTUDAAAAAzE2MAIAAAABNwQAAAABMAcAAAAINC8xLzIwMjUIAAAACjEyLzMxLzIwMjMJAAAAATC60U5jwXPdCPYLxJTEc90IMENJUS5OWVNFOklCTS5JUV9FQVJOSU5HX0NPLjEwMDAuNC8xLzIwMjUuLi5VU0QuSAEAAADetgEAAgAAAAQ2MDE1AQgAAAAFAAAAATEBAAAACy0xOTU4MjgxMDk3AwAAAAMxNjACAAAAATcEAAAAATAHAAAACDQvMS8yMDI1CAAAAAoxMi8zMS8yMDI0CQAAAAEwutFOY8Fz3QhfUMiUxHPdCDBDSVEuTllTRTpJQk0uSVFfRUFSTklOR19DTy4yMDAwLjQvMS8yMDI1Li4uVVNELkgBAAAA3rYBAAIAAAAENjAxNQEIAAAABQAAAAExAQAAAAstMTk1ODI4MDYxNQMAAAADMTYwAgAAAAE3BAAAAAEwBwAAAAg0LzEvMjAyNQgAAAAKMTIvMzEvMjAyNAkAAAABMLrRTmPBc90InKi+lMRz3QgnQ0lRLk5ZU0U6SUJNLklRX0RPLjk5MC40LzEvMjAyNS4uLlVTRC5IAQAAAN62AQACAAAABS0zNzI5AQgAAAAFAAAAATEBAAAACjE4Mjk5MTE5NjgDAAAAAzE2MAIAAAACNDAEAAAAATAHAAAACDQvMS8yMDI1CAAAAAoxMi8zMS8yMDE0CQAAAAEwutFOY8Fz3QhfUMiUxHPdCC9DSVEuTllTRTpJQk0uSVFfRUFSTklOR19DTy45OTMuNC8xLzIwMjUuLi5VU0QuSAEAAADetgEAAgAAAAQ1</t>
  </si>
  <si>
    <t>NzU4AQgAAAAFAAAAATEBAAAACjIwMTcxNjQyNDQDAAAAAzE2MAIAAAABNwQAAAABMAcAAAAINC8xLzIwMjUIAAAACjEyLzMxLzIwMTcJAAAAATC60U5jwXPdCF9QyJTEc90IL0NJUS5OWVNFOklCTS5JUV9FQVJOSU5HX0NPLjk5NC40LzEvMjAyNS4uLlVTRC5IAQAAAN62AQACAAAABDg3MjMBCAAAAAUAAAABMQEAAAAKMjA4MTUwNTQwMQMAAAADMTYwAgAAAAE3BAAAAAEwBwAAAAg0LzEvMjAyNQgAAAAKMTIvMzEvMjAxOAkAAAABMLrRTmPBc90IX1DIlMRz3QgvQ0lRLk5ZU0U6SUJNLklRX0VBUk5JTkdfQ08uOTk1LjQvMS8yMDI1Li4uVVNELkgBAAAA3rYBAAIAAAAENzE0NgEIAAAABQAAAAExAQAAAAstMjExMDc2OTM1NQMAAAADMTYwAgAAAAE3BAAAAAEwBwAAAAg0LzEvMjAyNQgAAAAKMTIvMzEvMjAxOQkAAAABMLrRTmPBc90IX1DIlMRz3QgvQ0lRLk5ZU0U6SUJNLklRX0VBUk5JTkdfQ08uOTk2LjQvMS8yMDI1Li4uVVNELkgBAAAA3rYBAAIAAAAEMzkzMgEIAAAABQAAAAExAQAAAAstMjA1OTA3MzIwMgMAAAADMTYwAgAAAAE3BAAAAAEwBwAAAAg0LzEvMjAyNQgAAAAKMTIvMzEvMjAyMAkAAAABMLrRTmPBc90IX1DIlMRz3QgvQ0lRLk5ZU0U6SUJNLklRX0VBUk5JTkdfQ08uOTk3LjQvMS8yMDI1Li4uVVNELkgBAAAA3rYBAAIAAAAENDcxMwEIAAAABQAAAAExAQAAAAstMjAwODY0NzE5OAMAAAAD</t>
  </si>
  <si>
    <t>MTYwAgAAAAE3BAAAAAEwBwAAAAg0LzEvMjAyNQgAAAAKMTIvMzEvMjAyMQkAAAABMLrRTmPBc90IX1DIlMRz3QgtQ0lRLk5ZU0U6SUJNLklRX0lOQ19UQVguMTAwMC40LzEvMjAyNS4uLlVTRC5IAQAAAN62AQACAAAABC0yMTgBCAAAAAUAAAABMQEAAAALLTE5NTgyODEwOTcDAAAAAzE2MAIAAAACNzUEAAAAATAHAAAACDQvMS8yMDI1CAAAAAoxMi8zMS8yMDI0CQAAAAEwutFOY8Fz3QhfUMiUxHPdCC1DSVEuTllTRTpJQk0uSVFfSU5DX1RBWC4yMDAwLjQvMS8yMDI1Li4uVVNELkgBAAAA3rYBAAIAAAAELTIxOAEIAAAABQAAAAExAQAAAAstMTk1ODI4MDYxNQMAAAADMTYwAgAAAAI3NQQAAAABMAcAAAAINC8xLzIwMjUIAAAACjEyLzMxLzIwMjQJAAAAATC60U5jwXPdCJyovpTEc90IL0NJUS5OWVNFOklCTS5JUV9FQVJOSU5HX0NPLjk5MC40LzEvMjAyNS4uLlVTRC5IAQAAAN62AQACAAAABTE1NzUxAQgAAAAFAAAAATEBAAAACjE4Mjk5MTE5NjgDAAAAAzE2MAIAAAABNwQAAAABMAcAAAAINC8xLzIwMjUIAAAACjEyLzMxLzIwMTQJAAAAATC60U5jwXPdCF9QyJTEc90IL0NJUS5OWVNFOklCTS5JUV9FQVJOSU5HX0NPLjk5MS40LzEvMjAyNS4uLlVTRC5IAQAAAN62AQACAAAABTEzMzY0AQgAAAAFAAAAATEBAAAACjE4NzY0MzI4NzIDAAAAAzE2MAIAAAABNwQAAAABMAcAAAAINC8xLzIwMjUIAAAACjEy</t>
  </si>
  <si>
    <t>LzMxLzIwMTUJAAAAATC60U5jwXPdCF9QyJTEc90IL0NJUS5OWVNFOklCTS5JUV9FQVJOSU5HX0NPLjk5Mi40LzEvMjAyNS4uLlVTRC5IAQAAAN62AQACAAAABTExODgxAQgAAAAFAAAAATEBAAAACjE5NDcxNzk1ODMDAAAAAzE2MAIAAAABNwQAAAABMAcAAAAINC8xLzIwMjUIAAAACjEyLzMxLzIwMTYJAAAAATC60U5jwXPdCF9QyJTEc90ILENJUS5OWVNFOklCTS5JUV9JTkNfVEFYLjk5NS40LzEvMjAyNS4uLlVTRC5IAQAAAN62AQACAAAAAjYwAQgAAAAFAAAAATEBAAAACy0yMTEwNzY5MzU1AwAAAAMxNjACAAAAAjc1BAAAAAEwBwAAAAg0LzEvMjAyNQgAAAAKMTIvMzEvMjAxOQkAAAABMLrRTmPBc90IX1DIlMRz3QgsQ0lRLk5ZU0U6SUJNLklRX0lOQ19UQVguOTk2LjQvMS8yMDI1Li4uVVNELkgBAAAA3rYBAAIAAAAFLTEzNjABCAAAAAUAAAABMQEAAAALLTIwNTkwNzMyMDIDAAAAAzE2MAIAAAACNzUEAAAAATAHAAAACDQvMS8yMDI1CAAAAAoxMi8zMS8yMDIwCQAAAAEwutFOY8Fz3QhfUMiUxHPdCCxDSVEuTllTRTpJQk0uSVFfSU5DX1RBWC45OTcuNC8xLzIwMjUuLi5VU0QuSAEAAADetgEAAgAAAAMxMjQBCAAAAAUAAAABMQEAAAALLTIwMDg2NDcxOTgDAAAAAzE2MAIAAAACNzUEAAAAATAHAAAACDQvMS8yMDI1CAAAAAoxMi8zMS8yMDIxCQAAAAEwutFOY8Fz3QhfUMiUxHPdCCxDSVEuTllTRTpJ</t>
  </si>
  <si>
    <t>Qk0uSVFfSU5DX1RBWC45OTguNC8xLzIwMjUuLi5VU0QuSAEAAADetgEAAgAAAAQtNjI2AQgAAAAFAAAAATEBAAAACy0xOTU4MjgxMDk2AwAAAAMxNjACAAAAAjc1BAAAAAEwBwAAAAg0LzEvMjAyNQgAAAAKMTIvMzEvMjAyMgkAAAABMLrRTmPBc90IX1DIlMRz3QgsQ0lRLk5ZU0U6SUJNLklRX0lOQ19UQVguOTk5LjQvMS8yMDI1Li4uVVNELkgBAAAA3rYBAAIAAAAEMTE3NgEIAAAABQAAAAExAQAAAAstMTk1ODI4MTA5NQMAAAADMTYwAgAAAAI3NQQAAAABMAcAAAAINC8xLzIwMjUIAAAACjEyLzMxLzIwMjMJAAAAATC60U5jwXPdCPYLxJTEc90ILENJUS5OWVNFOklCTS5JUV9JTkNfVEFYLjk5MC40LzEvMjAyNS4uLlVTRC5IAQAAAN62AQACAAAABDQyMzQBCAAAAAUAAAABMQEAAAAKMTgyOTkxMTk2OAMAAAADMTYwAgAAAAI3NQQAAAABMAcAAAAINC8xLzIwMjUIAAAACjEyLzMxLzIwMTQJAAAAATC60U5jwXPdCF9QyJTEc90ILENJUS5OWVNFOklCTS5JUV9JTkNfVEFYLjk5MS40LzEvMjAyNS4uLlVTRC5IAQAAAN62AQACAAAABDI1ODEBCAAAAAUAAAABMQEAAAAKMTg3NjQzMjg3MgMAAAADMTYwAgAAAAI3NQQAAAABMAcAAAAINC8xLzIwMjUIAAAACjEyLzMxLzIwMTUJAAAAATC60U5jwXPdCF9QyJTEc90ILENJUS5OWVNFOklCTS5JUV9JTkNfVEFYLjk5Mi40LzEvMjAyNS4uLlVTRC5IAQAAAN62AQAC</t>
  </si>
  <si>
    <t>AAAAAzQ0OQEIAAAABQAAAAExAQAAAAoxOTQ3MTc5NTgzAwAAAAMxNjACAAAAAjc1BAAAAAEwBwAAAAg0LzEvMjAyNQgAAAAKMTIvMzEvMjAxNgkAAAABMLrRTmPBc90IX1DIlMRz3QgsQ0lRLk5ZU0U6SUJNLklRX0lOQ19UQVguOTkzLjQvMS8yMDI1Li4uVVNELkgBAAAA3rYBAAIAAAAENTY0MgEIAAAABQAAAAExAQAAAAoyMDE3MTY0MjQ0AwAAAAMxNjACAAAAAjc1BAAAAAEwBwAAAAg0LzEvMjAyNQgAAAAKMTIvMzEvMjAxNwkAAAABMLrRTmPBc90IX1DIlMRz3QgsQ0lRLk5ZU0U6SUJNLklRX0lOQ19UQVguOTk0LjQvMS8yMDI1Li4uVVNELkgBAAAA3rYBAAIAAAAEMjYxOQEIAAAABQAAAAExAQAAAAoyMDgxNTA1NDAxAwAAAAMxNjACAAAAAjc1BAAAAAEwBwAAAAg0LzEvMjAyNQgAAAAKMTIvMzEvMjAxOAkAAAABMLrRTmPBc90IX1DIlMRz3QgoQ0lRLk5ZU0U6SUJNLklRX0VCVC45OTcuNC8xLzIwMjUuLi5VU0QuSAEAAADetgEAAgAAAAQ0ODM3AQgAAAAFAAAAATEBAAAACy0yMDA4NjQ3MTk4AwAAAAMxNjACAAAAAzEzOQQAAAABMAcAAAAINC8xLzIwMjUIAAAACjEyLzMxLzIwMjEJAAAAATC60U5jwXPdCF9QyJTEc90IKENJUS5OWVNFOklCTS5JUV9FQlQuOTk4LjQvMS8yMDI1Li4uVVNELkgBAAAA3rYBAAIAAAAEMTE1NgEIAAAABQAAAAExAQAAAAstMTk1ODI4MTA5NgMAAAADMTYwAgAAAAMxMzkE</t>
  </si>
  <si>
    <t>AAAAATAHAAAACDQvMS8yMDI1CAAAAAoxMi8zMS8yMDIyCQAAAAEwutFOY8Fz3QhfUMiUxHPdCChDSVEuTllTRTpJQk0uSVFfRUJULjk5OS40LzEvMjAyNS4uLlVTRC5IAQAAAN62AQACAAAABDg2OTABCAAAAAUAAAABMQEAAAALLTE5NTgyODEwOTUDAAAAAzE2MAIAAAADMTM5BAAAAAEwBwAAAAg0LzEvMjAyNQgAAAAKMTIvMzEvMjAyMwkAAAABMLrRTmPBc90IuyHElMRz3QgpQ0lRLk5ZU0U6SUJNLklRX0VCVC4xMDAwLjQvMS8yMDI1Li4uVVNELkgBAAAA3rYBAAIAAAAENTc5NwEIAAAABQAAAAExAQAAAAstMTk1ODI4MTA5NwMAAAADMTYwAgAAAAMxMzkEAAAAATAHAAAACDQvMS8yMDI1CAAAAAoxMi8zMS8yMDI0CQAAAAEwutFOY8Fz3QhfUMiUxHPdCClDSVEuTllTRTpJQk0uSVFfRUJULjIwMDAuNC8xLzIwMjUuLi5VU0QuSAEAAADetgEAAgAAAAQ1Nzk3AQgAAAAFAAAAATEBAAAACy0xOTU4MjgwNjE1AwAAAAMxNjACAAAAAzEzOQQAAAABMAcAAAAINC8xLzIwMjUIAAAACjEyLzMxLzIwMjQJAAAAATC60U5jwXPdCJyovpTEc90IKENJUS5OWVNFOklCTS5JUV9FQlQuOTkyLjQvMS8yMDI1Li4uVVNELkgBAAAA3rYBAAIAAAAFMTIzMzABCAAAAAUAAAABMQEAAAAKMTk0NzE3OTU4MwMAAAADMTYwAgAAAAMxMzkEAAAAATAHAAAACDQvMS8yMDI1CAAAAAoxMi8zMS8yMDE2CQAAAAEwutFOY8Fz3QhfUMiU</t>
  </si>
  <si>
    <t>xHPdCChDSVEuTllTRTpJQk0uSVFfRUJULjk5My40LzEvMjAyNS4uLlVTRC5IAQAAAN62AQACAAAABTExNDAwAQgAAAAFAAAAATEBAAAACjIwMTcxNjQyNDQDAAAAAzE2MAIAAAADMTM5BAAAAAEwBwAAAAg0LzEvMjAyNQgAAAAKMTIvMzEvMjAxNwkAAAABMLrRTmPBc90IX1DIlMRz3QgoQ0lRLk5ZU0U6SUJNLklRX0VCVC45OTQuNC8xLzIwMjUuLi5VU0QuSAEAAADetgEAAgAAAAUxMTM0MgEIAAAABQAAAAExAQAAAAoyMDgxNTA1NDAxAwAAAAMxNjACAAAAAzEzOQQAAAABMAcAAAAINC8xLzIwMjUIAAAACjEyLzMxLzIwMTgJAAAAATC60U5jwXPdCF9QyJTEc90IKENJUS5OWVNFOklCTS5JUV9FQlQuOTk1LjQvMS8yMDI1Li4uVVNELkgBAAAA3rYBAAIAAAAENzIwNgEIAAAABQAAAAExAQAAAAstMjExMDc2OTM1NQMAAAADMTYwAgAAAAMxMzkEAAAAATAHAAAACDQvMS8yMDI1CAAAAAoxMi8zMS8yMDE5CQAAAAEwutFOY8Fz3QhfUMiUxHPdCChDSVEuTllTRTpJQk0uSVFfRUJULjk5Ni40LzEvMjAyNS4uLlVTRC5IAQAAAN62AQACAAAABDI1NzIBCAAAAAUAAAABMQEAAAALLTIwNTkwNzMyMDIDAAAAAzE2MAIAAAADMTM5BAAAAAEwBwAAAAg0LzEvMjAyNQgAAAAKMTIvMzEvMjAyMAkAAAABMLrRTmPBc90IX1DIlMRz3Qg4Q0lRLk5ZU0U6SUJNLklRX09USEVSX1VOVVNVQUxfU1VQUEwuOTk5LjQvMS8yMDI1</t>
  </si>
  <si>
    <t>Li4uVVNELkgBAAAA3rYBAAMAAAAAALrRTmPBc90IuyHElMRz3Qg5Q0lRLk5ZU0U6SUJNLklRX09USEVSX1VOVVNVQUxfU1VQUEwuMTAwMC40LzEvMjAyNS4uLlVTRC5IAQAAAN62AQACAAAABS0zMTEzAQgAAAAFAAAAATEBAAAACy0xOTU4MjgxMDk3AwAAAAMxNjACAAAAAjg3BAAAAAEwBwAAAAg0LzEvMjAyNQgAAAAKMTIvMzEvMjAyNAkAAAABMLrRTmPBc90IX1DIlMRz3Qg5Q0lRLk5ZU0U6SUJNLklRX09USEVSX1VOVVNVQUxfU1VQUEwuMjAwMC40LzEvMjAyNS4uLlVTRC5IAQAAAN62AQACAAAABS0zMTEzAQgAAAAFAAAAATEBAAAACy0xOTU4MjgwNjE1AwAAAAMxNjACAAAAAjg3BAAAAAEwBwAAAAg0LzEvMjAyNQgAAAAKMTIvMzEvMjAyNAkAAAABMLrRTmPBc90InKi+lMRz3QgoQ0lRLk5ZU0U6SUJNLklRX0VCVC45OTAuNC8xLzIwMjUuLi5VU0QuSAEAAADetgEAAgAAAAUxOTk4NQEIAAAABQAAAAExAQAAAAoxODI5OTExOTY4AwAAAAMxNjACAAAAAzEzOQQAAAABMAcAAAAINC8xLzIwMjUIAAAACjEyLzMxLzIwMTQJAAAAATC60U5jwXPdCF9QyJTEc90IKENJUS5OWVNFOklCTS5JUV9FQlQuOTkxLjQvMS8yMDI1Li4uVVNELkgBAAAA3rYBAAIAAAAFMTU5NDUBCAAAAAUAAAABMQEAAAAKMTg3NjQzMjg3MgMAAAADMTYwAgAAAAMxMzkEAAAAATAHAAAACDQvMS8yMDI1CAAAAAoxMi8zMS8yMDE1CQAA</t>
  </si>
  <si>
    <t>AAEwutFOY8Fz3QhfUMiUxHPdCDhDSVEuTllTRTpJQk0uSVFfT1RIRVJfVU5VU1VBTF9TVVBQTC45OTQuNC8xLzIwMjUuLi5VU0QuSAEAAADetgEAAwAAAAAAutFOY8Fz3QhfUMiUxHPdCDhDSVEuTllTRTpJQk0uSVFfT1RIRVJfVU5VU1VBTF9TVVBQTC45OTUuNC8xLzIwMjUuLi5VU0QuSAEAAADetgEAAwAAAAAAutFOY8Fz3Qj6AciUxHPdCDhDSVEuTllTRTpJQk0uSVFfT1RIRVJfVU5VU1VBTF9TVVBQTC45OTYuNC8xLzIwMjUuLi5VU0QuSAEAAADetgEAAwAAAAAAutFOY8Fz3Qj6AciUxHPdCDhDSVEuTllTRTpJQk0uSVFfT1RIRVJfVU5VU1VBTF9TVVBQTC45OTcuNC8xLzIwMjUuLi5VU0QuSAEAAADetgEAAwAAAAAAutFOY8Fz3Qj6AciUxHPdCDhDSVEuTllTRTpJQk0uSVFfT1RIRVJfVU5VU1VBTF9TVVBQTC45OTguNC8xLzIwMjUuLi5VU0QuSAEAAADetgEAAgAAAAUtNTg5NAEIAAAABQAAAAExAQAAAAstMTk1ODI4MTA5NgMAAAADMTYwAgAAAAI4NwQAAAABMAcAAAAINC8xLzIwMjUIAAAACjEyLzMxLzIwMjIJAAAAATC60U5jwXPdCPoByJTEc90IMkNJUS5OWVNFOklCTS5JUV9MRUdBTF9TRVRUTEUuMjAwMC40LzEvMjAyNS4uLlVTRC5IAQAAAN62AQADAAAAAAC60U5jwXPdCJyovpTEc90IOENJUS5OWVNFOklCTS5JUV9PVEhFUl9VTlVTVUFMX1NVUFBMLjk5MC40LzEvMjAyNS4uLlVTRC5IAQAA</t>
  </si>
  <si>
    <t>AN62AQACAAAAAjEzAQgAAAAFAAAAATEBAAAACjE4Mjk5MTE5NjgDAAAAAzE2MAIAAAACODcEAAAAATAHAAAACDQvMS8yMDI1CAAAAAoxMi8zMS8yMDE0CQAAAAEwutFOY8Fz3QhfUMiUxHPdCDhDSVEuTllTRTpJQk0uSVFfT1RIRVJfVU5VU1VBTF9TVVBQTC45OTEuNC8xLzIwMjUuLi5VU0QuSAEAAADetgEAAgAAAAE2AQgAAAAFAAAAATEBAAAACjE4NzY0MzI4NzIDAAAAAzE2MAIAAAACODcEAAAAATAHAAAACDQvMS8yMDI1CAAAAAoxMi8zMS8yMDE1CQAAAAEwutFOY8Fz3Qj6AciUxHPdCDhDSVEuTllTRTpJQk0uSVFfT1RIRVJfVU5VU1VBTF9TVVBQTC45OTIuNC8xLzIwMjUuLi5VU0QuSAEAAADetgEAAwAAAAAAutFOY8Fz3Qj6AciUxHPdCDhDSVEuTllTRTpJQk0uSVFfT1RIRVJfVU5VU1VBTF9TVVBQTC45OTMuNC8xLzIwMjUuLi5VU0QuSAEAAADetgEAAwAAAAAAutFOY8Fz3Qj6AciUxHPdCDFDSVEuTllTRTpJQk0uSVFfTEVHQUxfU0VUVExFLjk5Ni40LzEvMjAyNS4uLlVTRC5IAQAAAN62AQADAAAAAAC60U5jwXPdCPoByJTEc90IMUNJUS5OWVNFOklCTS5JUV9MRUdBTF9TRVRUTEUuOTk3LjQvMS8yMDI1Li4uVVNELkgBAAAA3rYBAAMAAAAAALrRTmPBc90I+gHIlMRz3QgxQ0lRLk5ZU0U6SUJNLklRX0xFR0FMX1NFVFRMRS45OTguNC8xLzIwMjUuLi5VU0QuSAEAAADetgEAAwAAAAAAutFOY8Fz</t>
  </si>
  <si>
    <t>3Qj6AciUxHPdCDFDSVEuTllTRTpJQk0uSVFfTEVHQUxfU0VUVExFLjk5OS40LzEvMjAyNS4uLlVTRC5IAQAAAN62AQADAAAAAAC60U5jwXPdCLshxJTEc90IMkNJUS5OWVNFOklCTS5JUV9MRUdBTF9TRVRUTEUuMTAwMC40LzEvMjAyNS4uLlVTRC5IAQAAAN62AQADAAAAAAC60U5jwXPdCPoByJTEc90IMUNJUS5OWVNFOklCTS5JUV9MRUdBTF9TRVRUTEUuOTkxLjQvMS8yMDI1Li4uVVNELkgBAAAA3rYBAAIAAAAELTIzMwEIAAAABQAAAAExAQAAAAoxODc2NDMyODcyAwAAAAMxNjACAAAAAjc3BAAAAAEwBwAAAAg0LzEvMjAyNQgAAAAKMTIvMzEvMjAxNQkAAAABMLrRTmPBc90I+gHIlMRz3QgxQ0lRLk5ZU0U6SUJNLklRX0xFR0FMX1NFVFRMRS45OTIuNC8xLzIwMjUuLi5VU0QuSAEAAADetgEAAgAAAAMtNTYBCAAAAAUAAAABMQEAAAAKMTk0NzE3OTU4MwMAAAADMTYwAgAAAAI3NwQAAAABMAcAAAAINC8xLzIwMjUIAAAACjEyLzMxLzIwMTYJAAAAATC60U5jwXPdCPoByJTEc90IMUNJUS5OWVNFOklCTS5JUV9MRUdBTF9TRVRUTEUuOTkzLjQvMS8yMDI1Li4uVVNELkgBAAAA3rYBAAMAAAAAALrRTmPBc90I+gHIlMRz3QgxQ0lRLk5ZU0U6SUJNLklRX0xFR0FMX1NFVFRMRS45OTQuNC8xLzIwMjUuLi5VU0QuSAEAAADetgEAAwAAAAAAutFOY8Fz3Qj6AciUxHPdCDFDSVEuTllTRTpJQk0uSVFfTEVHQUxf</t>
  </si>
  <si>
    <t>U0VUVExFLjk5NS40LzEvMjAyNS4uLlVTRC5IAQAAAN62AQADAAAAAAC60U5jwXPdCPoByJTEc90IL0NJUS5OWVNFOklCTS5JUV9JTlNfU0VUVExFLjk5OC40LzEvMjAyNS4uLlVTRC5IAQAAAN62AQADAAAAAAC60U5jwXPdCPoByJTEc90IL0NJUS5OWVNFOklCTS5JUV9JTlNfU0VUVExFLjk5OS40LzEvMjAyNS4uLlVTRC5IAQAAAN62AQADAAAAAAC60U5jwXPdCLshxJTEc90IMENJUS5OWVNFOklCTS5JUV9JTlNfU0VUVExFLjEwMDAuNC8xLzIwMjUuLi5VU0QuSAEAAADetgEAAwAAAAAAutFOY8Fz3Qj6AciUxHPdCDBDSVEuTllTRTpJQk0uSVFfSU5TX1NFVFRMRS4yMDAwLjQvMS8yMDI1Li4uVVNELkgBAAAA3rYBAAMAAAAAALrRTmPBc90InKi+lMRz3QgxQ0lRLk5ZU0U6SUJNLklRX0xFR0FMX1NFVFRMRS45OTAuNC8xLzIwMjUuLi5VU0QuSAEAAADetgEAAgAAAAQtMTQ4AQgAAAAFAAAAATEBAAAACjE4Mjk5MTE5NjgDAAAAAzE2MAIAAAACNzcEAAAAATAHAAAACDQvMS8yMDI1CAAAAAoxMi8zMS8yMDE0CQAAAAEwutFOY8Fz3Qj6AciUxHPdCC9DSVEuTllTRTpJQk0uSVFfSU5TX1NFVFRMRS45OTMuNC8xLzIwMjUuLi5VU0QuSAEAAADetgEAAwAAAAAAutFOY8Fz3Qj6AciUxHPdCC9DSVEuTllTRTpJQk0uSVFfSU5TX1NFVFRMRS45OTQuNC8xLzIwMjUuLi5VU0QuSAEAAADetgEAAwAAAAAAutFOY8Fz</t>
  </si>
  <si>
    <t>3Qj6AciUxHPdCC9DSVEuTllTRTpJQk0uSVFfSU5TX1NFVFRMRS45OTUuNC8xLzIwMjUuLi5VU0QuSAEAAADetgEAAwAAAAAAutFOY8Fz3Qj6AciUxHPdCC9DSVEuTllTRTpJQk0uSVFfSU5TX1NFVFRMRS45OTYuNC8xLzIwMjUuLi5VU0QuSAEAAADetgEAAwAAAAAAutFOY8Fz3Qj6AciUxHPdCC9DSVEuTllTRTpJQk0uSVFfSU5TX1NFVFRMRS45OTcuNC8xLzIwMjUuLi5VU0QuSAEAAADetgEAAwAAAAAAutFOY8Fz3Qj6AciUxHPdCCpDSVEuTllTRTpJQk0uSVFfSVBSRC4xMDAwLjQvMS8yMDI1Li4uVVNELkgBAAAA3rYBAAMAAAAAALrRTmPBc90I+gHIlMRz3QgqQ0lRLk5ZU0U6SUJNLklRX0lQUkQuMjAwMC40LzEvMjAyNS4uLlVTRC5IAQAAAN62AQADAAAAAAC60U5jwXPdCJyovpTEc90IL0NJUS5OWVNFOklCTS5JUV9JTlNfU0VUVExFLjk5MC40LzEvMjAyNS4uLlVTRC5IAQAAAN62AQADAAAAAAC60U5jwXPdCPoByJTEc90IL0NJUS5OWVNFOklCTS5JUV9JTlNfU0VUVExFLjk5MS40LzEvMjAyNS4uLlVTRC5IAQAAAN62AQADAAAAAAC60U5jwXPdCPoByJTEc90IL0NJUS5OWVNFOklCTS5JUV9JTlNfU0VUVExFLjk5Mi40LzEvMjAyNS4uLlVTRC5IAQAAAN62AQADAAAAAAC60U5jwXPdCPoByJTEc90IKUNJUS5OWVNFOklCTS5JUV9JUFJELjk5NS40LzEvMjAyNS4uLlVTRC5IAQAAAN62AQADAAAAAAC6</t>
  </si>
  <si>
    <t>0U5jwXPdCPoByJTEc90IKUNJUS5OWVNFOklCTS5JUV9JUFJELjk5Ni40LzEvMjAyNS4uLlVTRC5IAQAAAN62AQADAAAAAAC60U5jwXPdCPoByJTEc90IKUNJUS5OWVNFOklCTS5JUV9JUFJELjk5Ny40LzEvMjAyNS4uLlVTRC5IAQAAAN62AQADAAAAAAC60U5jwXPdCPoByJTEc90IKUNJUS5OWVNFOklCTS5JUV9JUFJELjk5OC40LzEvMjAyNS4uLlVTRC5IAQAAAN62AQADAAAAAAC60U5jwXPdCPoByJTEc90IKUNJUS5OWVNFOklCTS5JUV9JUFJELjk5OS40LzEvMjAyNS4uLlVTRC5IAQAAAN62AQADAAAAAAC60U5jwXPdCLshxJTEc90IKUNJUS5OWVNFOklCTS5JUV9JUFJELjk5MC40LzEvMjAyNS4uLlVTRC5IAQAAAN62AQADAAAAAAC60U5jwXPdCPoByJTEc90IKUNJUS5OWVNFOklCTS5JUV9JUFJELjk5MS40LzEvMjAyNS4uLlVTRC5IAQAAAN62AQADAAAAAAC60U5jwXPdCPoByJTEc90IKUNJUS5OWVNFOklCTS5JUV9JUFJELjk5Mi40LzEvMjAyNS4uLlVTRC5IAQAAAN62AQADAAAAAAC60U5jwXPdCPoByJTEc90IKUNJUS5OWVNFOklCTS5JUV9JUFJELjk5My40LzEvMjAyNS4uLlVTRC5IAQAAAN62AQADAAAAAAC60U5jwXPdCPE5x5TEc90IKUNJUS5OWVNFOklCTS5JUV9JUFJELjk5NC40LzEvMjAyNS4uLlVTRC5IAQAAAN62AQADAAAAAAC60U5jwXPdCPE5x5TEc90INENJUS5OWVNFOklCTS5JUV9B</t>
  </si>
  <si>
    <t>U1NFVF9XUklURURPV04uOTk3LjQvMS8yMDI1Li4uVVNELkgBAAAA3rYBAAMAAAAAALrRTmPBc90I8TnHlMRz3Qg0Q0lRLk5ZU0U6SUJNLklRX0FTU0VUX1dSSVRFRE9XTi45OTguNC8xLzIwMjUuLi5VU0QuSAEAAADetgEAAwAAAAAAutFOY8Fz3Qj6AciUxHPdCDRDSVEuTllTRTpJQk0uSVFfQVNTRVRfV1JJVEVET1dOLjk5OS40LzEvMjAyNS4uLlVTRC5IAQAAAN62AQADAAAAAAC60U5jwXPdCLshxJTEc90INUNJUS5OWVNFOklCTS5JUV9BU1NFVF9XUklURURPV04uMTAwMC40LzEvMjAyNS4uLlVTRC5IAQAAAN62AQADAAAAAAC60U5jwXPdCPoByJTEc90INUNJUS5OWVNFOklCTS5JUV9BU1NFVF9XUklURURPV04uMjAwMC40LzEvMjAyNS4uLlVTRC5IAQAAAN62AQADAAAAAAC60U5jwXPdCJyovpTEc90INENJUS5OWVNFOklCTS5JUV9BU1NFVF9XUklURURPV04uOTkyLjQvMS8yMDI1Li4uVVNELkgBAAAA3rYBAAMAAAAAALrRTmPBc90I8TnHlMRz3Qg0Q0lRLk5ZU0U6SUJNLklRX0FTU0VUX1dSSVRFRE9XTi45OTMuNC8xLzIwMjUuLi5VU0QuSAEAAADetgEAAwAAAAAAutFOY8Fz3QjxOceUxHPdCDRDSVEuTllTRTpJQk0uSVFfQVNTRVRfV1JJVEVET1dOLjk5NC40LzEvMjAyNS4uLlVTRC5IAQAAAN62AQADAAAAAAC60U5jwXPdCPE5x5TEc90INENJUS5OWVNFOklCTS5JUV9BU1NFVF9XUklURURPV04u</t>
  </si>
  <si>
    <t>OTk1LjQvMS8yMDI1Li4uVVNELkgBAAAA3rYBAAMAAAAAALrRTmPBc90I8TnHlMRz3Qg0Q0lRLk5ZU0U6SUJNLklRX0FTU0VUX1dSSVRFRE9XTi45OTYuNC8xLzIwMjUuLi5VU0QuSAEAAADetgEAAwAAAAAAutFOY8Fz3QjxOceUxHPdCDBDSVEuTllTRTpJQk0uSVFfR0FJTl9BU1NFVFMuOTk5LjQvMS8yMDI1Li4uVVNELkgBAAAA3rYBAAMAAAAAALrRTmPBc90IXzfElMRz3QgxQ0lRLk5ZU0U6SUJNLklRX0dBSU5fQVNTRVRTLjEwMDAuNC8xLzIwMjUuLi5VU0QuSAEAAADetgEAAwAAAAAAutFOY8Fz3QjxOceUxHPdCDFDSVEuTllTRTpJQk0uSVFfR0FJTl9BU1NFVFMuMjAwMC40LzEvMjAyNS4uLlVTRC5IAQAAAN62AQADAAAAAAC60U5jwXPdCJyovpTEc90INENJUS5OWVNFOklCTS5JUV9BU1NFVF9XUklURURPV04uOTkwLjQvMS8yMDI1Li4uVVNELkgBAAAA3rYBAAMAAAAAALrRTmPBc90I8TnHlMRz3Qg0Q0lRLk5ZU0U6SUJNLklRX0FTU0VUX1dSSVRFRE9XTi45OTEuNC8xLzIwMjUuLi5VU0QuSAEAAADetgEAAwAAAAAAutFOY8Fz3QjxOceUxHPdCDBDSVEuTllTRTpJQk0uSVFfR0FJTl9BU1NFVFMuOTk0LjQvMS8yMDI1Li4uVVNELkgBAAAA3rYBAAMAAAAAALrRTmPBc90I8TnHlMRz3QgwQ0lRLk5ZU0U6SUJNLklRX0dBSU5fQVNTRVRTLjk5NS40LzEvMjAyNS4uLlVTRC5IAQAAAN62AQACAAAAAzc2</t>
  </si>
  <si>
    <t>MgEIAAAABQAAAAExAQAAAAstMjExMDc2OTM1NQMAAAADMTYwAgAAAAI1NgQAAAABMAcAAAAINC8xLzIwMjUIAAAACjEyLzMxLzIwMTkJAAAAATC60U5jwXPdCPE5x5TEc90IMENJUS5OWVNFOklCTS5JUV9HQUlOX0FTU0VUUy45OTYuNC8xLzIwMjUuLi5VU0QuSAEAAADetgEAAwAAAAAAutFOY8Fz3QjxOceUxHPdCDBDSVEuTllTRTpJQk0uSVFfR0FJTl9BU1NFVFMuOTk3LjQvMS8yMDI1Li4uVVNELkgBAAAA3rYBAAMAAAAAALrRTmPBc90I8TnHlMRz3QgwQ0lRLk5ZU0U6SUJNLklRX0dBSU5fQVNTRVRTLjk5OC40LzEvMjAyNS4uLlVTRC5IAQAAAN62AQADAAAAAAC60U5jwXPdCPE5x5TEc90IMUNJUS5OWVNFOklCTS5JUV9HQUlOX0lOVkVTVC4yMDAwLjQvMS8yMDI1Li4uVVNELkgBAAAA3rYBAAIAAAACMjABCAAAAAUAAAABMQEAAAALLTE5NTgyODA2MTUDAAAAAzE2MAIAAAACNjIEAAAAATAHAAAACDQvMS8yMDI1CAAAAAoxMi8zMS8yMDI0CQAAAAEwutFOY8Fz3QicqL6UxHPdCDBDSVEuTllTRTpJQk0uSVFfR0FJTl9BU1NFVFMuOTkwLjQvMS8yMDI1Li4uVVNELkgBAAAA3rYBAAIAAAADMjM2AQgAAAAFAAAAATEBAAAACjE4Mjk5MTE5NjgDAAAAAzE2MAIAAAACNTYEAAAAATAHAAAACDQvMS8yMDI1CAAAAAoxMi8zMS8yMDE0CQAAAAEwutFOY8Fz3QjxOceUxHPdCDBDSVEuTllTRTpJQk0uSVFfR0FJ</t>
  </si>
  <si>
    <t>Tl9BU1NFVFMuOTkxLjQvMS8yMDI1Li4uVVNELkgBAAAA3rYBAAIAAAACMTMBCAAAAAUAAAABMQEAAAAKMTg3NjQzMjg3MgMAAAADMTYwAgAAAAI1NgQAAAABMAcAAAAINC8xLzIwMjUIAAAACjEyLzMxLzIwMTUJAAAAATC60U5jwXPdCPE5x5TEc90IMENJUS5OWVNFOklCTS5JUV9HQUlOX0FTU0VUUy45OTIuNC8xLzIwMjUuLi5VU0QuSAEAAADetgEAAgAAAAIyNwEIAAAABQAAAAExAQAAAAoxOTQ3MTc5NTgzAwAAAAMxNjACAAAAAjU2BAAAAAEwBwAAAAg0LzEvMjAyNQgAAAAKMTIvMzEvMjAxNgkAAAABMLrRTmPBc90I8TnHlMRz3QgwQ0lRLk5ZU0U6SUJNLklRX0dBSU5fQVNTRVRTLjk5My40LzEvMjAyNS4uLlVTRC5IAQAAAN62AQADAAAAAAC60U5jwXPdCPE5x5TEc90IMENJUS5OWVNFOklCTS5JUV9HQUlOX0lOVkVTVC45OTYuNC8xLzIwMjUuLi5VU0QuSAEAAADetgEAAwAAAAAAutFOY8Fz3QjxOceUxHPdCDBDSVEuTllTRTpJQk0uSVFfR0FJTl9JTlZFU1QuOTk3LjQvMS8yMDI1Li4uVVNELkgBAAAA3rYBAAIAAAADMTMzAQgAAAAFAAAAATEBAAAACy0yMDA4NjQ3MTk4AwAAAAMxNjACAAAAAjYyBAAAAAEwBwAAAAg0LzEvMjAyNQgAAAAKMTIvMzEvMjAyMQkAAAABMLrRTmPBc90I8TnHlMRz3QgwQ0lRLk5ZU0U6SUJNLklRX0dBSU5fSU5WRVNULjk5OC40LzEvMjAyNS4uLlVTRC5IAQAAAN62AQAC</t>
  </si>
  <si>
    <t>AAAABC0yNzgBCAAAAAUAAAABMQEAAAALLTE5NTgyODEwOTYDAAAAAzE2MAIAAAACNjIEAAAAATAHAAAACDQvMS8yMDI1CAAAAAoxMi8zMS8yMDIyCQAAAAEwutFOY8Fz3QjxOceUxHPdCDBDSVEuTllTRTpJQk0uSVFfR0FJTl9JTlZFU1QuOTk5LjQvMS8yMDI1Li4uVVNELkgBAAAA3rYBAAIAAAACMzkBCAAAAAUAAAABMQEAAAALLTE5NTgyODEwOTUDAAAAAzE2MAIAAAACNjIEAAAAATAHAAAACDQvMS8yMDI1CAAAAAoxMi8zMS8yMDIzCQAAAAEwutFOY8Fz3QhfN8SUxHPdCDFDSVEuTllTRTpJQk0uSVFfR0FJTl9JTlZFU1QuMTAwMC40LzEvMjAyNS4uLlVTRC5IAQAAAN62AQACAAAAAjIwAQgAAAAFAAAAATEBAAAACy0xOTU4MjgxMDk3AwAAAAMxNjACAAAAAjYyBAAAAAEwBwAAAAg0LzEvMjAyNQgAAAAKMTIvMzEvMjAyNAkAAAABMLrRTmPBc90I8TnHlMRz3QgwQ0lRLk5ZU0U6SUJNLklRX0dBSU5fSU5WRVNULjk5MS40LzEvMjAyNS4uLlVTRC5IAQAAAN62AQACAAAAAy00NwEIAAAABQAAAAExAQAAAAoxODc2NDMyODcyAwAAAAMxNjACAAAAAjYyBAAAAAEwBwAAAAg0LzEvMjAyNQgAAAAKMTIvMzEvMjAxNQkAAAABMLrRTmPBc90I8TnHlMRz3QgwQ0lRLk5ZU0U6SUJNLklRX0dBSU5fSU5WRVNULjk5Mi40LzEvMjAyNS4uLlVTRC5IAQAAAN62AQACAAAAAy0yMwEIAAAABQAAAAExAQAAAAoxOTQ3MTc5</t>
  </si>
  <si>
    <t>NTgzAwAAAAMxNjACAAAAAjYyBAAAAAEwBwAAAAg0LzEvMjAyNQgAAAAKMTIvMzEvMjAxNgkAAAABMLrRTmPBc90I8TnHlMRz3QgwQ0lRLk5ZU0U6SUJNLklRX0dBSU5fSU5WRVNULjk5My40LzEvMjAyNS4uLlVTRC5IAQAAAN62AQADAAAAAAC60U5jwXPdCPE5x5TEc90IMENJUS5OWVNFOklCTS5JUV9HQUlOX0lOVkVTVC45OTQuNC8xLzIwMjUuLi5VU0QuSAEAAADetgEAAwAAAAAAutFOY8Fz3QjxOceUxHPdCDBDSVEuTllTRTpJQk0uSVFfR0FJTl9JTlZFU1QuOTk1LjQvMS8yMDI1Li4uVVNELkgBAAAA3rYBAAMAAAAAALrRTmPBc90I8TnHlMRz3QgyQ0lRLk5ZU0U6SUJNLklRX0lNUEFJUk1FTlRfR1cuOTk4LjQvMS8yMDI1Li4uVVNELkgBAAAA3rYBAAMAAAAAALrRTmPBc90I8TnHlMRz3QgyQ0lRLk5ZU0U6SUJNLklRX0lNUEFJUk1FTlRfR1cuOTk5LjQvMS8yMDI1Li4uVVNELkgBAAAA3rYBAAMAAAAAALrRTmPBc90IXzfElMRz3QgzQ0lRLk5ZU0U6SUJNLklRX0lNUEFJUk1FTlRfR1cuMTAwMC40LzEvMjAyNS4uLlVTRC5IAQAAAN62AQADAAAAAAC60U5jwXPdCPE5x5TEc90IM0NJUS5OWVNFOklCTS5JUV9JTVBBSVJNRU5UX0dXLjIwMDAuNC8xLzIwMjUuLi5VU0QuSAEAAADetgEAAwAAAAAAutFOY8Fz3QicqL6UxHPdCDBDSVEuTllTRTpJQk0uSVFfR0FJTl9JTlZFU1QuOTkwLjQvMS8yMDI1Li4u</t>
  </si>
  <si>
    <t>VVNELkgBAAAA3rYBAAIAAAACMjYBCAAAAAUAAAABMQEAAAAKMTgyOTkxMTk2OAMAAAADMTYwAgAAAAI2MgQAAAABMAcAAAAINC8xLzIwMjUIAAAACjEyLzMxLzIwMTQJAAAAATC60U5jwXPdCPE5x5TEc90IMkNJUS5OWVNFOklCTS5JUV9JTVBBSVJNRU5UX0dXLjk5My40LzEvMjAyNS4uLlVTRC5IAQAAAN62AQADAAAAAAC60U5jwXPdCPE5x5TEc90IMkNJUS5OWVNFOklCTS5JUV9JTVBBSVJNRU5UX0dXLjk5NC40LzEvMjAyNS4uLlVTRC5IAQAAAN62AQADAAAAAAC60U5jwXPdCPE5x5TEc90IMkNJUS5OWVNFOklCTS5JUV9JTVBBSVJNRU5UX0dXLjk5NS40LzEvMjAyNS4uLlVTRC5IAQAAAN62AQADAAAAAAC60U5jwXPdCPE5x5TEc90IMkNJUS5OWVNFOklCTS5JUV9JTVBBSVJNRU5UX0dXLjk5Ni40LzEvMjAyNS4uLlVTRC5IAQAAAN62AQADAAAAAAC60U5jwXPdCPE5x5TEc90IMkNJUS5OWVNFOklCTS5JUV9JTVBBSVJNRU5UX0dXLjk5Ny40LzEvMjAyNS4uLlVTRC5IAQAAAN62AQADAAAAAAC60U5jwXPdCPE5x5TEc90ILENJUS5OWVNFOklCTS5JUV9NRVJHRVIuMTAwMC40LzEvMjAyNS4uLlVTRC5IAQAAAN62AQACAAAABC0xMjMBCAAAAAUAAAABMQEAAAALLTE5NTgyODEwOTcDAAAAAzE2MAIAAAACODAEAAAAATAHAAAACDQvMS8yMDI1CAAAAAoxMi8zMS8yMDI0CQAAAAEwutFOY8Fz3QjxOceUxHPd</t>
  </si>
  <si>
    <t>CCxDSVEuTllTRTpJQk0uSVFfTUVSR0VSLjIwMDAuNC8xLzIwMjUuLi5VU0QuSAEAAADetgEAAgAAAAQtMTIzAQgAAAAFAAAAATEBAAAACy0xOTU4MjgwNjE1AwAAAAMxNjACAAAAAjgwBAAAAAEwBwAAAAg0LzEvMjAyNQgAAAAKMTIvMzEvMjAyNAkAAAABMLrRTmPBc90InKi+lMRz3QgyQ0lRLk5ZU0U6SUJNLklRX0lNUEFJUk1FTlRfR1cuOTkwLjQvMS8yMDI1Li4uVVNELkgBAAAA3rYBAAMAAAAAALrRTmPBc90I8TnHlMRz3QgyQ0lRLk5ZU0U6SUJNLklRX0lNUEFJUk1FTlRfR1cuOTkxLjQvMS8yMDI1Li4uVVNELkgBAAAA3rYBAAMAAAAAALrRTmPBc90I8TnHlMRz3QgyQ0lRLk5ZU0U6SUJNLklRX0lNUEFJUk1FTlRfR1cuOTkyLjQvMS8yMDI1Li4uVVNELkgBAAAA3rYBAAMAAAAAALrRTmPBc90I8TnHlMRz3QgrQ0lRLk5ZU0U6SUJNLklRX01FUkdFUi45OTUuNC8xLzIwMjUuLi5VU0QuSAEAAADetgEAAwAAAAAAutFOY8Fz3QjxOceUxHPdCCtDSVEuTllTRTpJQk0uSVFfTUVSR0VSLjk5Ni40LzEvMjAyNS4uLlVTRC5IAQAAAN62AQADAAAAAAC60U5jwXPdCPE5x5TEc90IK0NJUS5OWVNFOklCTS5JUV9NRVJHRVIuOTk3LjQvMS8yMDI1Li4uVVNELkgBAAAA3rYBAAMAAAAAALrRTmPBc90I8TnHlMRz3QgrQ0lRLk5ZU0U6SUJNLklRX01FUkdFUi45OTguNC8xLzIwMjUuLi5VU0QuSAEAAADetgEAAwAA</t>
  </si>
  <si>
    <t>AAAAutFOY8Fz3QjxOceUxHPdCCtDSVEuTllTRTpJQk0uSVFfTUVSR0VSLjk5OS40LzEvMjAyNS4uLlVTRC5IAQAAAN62AQACAAAAAy0zMwEIAAAABQAAAAExAQAAAAstMTk1ODI4MTA5NQMAAAADMTYwAgAAAAI4MAQAAAABMAcAAAAINC8xLzIwMjUIAAAACjEyLzMxLzIwMjMJAAAAATC60U5jwXPdCF83xJTEc90IK0NJUS5OWVNFOklCTS5JUV9NRVJHRVIuOTkwLjQvMS8yMDI1Li4uVVNELkgBAAAA3rYBAAIAAAADLTEyAQgAAAAFAAAAATEBAAAACjE4Mjk5MTE5NjgDAAAAAzE2MAIAAAACODAEAAAAATAHAAAACDQvMS8yMDI1CAAAAAoxMi8zMS8yMDE0CQAAAAEwDeZPY8Fz3QjxOceUxHPdCCtDSVEuTllTRTpJQk0uSVFfTUVSR0VSLjk5MS40LzEvMjAyNS4uLlVTRC5IAQAAAN62AQACAAAAAy0yNgEIAAAABQAAAAExAQAAAAoxODc2NDMyODcyAwAAAAMxNjACAAAAAjgwBAAAAAEwBwAAAAg0LzEvMjAyNQgAAAAKMTIvMzEvMjAxNQkAAAABMA3mT2PBc90I8TnHlMRz3QgrQ0lRLk5ZU0U6SUJNLklRX01FUkdFUi45OTIuNC8xLzIwMjUuLi5VU0QuSAEAAADetgEAAgAAAAItNQEIAAAABQAAAAExAQAAAAoxOTQ3MTc5NTgzAwAAAAMxNjACAAAAAjgwBAAAAAEwBwAAAAg0LzEvMjAyNQgAAAAKMTIvMzEvMjAxNgkAAAABMA3mT2PBc90I8TnHlMRz3QgrQ0lRLk5ZU0U6SUJNLklRX01FUkdFUi45OTMuNC8xLzIw</t>
  </si>
  <si>
    <t>MjUuLi5VU0QuSAEAAADetgEAAwAAAAAADeZPY8Fz3QjxOceUxHPdCCtDSVEuTllTRTpJQk0uSVFfTUVSR0VSLjk5NC40LzEvMjAyNS4uLlVTRC5IAQAAAN62AQADAAAAAAAN5k9jwXPdCPE5x5TEc90IMENJUS5OWVNFOklCTS5JUV9SRVNUUlVDVFVSRS45OTcuNC8xLzIwMjUuLi5VU0QuSAEAAADetgEAAwAAAAAADeZPY8Fz3QjxOceUxHPdCDBDSVEuTllTRTpJQk0uSVFfUkVTVFJVQ1RVUkUuOTk4LjQvMS8yMDI1Li4uVVNELkgBAAAA3rYBAAMAAAAAAA3mT2PBc90I8TnHlMRz3QgwQ0lRLk5ZU0U6SUJNLklRX1JFU1RSVUNUVVJFLjk5OS40LzEvMjAyNS4uLlVTRC5IAQAAAN62AQACAAAABC00MzgBCAAAAAUAAAABMQEAAAALLTE5NTgyODEwOTUDAAAAAzE2MAIAAAACOTgEAAAAATAHAAAACDQvMS8yMDI1CAAAAAoxMi8zMS8yMDIzCQAAAAEwDeZPY8Fz3QhfN8SUxHPdCDFDSVEuTllTRTpJQk0uSVFfUkVTVFJVQ1RVUkUuMTAwMC40LzEvMjAyNS4uLlVTRC5IAQAAAN62AQACAAAABC02OTYBCAAAAAUAAAABMQEAAAALLTE5NTgyODEwOTcDAAAAAzE2MAIAAAACOTgEAAAAATAHAAAACDQvMS8yMDI1CAAAAAoxMi8zMS8yMDI0CQAAAAEwDeZPY8Fz3QjxOceUxHPdCDFDSVEuTllTRTpJQk0uSVFfUkVTVFJVQ1RVUkUuMjAwMC40LzEvMjAyNS4uLlVTRC5IAQAAAN62AQACAAAABC02OTYBCAAAAAUAAAABMQEA</t>
  </si>
  <si>
    <t>AAALLTE5NTgyODA2MTUDAAAAAzE2MAIAAAACOTgEAAAAATAHAAAACDQvMS8yMDI1CAAAAAoxMi8zMS8yMDI0CQAAAAEwDeZPY8Fz3Qg2Wr6UxHPdCDBDSVEuTllTRTpJQk0uSVFfUkVTVFJVQ1RVUkUuOTkyLjQvMS8yMDI1Li4uVVNELkgBAAAA3rYBAAIAAAAFLTEwMzgBCAAAAAUAAAABMQEAAAAKMTk0NzE3OTU4MwMAAAADMTYwAgAAAAI5OAQAAAABMAcAAAAINC8xLzIwMjUIAAAACjEyLzMxLzIwMTYJAAAAATAN5k9jwXPdCPE5x5TEc90IMENJUS5OWVNFOklCTS5JUV9SRVNUUlVDVFVSRS45OTMuNC8xLzIwMjUuLi5VU0QuSAEAAADetgEAAwAAAAAADeZPY8Fz3QjxOceUxHPdCDBDSVEuTllTRTpJQk0uSVFfUkVTVFJVQ1RVUkUuOTk0LjQvMS8yMDI1Li4uVVNELkgBAAAA3rYBAAMAAAAAAA3mT2PBc90I8TnHlMRz3QgwQ0lRLk5ZU0U6SUJNLklRX1JFU1RSVUNUVVJFLjk5NS40LzEvMjAyNS4uLlVTRC5IAQAAAN62AQADAAAAAAAN5k9jwXPdCPE5x5TEc90IMENJUS5OWVNFOklCTS5JUV9SRVNUUlVDVFVSRS45OTYuNC8xLzIwMjUuLi5VU0QuSAEAAADetgEAAwAAAAAADeZPY8Fz3QjxOceUxHPdCC1DSVEuTllTRTpJQk0uSVFfRUJUX0VYQ0wuOTk5LjQvMS8yMDI1Li4uVVNELkgBAAAA3rYBAAIAAAAEOTEyMgEIAAAABQAAAAExAQAAAAstMTk1ODI4MTA5NQMAAAADMTYwAgAAAAE0BAAAAAEwBwAAAAg0</t>
  </si>
  <si>
    <t>LzEvMjAyNQgAAAAKMTIvMzEvMjAyMwkAAAABMA3mT2PBc90IXzfElMRz3QguQ0lRLk5ZU0U6SUJNLklRX0VCVF9FWENMLjEwMDAuNC8xLzIwMjUuLi5VU0QuSAEAAADetgEAAgAAAAQ5NzA5AQgAAAAFAAAAATEBAAAACy0xOTU4MjgxMDk3AwAAAAMxNjACAAAAATQEAAAAATAHAAAACDQvMS8yMDI1CAAAAAoxMi8zMS8yMDI0CQAAAAEwDeZPY8Fz3QjxOceUxHPdCC5DSVEuTllTRTpJQk0uSVFfRUJUX0VYQ0wuMjAwMC40LzEvMjAyNS4uLlVTRC5IAQAAAN62AQACAAAABDk3MDkBCAAAAAUAAAABMQEAAAALLTE5NTgyODA2MTUDAAAAAzE2MAIAAAABNAQAAAABMAcAAAAINC8xLzIwMjUIAAAACjEyLzMxLzIwMjQJAAAAATAN5k9jwXPdCDZavpTEc90IMENJUS5OWVNFOklCTS5JUV9SRVNUUlVDVFVSRS45OTAuNC8xLzIwMjUuLi5VU0QuSAEAAADetgEAAgAAAAUtMTQ3MgEIAAAABQAAAAExAQAAAAoxODI5OTExOTY4AwAAAAMxNjACAAAAAjk4BAAAAAEwBwAAAAg0LzEvMjAyNQgAAAAKMTIvMzEvMjAxNAkAAAABMA3mT2PBc90I8TnHlMRz3QgwQ0lRLk5ZU0U6SUJNLklRX1JFU1RSVUNUVVJFLjk5MS40LzEvMjAyNS4uLlVTRC5IAQAAAN62AQACAAAABC01ODcBCAAAAAUAAAABMQEAAAAKMTg3NjQzMjg3MgMAAAADMTYwAgAAAAI5OAQAAAABMAcAAAAINC8xLzIwMjUIAAAACjEyLzMxLzIwMTUJAAAAATAN5k9j</t>
  </si>
  <si>
    <t>wXPdCPE5x5TEc90ILUNJUS5OWVNFOklCTS5JUV9FQlRfRVhDTC45OTQuNC8xLzIwMjUuLi5VU0QuSAEAAADetgEAAgAAAAUxMTM0MgEIAAAABQAAAAExAQAAAAoyMDgxNTA1NDAxAwAAAAMxNjACAAAAATQEAAAAATAHAAAACDQvMS8yMDI1CAAAAAoxMi8zMS8yMDE4CQAAAAEwDeZPY8Fz3QjxOceUxHPdCC1DSVEuTllTRTpJQk0uSVFfRUJUX0VYQ0wuOTk1LjQvMS8yMDI1Li4uVVNELkgBAAAA3rYBAAIAAAAENjQ0NAEIAAAABQAAAAExAQAAAAstMjExMDc2OTM1NQMAAAADMTYwAgAAAAE0BAAAAAEwBwAAAAg0LzEvMjAyNQgAAAAKMTIvMzEvMjAxOQkAAAABMA3mT2PBc90I8TnHlMRz3QgtQ0lRLk5ZU0U6SUJNLklRX0VCVF9FWENMLjk5Ni40LzEvMjAyNS4uLlVTRC5IAQAAAN62AQACAAAABDI1NzIBCAAAAAUAAAABMQEAAAALLTIwNTkwNzMyMDIDAAAAAzE2MAIAAAABNAQAAAABMAcAAAAINC8xLzIwMjUIAAAACjEyLzMxLzIwMjAJAAAAATAN5k9jwXPdCPE5x5TEc90ILUNJUS5OWVNFOklCTS5JUV9FQlRfRVhDTC45OTcuNC8xLzIwMjUuLi5VU0QuSAEAAADetgEAAgAAAAQ0NzA0AQgAAAAFAAAAATEBAAAACy0yMDA4NjQ3MTk4AwAAAAMxNjACAAAAATQEAAAAATAHAAAACDQvMS8yMDI1CAAAAAoxMi8zMS8yMDIxCQAAAAEwDeZPY8Fz3QjxOceUxHPdCC1DSVEuTllTRTpJQk0uSVFfRUJUX0VYQ0wuOTk4</t>
  </si>
  <si>
    <t>LjQvMS8yMDI1Li4uVVNELkgBAAAA3rYBAAIAAAAENzMyOAEIAAAABQAAAAExAQAAAAstMTk1ODI4MTA5NgMAAAADMTYwAgAAAAE0BAAAAAEwBwAAAAg0LzEvMjAyNQgAAAAKMTIvMzEvMjAyMgkAAAABMA3mT2PBc90I8TnHlMRz3Qg+Q0lRLk5ZU0U6SUJNLklRX09USEVSX05PTl9PUEVSX0VYUF9TVVBQTC4yMDAwLjQvMS8yMDI1Li4uVVNELkgBAAAA3rYBAAIAAAAEMzk3OQEIAAAABQAAAAExAQAAAAstMTk1ODI4MDYxNQMAAAADMTYwAgAAAAI4NQQAAAABMAcAAAAINC8xLzIwMjUIAAAACjEyLzMxLzIwMjQJAAAAATAN5k9jwXPdCDZavpTEc90ILUNJUS5OWVNFOklCTS5JUV9FQlRfRVhDTC45OTAuNC8xLzIwMjUuLi5VU0QuSAEAAADetgEAAgAAAAUyMTM0MgEIAAAABQAAAAExAQAAAAoxODI5OTExOTY4AwAAAAMxNjACAAAAATQEAAAAATAHAAAACDQvMS8yMDI1CAAAAAoxMi8zMS8yMDE0CQAAAAEwDeZPY8Fz3QjxOceUxHPdCC1DSVEuTllTRTpJQk0uSVFfRUJUX0VYQ0wuOTkxLjQvMS8yMDI1Li4uVVNELkgBAAAA3rYBAAIAAAAFMTY4MTkBCAAAAAUAAAABMQEAAAAKMTg3NjQzMjg3MgMAAAADMTYwAgAAAAE0BAAAAAEwBwAAAAg0LzEvMjAyNQgAAAAKMTIvMzEvMjAxNQkAAAABMA3mT2PBc90I8TnHlMRz3QgtQ0lRLk5ZU0U6SUJNLklRX0VCVF9FWENMLjk5Mi40LzEvMjAyNS4uLlVTRC5IAQAAAN62</t>
  </si>
  <si>
    <t>AQACAAAABTEzNDI1AQgAAAAFAAAAATEBAAAACjE5NDcxNzk1ODMDAAAAAzE2MAIAAAABNAQAAAABMAcAAAAINC8xLzIwMjUIAAAACjEyLzMxLzIwMTYJAAAAATAN5k9jwXPdCPE5x5TEc90ILUNJUS5OWVNFOklCTS5JUV9FQlRfRVhDTC45OTMuNC8xLzIwMjUuLi5VU0QuSAEAAADetgEAAgAAAAUxMTQwMAEIAAAABQAAAAExAQAAAAoyMDE3MTY0MjQ0AwAAAAMxNjACAAAAATQEAAAAATAHAAAACDQvMS8yMDI1CAAAAAoxMi8zMS8yMDE3CQAAAAEwDeZPY8Fz3QjxOceUxHPdCD1DSVEuTllTRTpJQk0uSVFfT1RIRVJfTk9OX09QRVJfRVhQX1NVUFBMLjk5Ni40LzEvMjAyNS4uLlVTRC5IAQAAAN62AQACAAAABC03OTABCAAAAAUAAAABMQEAAAALLTIwNTkwNzMyMDIDAAAAAzE2MAIAAAACODUEAAAAATAHAAAACDQvMS8yMDI1CAAAAAoxMi8zMS8yMDIwCQAAAAEwDeZPY8Fz3QjxOceUxHPdCD1DSVEuTllTRTpJQk0uSVFfT1RIRVJfTk9OX09QRVJfRVhQX1NVUFBMLjk5Ny40LzEvMjAyNS4uLlVTRC5IAQAAAN62AQACAAAAAzIyNQEIAAAABQAAAAExAQAAAAstMjAwODY0NzE5OAMAAAADMTYwAgAAAAI4NQQAAAABMAcAAAAINC8xLzIwMjUIAAAACjEyLzMxLzIwMjEJAAAAATAN5k9jwXPdCPE5x5TEc90IPUNJUS5OWVNFOklCTS5JUV9PVEhFUl9OT05fT1BFUl9FWFBfU1VQUEwuOTk4LjQvMS8yMDI1Li4uVVNE</t>
  </si>
  <si>
    <t>LkgBAAAA3rYBAAIAAAAENjI1NQEIAAAABQAAAAExAQAAAAstMTk1ODI4MTA5NgMAAAADMTYwAgAAAAI4NQQAAAABMAcAAAAINC8xLzIwMjUIAAAACjEyLzMxLzIwMjIJAAAAATAN5k9jwXPdCPE5x5TEc90IPUNJUS5OWVNFOklCTS5JUV9PVEhFUl9OT05fT1BFUl9FWFBfU1VQUEwuOTk5LjQvMS8yMDI1Li4uVVNELkgBAAAA3rYBAAIAAAADMjI1AQgAAAAFAAAAATEBAAAACy0xOTU4MjgxMDk1AwAAAAMxNjACAAAAAjg1BAAAAAEwBwAAAAg0LzEvMjAyNQgAAAAKMTIvMzEvMjAyMwkAAAABMA3mT2PBc90I/UzElMRz3Qg+Q0lRLk5ZU0U6SUJNLklRX09USEVSX05PTl9PUEVSX0VYUF9TVVBQTC4xMDAwLjQvMS8yMDI1Li4uVVNELkgBAAAA3rYBAAIAAAAEMzk3OQEIAAAABQAAAAExAQAAAAstMTk1ODI4MTA5NwMAAAADMTYwAgAAAAI4NQQAAAABMAcAAAAINC8xLzIwMjUIAAAACjEyLzMxLzIwMjQJAAAAATAN5k9jwXPdCPE5x5TEc90IPUNJUS5OWVNFOklCTS5JUV9PVEhFUl9OT05fT1BFUl9FWFBfU1VQUEwuOTkxLjQvMS8yMDI1Li4uVVNELkgBAAAA3rYBAAIAAAADMjQ5AQgAAAAFAAAAATEBAAAACjE4NzY0MzI4NzIDAAAAAzE2MAIAAAACODUEAAAAATAHAAAACDQvMS8yMDI1CAAAAAoxMi8zMS8yMDE1CQAAAAEwDeZPY8Fz3QjxOceUxHPdCD1DSVEuTllTRTpJQk0uSVFfT1RIRVJfTk9OX09QRVJfRVhQ</t>
  </si>
  <si>
    <t>X1NVUFBMLjk5Mi40LzEvMjAyNS4uLlVTRC5IAQAAAN62AQACAAAAAy03OQEIAAAABQAAAAExAQAAAAoxOTQ3MTc5NTgzAwAAAAMxNjACAAAAAjg1BAAAAAEwBwAAAAg0LzEvMjAyNQgAAAAKMTIvMzEvMjAxNgkAAAABMA3mT2PBc90I8TnHlMRz3Qg9Q0lRLk5ZU0U6SUJNLklRX09USEVSX05PTl9PUEVSX0VYUF9TVVBQTC45OTMuNC8xLzIwMjUuLi5VU0QuSAEAAADetgEAAgAAAAMzMzMBCAAAAAUAAAABMQEAAAAKMjAxNzE2NDI0NAMAAAADMTYwAgAAAAI4NQQAAAABMAcAAAAINC8xLzIwMjUIAAAACjEyLzMxLzIwMTcJAAAAATAN5k9jwXPdCPE5x5TEc90IPUNJUS5OWVNFOklCTS5JUV9PVEhFUl9OT05fT1BFUl9FWFBfU1VQUEwuOTk0LjQvMS8yMDI1Li4uVVNELkgBAAAA3rYBAAIAAAAELTcxOQEIAAAABQAAAAExAQAAAAoyMDgxNTA1NDAxAwAAAAMxNjACAAAAAjg1BAAAAAEwBwAAAAg0LzEvMjAyNQgAAAAKMTIvMzEvMjAxOAkAAAABMA3mT2PBc90I8TnHlMRz3Qg9Q0lRLk5ZU0U6SUJNLklRX09USEVSX05PTl9PUEVSX0VYUF9TVVBQTC45OTUuNC8xLzIwMjUuLi5VU0QuSAEAAADetgEAAgAAAAMyNjMBCAAAAAUAAAABMQEAAAALLTIxMTA3NjkzNTUDAAAAAzE2MAIAAAACODUEAAAAATAHAAAACDQvMS8yMDI1CAAAAAoxMi8zMS8yMDE5CQAAAAEwDeZPY8Fz3QjxOceUxHPdCDJDSVEuTllTRTpJQk0u</t>
  </si>
  <si>
    <t>SVFfQ1VSUkVOQ1lfR0FJTi45OTguNC8xLzIwMjUuLi5VU0QuSAEAAADetgEAAgAAAAM1MDABCAAAAAUAAAABMQEAAAALLTE5NTgyODEwOTYDAAAAAzE2MAIAAAACMzgEAAAAATAHAAAACDQvMS8yMDI1CAAAAAoxMi8zMS8yMDIyCQAAAAEwDeZPY8Fz3QjxOceUxHPdCDJDSVEuTllTRTpJQk0uSVFfQ1VSUkVOQ1lfR0FJTi45OTkuNC8xLzIwMjUuLi5VU0QuSAEAAADetgEAAgAAAAMtNjkBCAAAAAUAAAABMQEAAAALLTE5NTgyODEwOTUDAAAAAzE2MAIAAAACMzgEAAAAATAHAAAACDQvMS8yMDI1CAAAAAoxMi8zMS8yMDIzCQAAAAEwDeZPY8Fz3Qj9TMSUxHPdCDNDSVEuTllTRTpJQk0uSVFfQ1VSUkVOQ1lfR0FJTi4xMDAwLjQvMS8yMDI1Li4uVVNELkgBAAAA3rYBAAIAAAACMjABCAAAAAUAAAABMQEAAAALLTE5NTgyODEwOTcDAAAAAzE2MAIAAAACMzgEAAAAATAHAAAACDQvMS8yMDI1CAAAAAoxMi8zMS8yMDI0CQAAAAEwDeZPY8Fz3QjxOceUxHPdCDNDSVEuTllTRTpJQk0uSVFfQ1VSUkVOQ1lfR0FJTi4yMDAwLjQvMS8yMDI1Li4uVVNELkgBAAAA3rYBAAIAAAACMjABCAAAAAUAAAABMQEAAAALLTE5NTgyODA2MTUDAAAAAzE2MAIAAAACMzgEAAAAATAHAAAACDQvMS8yMDI1CAAAAAoxMi8zMS8yMDI0CQAAAAEwDeZPY8Fz3Qg2Wr6UxHPdCD1DSVEuTllTRTpJQk0uSVFfT1RIRVJfTk9OX09QRVJfRVhQ</t>
  </si>
  <si>
    <t>X1NVUFBMLjk5MC40LzEvMjAyNS4uLlVTRC5IAQAAAN62AQACAAAABDE2ODcBCAAAAAUAAAABMQEAAAAKMTgyOTkxMTk2OAMAAAADMTYwAgAAAAI4NQQAAAABMAcAAAAINC8xLzIwMjUIAAAACjEyLzMxLzIwMTQJAAAAATAN5k9jwXPdCPE5x5TEc90IMkNJUS5OWVNFOklCTS5JUV9DVVJSRU5DWV9HQUlOLjk5My40LzEvMjAyNS4uLlVTRC5IAQAAAN62AQADAAAAAAAN5k9jwXPdCI/rxpTEc90IMkNJUS5OWVNFOklCTS5JUV9DVVJSRU5DWV9HQUlOLjk5NC40LzEvMjAyNS4uLlVTRC5IAQAAAN62AQACAAAABC00MzQBCAAAAAUAAAABMQEAAAAKMjA4MTUwNTQwMQMAAAADMTYwAgAAAAIzOAQAAAABMAcAAAAINC8xLzIwMjUIAAAACjEyLzMxLzIwMTgJAAAAATAN5k9jwXPdCI/rxpTEc90IMkNJUS5OWVNFOklCTS5JUV9DVVJSRU5DWV9HQUlOLjk5NS40LzEvMjAyNS4uLlVTRC5IAQAAAN62AQACAAAAAy0xNAEIAAAABQAAAAExAQAAAAstMjExMDc2OTM1NQMAAAADMTYwAgAAAAIzOAQAAAABMAcAAAAINC8xLzIwMjUIAAAACjEyLzMxLzIwMTkJAAAAATAN5k9jwXPdCPE5x5TEc90IMkNJUS5OWVNFOklCTS5JUV9DVVJSRU5DWV9HQUlOLjk5Ni40LzEvMjAyNS4uLlVTRC5IAQAAAN62AQACAAAAAy0xMgEIAAAABQAAAAExAQAAAAstMjA1OTA3MzIwMgMAAAADMTYwAgAAAAIzOAQAAAABMAcAAAAINC8xLzIwMjUI</t>
  </si>
  <si>
    <t>AAAACjEyLzMxLzIwMjAJAAAAATAN5k9jwXPdCPE5x5TEc90IMkNJUS5OWVNFOklCTS5JUV9DVVJSRU5DWV9HQUlOLjk5Ny40LzEvMjAyNS4uLlVTRC5IAQAAAN62AQACAAAAAi0xAQgAAAAFAAAAATEBAAAACy0yMDA4NjQ3MTk4AwAAAAMxNjACAAAAAjM4BAAAAAEwBwAAAAg0LzEvMjAyNQgAAAAKMTIvMzEvMjAyMQkAAAABMA3mT2PBc90I8TnHlMRz3QgwQ0lRLk5ZU0U6SUJNLklRX0lOQ19FUVVJVFkuMTAwMC40LzEvMjAyNS4uLlVTRC5IAQAAAN62AQADAAAAAAAN5k9jwXPdCPE5x5TEc90IMENJUS5OWVNFOklCTS5JUV9JTkNfRVFVSVRZLjIwMDAuNC8xLzIwMjUuLi5VU0QuSAEAAADetgEAAwAAAAAADeZPY8Fz3Qg2Wr6UxHPdCDJDSVEuTllTRTpJQk0uSVFfQ1VSUkVOQ1lfR0FJTi45OTAuNC8xLzIwMjUuLi5VU0QuSAEAAADetgEAAgAAAAMtODABCAAAAAUAAAABMQEAAAAKMTgyOTkxMTk2OAMAAAADMTYwAgAAAAIzOAQAAAABMAcAAAAINC8xLzIwMjUIAAAACjEyLzMxLzIwMTQJAAAAATAN5k9jwXPdCI/rxpTEc90IMkNJUS5OWVNFOklCTS5JUV9DVVJSRU5DWV9HQUlOLjk5MS40LzEvMjAyNS4uLlVTRC5IAQAAAN62AQACAAAAAzQ0OQEIAAAABQAAAAExAQAAAAoxODc2NDMyODcyAwAAAAMxNjACAAAAAjM4BAAAAAEwBwAAAAg0LzEvMjAyNQgAAAAKMTIvMzEvMjAxNQkAAAABMA3mT2PBc90Ij+vG</t>
  </si>
  <si>
    <t>lMRz3QgyQ0lRLk5ZU0U6SUJNLklRX0NVUlJFTkNZX0dBSU4uOTkyLjQvMS8yMDI1Li4uVVNELkgBAAAA3rYBAAIAAAAELTE0NAEIAAAABQAAAAExAQAAAAoxOTQ3MTc5NTgzAwAAAAMxNjACAAAAAjM4BAAAAAEwBwAAAAg0LzEvMjAyNQgAAAAKMTIvMzEvMjAxNgkAAAABMA3mT2PBc90Ij+vGlMRz3QgvQ0lRLk5ZU0U6SUJNLklRX0lOQ19FUVVJVFkuOTk1LjQvMS8yMDI1Li4uVVNELkgBAAAA3rYBAAMAAAAAAA3mT2PBc90Ij+vGlMRz3QgvQ0lRLk5ZU0U6SUJNLklRX0lOQ19FUVVJVFkuOTk2LjQvMS8yMDI1Li4uVVNELkgBAAAA3rYBAAMAAAAAAA3mT2PBc90Ij+vGlMRz3QgvQ0lRLk5ZU0U6SUJNLklRX0lOQ19FUVVJVFkuOTk3LjQvMS8yMDI1Li4uVVNELkgBAAAA3rYBAAMAAAAAAA3mT2PBc90Ij+vGlMRz3QgvQ0lRLk5ZU0U6SUJNLklRX0lOQ19FUVVJVFkuOTk4LjQvMS8yMDI1Li4uVVNELkgBAAAA3rYBAAMAAAAAAA3mT2PBc90Ij+vGlMRz3QgvQ0lRLk5ZU0U6SUJNLklRX0lOQ19FUVVJVFkuOTk5LjQvMS8yMDI1Li4uVVNELkgBAAAA3rYBAAMAAAAAAA3mT2PBc90IXzfElMRz3QgvQ0lRLk5ZU0U6SUJNLklRX0lOQ19FUVVJVFkuOTkwLjQvMS8yMDI1Li4uVVNELkgBAAAA3rYBAAMAAAAAAA3mT2PBc90Ij+vGlMRz3QgvQ0lRLk5ZU0U6SUJNLklRX0lOQ19FUVVJVFkuOTkxLjQvMS8yMDI1Li4u</t>
  </si>
  <si>
    <t>VVNELkgBAAAA3rYBAAMAAAAAAA3mT2PBc90Ij+vGlMRz3QgvQ0lRLk5ZU0U6SUJNLklRX0lOQ19FUVVJVFkuOTkyLjQvMS8yMDI1Li4uVVNELkgBAAAA3rYBAAMAAAAAAA3mT2PBc90Ij+vGlMRz3QgvQ0lRLk5ZU0U6SUJNLklRX0lOQ19FUVVJVFkuOTkzLjQvMS8yMDI1Li4uVVNELkgBAAAA3rYBAAMAAAAAAA3mT2PBc90Ij+vGlMRz3QgvQ0lRLk5ZU0U6SUJNLklRX0lOQ19FUVVJVFkuOTk0LjQvMS8yMDI1Li4uVVNELkgBAAAA3rYBAAMAAAAAAA3mT2PBc90Ij+vGlMRz3Qg1Q0lRLk5ZU0U6SUJNLklRX05FVF9JTlRFUkVTVF9FWFAuOTk3LjQvMS8yMDI1Li4uVVNELkgBAAAA3rYBAAIAAAAFLTExMDMBCAAAAAUAAAABMQEAAAALLTIwMDg2NDcxOTgDAAAAAzE2MAIAAAADMzY4BAAAAAEwBwAAAAg0LzEvMjAyNQgAAAAKMTIvMzEvMjAyMQkAAAABMA3mT2PBc90Ij+vGlMRz3Qg1Q0lRLk5ZU0U6SUJNLklRX05FVF9JTlRFUkVTVF9FWFAuOTk4LjQvMS8yMDI1Li4uVVNELkgBAAAA3rYBAAIAAAAFLTEwNTQBCAAAAAUAAAABMQEAAAALLTE5NTgyODEwOTYDAAAAAzE2MAIAAAADMzY4BAAAAAEwBwAAAAg0LzEvMjAyNQgAAAAKMTIvMzEvMjAyMgkAAAABMA3mT2PBc90Ij+vGlMRz3Qg1Q0lRLk5ZU0U6SUJNLklRX05FVF9JTlRFUkVTVF9FWFAuOTk5LjQvMS8yMDI1Li4uVVNELkgBAAAA3rYBAAIAAAAELTkz</t>
  </si>
  <si>
    <t>NwEIAAAABQAAAAExAQAAAAstMTk1ODI4MTA5NQMAAAADMTYwAgAAAAMzNjgEAAAAATAHAAAACDQvMS8yMDI1CAAAAAoxMi8zMS8yMDIzCQAAAAEwDeZPY8Fz3QhfN8SUxHPdCDZDSVEuTllTRTpJQk0uSVFfTkVUX0lOVEVSRVNUX0VYUC4xMDAwLjQvMS8yMDI1Li4uVVNELkgBAAAA3rYBAAIAAAAELTk2NQEIAAAABQAAAAExAQAAAAstMTk1ODI4MTA5NwMAAAADMTYwAgAAAAMzNjgEAAAAATAHAAAACDQvMS8yMDI1CAAAAAoxMi8zMS8yMDI0CQAAAAEwDeZPY8Fz3QiP68aUxHPdCDZDSVEuTllTRTpJQk0uSVFfTkVUX0lOVEVSRVNUX0VYUC4yMDAwLjQvMS8yMDI1Li4uVVNELkgBAAAA3rYBAAIAAAAELTk2NQEIAAAABQAAAAExAQAAAAstMTk1ODI4MDYxNQMAAAADMTYwAgAAAAMzNjgEAAAAATAHAAAACDQvMS8yMDI1CAAAAAoxMi8zMS8yMDI0CQAAAAEwDeZPY8Fz3Qg2Wr6UxHPdCDVDSVEuTllTRTpJQk0uSVFfTkVUX0lOVEVSRVNUX0VYUC45OTIuNC8xLzIwMjUuLi5VU0QuSAEAAADetgEAAgAAAAQtNTIyAQgAAAAFAAAAATEBAAAACjE5NDcxNzk1ODMDAAAAAzE2MAIAAAADMzY4BAAAAAEwBwAAAAg0LzEvMjAyNQgAAAAKMTIvMzEvMjAxNgkAAAABMA3mT2PBc90Ij+vGlMRz3Qg1Q0lRLk5ZU0U6SUJNLklRX05FVF9JTlRFUkVTVF9FWFAuOTkzLjQvMS8yMDI1Li4uVVNELkgBAAAA3rYBAAIAAAAELTYx</t>
  </si>
  <si>
    <t>NQEIAAAABQAAAAExAQAAAAoyMDE3MTY0MjQ0AwAAAAMxNjACAAAAAzM2OAQAAAABMAcAAAAINC8xLzIwMjUIAAAACjEyLzMxLzIwMTcJAAAAATAN5k9jwXPdCI/rxpTEc90INUNJUS5OWVNFOklCTS5JUV9ORVRfSU5URVJFU1RfRVhQLjk5NC40LzEvMjAyNS4uLlVTRC5IAQAAAN62AQACAAAABC03MjMBCAAAAAUAAAABMQEAAAAKMjA4MTUwNTQwMQMAAAADMTYwAgAAAAMzNjgEAAAAATAHAAAACDQvMS8yMDI1CAAAAAoxMi8zMS8yMDE4CQAAAAEwDeZPY8Fz3QiP68aUxHPdCDVDSVEuTllTRTpJQk0uSVFfTkVUX0lOVEVSRVNUX0VYUC45OTUuNC8xLzIwMjUuLi5VU0QuSAEAAADetgEAAgAAAAUtMTM0NAEIAAAABQAAAAExAQAAAAstMjExMDc2OTM1NQMAAAADMTYwAgAAAAMzNjgEAAAAATAHAAAACDQvMS8yMDI1CAAAAAoxMi8zMS8yMDE5CQAAAAEwDeZPY8Fz3QiP68aUxHPdCDVDSVEuTllTRTpJQk0uSVFfTkVUX0lOVEVSRVNUX0VYUC45OTYuNC8xLzIwMjUuLi5VU0QuSAEAAADetgEAAgAAAAUtMTI4OAEIAAAABQAAAAExAQAAAAstMjA1OTA3MzIwMgMAAAADMTYwAgAAAAMzNjgEAAAAATAHAAAACDQvMS8yMDI1CAAAAAoxMi8zMS8yMDIwCQAAAAEwDeZPY8Fz3QiP68aUxHPdCDhDSVEuTllTRTpJQk0uSVFfSU5URVJFU1RfSU5WRVNUX0lOQy45OTkuNC8xLzIwMjUuLi5VU0QuSAEAAADetgEAAgAAAAM2</t>
  </si>
  <si>
    <t>NzABCAAAAAUAAAABMQEAAAALLTE5NTgyODEwOTUDAAAAAzE2MAIAAAACNjUEAAAAATAHAAAACDQvMS8yMDI1CAAAAAoxMi8zMS8yMDIzCQAAAAEwDeZPY8Fz3QhfN8SUxHPdCDlDSVEuTllTRTpJQk0uSVFfSU5URVJFU1RfSU5WRVNUX0lOQy4xMDAwLjQvMS8yMDI1Li4uVVNELkgBAAAA3rYBAAIAAAADNzQ3AQgAAAAFAAAAATEBAAAACy0xOTU4MjgxMDk3AwAAAAMxNjACAAAAAjY1BAAAAAEwBwAAAAg0LzEvMjAyNQgAAAAKMTIvMzEvMjAyNAkAAAABMA3mT2PBc90Ij+vGlMRz3Qg5Q0lRLk5ZU0U6SUJNLklRX0lOVEVSRVNUX0lOVkVTVF9JTkMuMjAwMC40LzEvMjAyNS4uLlVTRC5IAQAAAN62AQACAAAAAzc0NwEIAAAABQAAAAExAQAAAAstMTk1ODI4MDYxNQMAAAADMTYwAgAAAAI2NQQAAAABMAcAAAAINC8xLzIwMjUIAAAACjEyLzMxLzIwMjQJAAAAATAN5k9jwXPdCDZavpTEc90INUNJUS5OWVNFOklCTS5JUV9ORVRfSU5URVJFU1RfRVhQLjk5MC40LzEvMjAyNS4uLlVTRC5IAQAAAN62AQACAAAABC0zOTQBCAAAAAUAAAABMQEAAAAKMTgyOTkxMTk2OAMAAAADMTYwAgAAAAMzNjgEAAAAATAHAAAACDQvMS8yMDI1CAAAAAoxMi8zMS8yMDE0CQAAAAEwDeZPY8Fz3QiP68aUxHPdCDVDSVEuTllTRTpJQk0uSVFfTkVUX0lOVEVSRVNUX0VYUC45OTEuNC8xLzIwMjUuLi5VU0QuSAEAAADetgEAAgAAAAQt</t>
  </si>
  <si>
    <t>Mzk2AQgAAAAFAAAAATEBAAAACjE4NzY0MzI4NzIDAAAAAzE2MAIAAAADMzY4BAAAAAEwBwAAAAg0LzEvMjAyNQgAAAAKMTIvMzEvMjAxNQkAAAABMA3mT2PBc90Ij+vGlMRz3Qg4Q0lRLk5ZU0U6SUJNLklRX0lOVEVSRVNUX0lOVkVTVF9JTkMuOTk0LjQvMS8yMDI1Li4uVVNELkgBAAAA3rYBAAMAAAAAAA3mT2PBc90Ij+vGlMRz3Qg4Q0lRLk5ZU0U6SUJNLklRX0lOVEVSRVNUX0lOVkVTVF9JTkMuOTk1LjQvMS8yMDI1Li4uVVNELkgBAAAA3rYBAAMAAAAAAA3mT2PBc90Ij+vGlMRz3Qg4Q0lRLk5ZU0U6SUJNLklRX0lOVEVSRVNUX0lOVkVTVF9JTkMuOTk2LjQvMS8yMDI1Li4uVVNELkgBAAAA3rYBAAMAAAAAAA3mT2PBc90Ij+vGlMRz3Qg4Q0lRLk5ZU0U6SUJNLklRX0lOVEVSRVNUX0lOVkVTVF9JTkMuOTk3LjQvMS8yMDI1Li4uVVNELkgBAAAA3rYBAAIAAAACNTIBCAAAAAUAAAABMQEAAAALLTIwMDg2NDcxOTgDAAAAAzE2MAIAAAACNjUEAAAAATAHAAAACDQvMS8yMDI1CAAAAAoxMi8zMS8yMDIxCQAAAAEwDeZPY8Fz3QiP68aUxHPdCDhDSVEuTllTRTpJQk0uSVFfSU5URVJFU1RfSU5WRVNUX0lOQy45OTguNC8xLzIwMjUuLi5VU0QuSAEAAADetgEAAgAAAAMxNjIBCAAAAAUAAAABMQEAAAALLTE5NTgyODEwOTYDAAAAAzE2MAIAAAACNjUEAAAAATAHAAAACDQvMS8yMDI1CAAAAAoxMi8zMS8yMDIy</t>
  </si>
  <si>
    <t>CQAAAAEwDeZPY8Fz3QiP68aUxHPdCDJDSVEuTllTRTpJQk0uSVFfSU5URVJFU1RfRVhQLjIwMDAuNC8xLzIwMjUuLi5VU0QuSAEAAADetgEAAgAAAAUtMTcxMgEIAAAABQAAAAExAQAAAAstMTk1ODI4MDYxNQMAAAADMTYwAgAAAAI4MgQAAAABMAcAAAAINC8xLzIwMjUIAAAACjEyLzMxLzIwMjQJAAAAATAN5k9jwXPdCDZavpTEc90IOENJUS5OWVNFOklCTS5JUV9JTlRFUkVTVF9JTlZFU1RfSU5DLjk5MC40LzEvMjAyNS4uLlVTRC5IAQAAAN62AQACAAAAAjkwAQgAAAAFAAAAATEBAAAACjE4Mjk5MTE5NjgDAAAAAzE2MAIAAAACNjUEAAAAATAHAAAACDQvMS8yMDI1CAAAAAoxMi8zMS8yMDE0CQAAAAEwDeZPY8Fz3QiP68aUxHPdCDhDSVEuTllTRTpJQk0uSVFfSU5URVJFU1RfSU5WRVNUX0lOQy45OTEuNC8xLzIwMjUuLi5VU0QuSAEAAADetgEAAgAAAAI3MgEIAAAABQAAAAExAQAAAAoxODc2NDMyODcyAwAAAAMxNjACAAAAAjY1BAAAAAEwBwAAAAg0LzEvMjAyNQgAAAAKMTIvMzEvMjAxNQkAAAABMA3mT2PBc90Ij+vGlMRz3Qg4Q0lRLk5ZU0U6SUJNLklRX0lOVEVSRVNUX0lOVkVTVF9JTkMuOTkyLjQvMS8yMDI1Li4uVVNELkgBAAAA3rYBAAIAAAADMTA4AQgAAAAFAAAAATEBAAAACjE5NDcxNzk1ODMDAAAAAzE2MAIAAAACNjUEAAAAATAHAAAACDQvMS8yMDI1CAAAAAoxMi8zMS8yMDE2CQAAAAEw</t>
  </si>
  <si>
    <t>DeZPY8Fz3QiP68aUxHPdCDhDSVEuTllTRTpJQk0uSVFfSU5URVJFU1RfSU5WRVNUX0lOQy45OTMuNC8xLzIwMjUuLi5VU0QuSAEAAADetgEAAwAAAAAADeZPY8Fz3QiP68aUxHPdCDFDSVEuTllTRTpJQk0uSVFfSU5URVJFU1RfRVhQLjk5Ni40LzEvMjAyNS4uLlVTRC5IAQAAAN62AQACAAAABS0xMjg4AQgAAAAFAAAAATEBAAAACy0yMDU5MDczMjAyAwAAAAMxNjACAAAAAjgyBAAAAAEwBwAAAAg0LzEvMjAyNQgAAAAKMTIvMzEvMjAyMAkAAAABMA3mT2PBc90Ij+vGlMRz3QgxQ0lRLk5ZU0U6SUJNLklRX0lOVEVSRVNUX0VYUC45OTcuNC8xLzIwMjUuLi5VU0QuSAEAAADetgEAAgAAAAUtMTE1NQEIAAAABQAAAAExAQAAAAstMjAwODY0NzE5OAMAAAADMTYwAgAAAAI4MgQAAAABMAcAAAAINC8xLzIwMjUIAAAACjEyLzMxLzIwMjEJAAAAATAN5k9jwXPdCI/rxpTEc90IMUNJUS5OWVNFOklCTS5JUV9JTlRFUkVTVF9FWFAuOTk4LjQvMS8yMDI1Li4uVVNELkgBAAAA3rYBAAIAAAAFLTEyMTYBCAAAAAUAAAABMQEAAAALLTE5NTgyODEwOTYDAAAAAzE2MAIAAAACODIEAAAAATAHAAAACDQvMS8yMDI1CAAAAAoxMi8zMS8yMDIyCQAAAAEwDeZPY8Fz3QiP68aUxHPdCDFDSVEuTllTRTpJQk0uSVFfSU5URVJFU1RfRVhQLjk5OS40LzEvMjAyNS4uLlVTRC5IAQAAAN62AQACAAAABS0xNjA3AQgAAAAFAAAAATEB</t>
  </si>
  <si>
    <t>AAAACy0xOTU4MjgxMDk1AwAAAAMxNjACAAAAAjgyBAAAAAEwBwAAAAg0LzEvMjAyNQgAAAAKMTIvMzEvMjAyMwkAAAABMA3mT2PBc90IXzfElMRz3QgyQ0lRLk5ZU0U6SUJNLklRX0lOVEVSRVNUX0VYUC4xMDAwLjQvMS8yMDI1Li4uVVNELkgBAAAA3rYBAAIAAAAFLTE3MTIBCAAAAAUAAAABMQEAAAALLTE5NTgyODEwOTcDAAAAAzE2MAIAAAACODIEAAAAATAHAAAACDQvMS8yMDI1CAAAAAoxMi8zMS8yMDI0CQAAAAEwDeZPY8Fz3QgancaUxHPdCDFDSVEuTllTRTpJQk0uSVFfSU5URVJFU1RfRVhQLjk5MS40LzEvMjAyNS4uLlVTRC5IAQAAAN62AQACAAAABC00NjgBCAAAAAUAAAABMQEAAAAKMTg3NjQzMjg3MgMAAAADMTYwAgAAAAI4MgQAAAABMAcAAAAINC8xLzIwMjUIAAAACjEyLzMxLzIwMTUJAAAAATAN5k9jwXPdCBqdxpTEc90IMUNJUS5OWVNFOklCTS5JUV9JTlRFUkVTVF9FWFAuOTkyLjQvMS8yMDI1Li4uVVNELkgBAAAA3rYBAAIAAAAELTYzMAEIAAAABQAAAAExAQAAAAoxOTQ3MTc5NTgzAwAAAAMxNjACAAAAAjgyBAAAAAEwBwAAAAg0LzEvMjAyNQgAAAAKMTIvMzEvMjAxNgkAAAABMA3mT2PBc90IGp3GlMRz3QgxQ0lRLk5ZU0U6SUJNLklRX0lOVEVSRVNUX0VYUC45OTMuNC8xLzIwMjUuLi5VU0QuSAEAAADetgEAAgAAAAQtNjE1AQgAAAAFAAAAATEBAAAACjIwMTcxNjQyNDQDAAAAAzE2</t>
  </si>
  <si>
    <t>MAIAAAACODIEAAAAATAHAAAACDQvMS8yMDI1CAAAAAoxMi8zMS8yMDE3CQAAAAEwDeZPY8Fz3QgancaUxHPdCDFDSVEuTllTRTpJQk0uSVFfSU5URVJFU1RfRVhQLjk5NC40LzEvMjAyNS4uLlVTRC5IAQAAAN62AQACAAAABC03MjMBCAAAAAUAAAABMQEAAAAKMjA4MTUwNTQwMQMAAAADMTYwAgAAAAI4MgQAAAABMAcAAAAINC8xLzIwMjUIAAAACjEyLzMxLzIwMTgJAAAAATAN5k9jwXPdCI/rxpTEc90IMUNJUS5OWVNFOklCTS5JUV9JTlRFUkVTVF9FWFAuOTk1LjQvMS8yMDI1Li4uVVNELkgBAAAA3rYBAAIAAAAFLTEzNDQBCAAAAAUAAAABMQEAAAALLTIxMTA3NjkzNTUDAAAAAzE2MAIAAAACODIEAAAAATAHAAAACDQvMS8yMDI1CAAAAAoxMi8zMS8yMDE5CQAAAAEwDeZPY8Fz3QgancaUxHPdCC1DSVEuTllTRTpJQk0uSVFfT1BFUl9JTkMuOTk4LjQvMS8yMDI1Li4uVVNELkgBAAAA3rYBAAIAAAAEMTYyNwEIAAAABQAAAAExAQAAAAstMTk1ODI4MTA5NgMAAAADMTYwAgAAAAIyMQQAAAABMAcAAAAINC8xLzIwMjUIAAAACjEyLzMxLzIwMjIJAAAAATAN5k9jwXPdCBqdxpTEc90ILUNJUS5OWVNFOklCTS5JUV9PUEVSX0lOQy45OTkuNC8xLzIwMjUuLi5VU0QuSAEAAADetgEAAgAAAAQ5OTAzAQgAAAAFAAAAATEBAAAACy0xOTU4MjgxMDk1AwAAAAMxNjACAAAAAjIxBAAAAAEwBwAAAAg0LzEvMjAyNQgA</t>
  </si>
  <si>
    <t>AAAKMTIvMzEvMjAyMwkAAAABMA3mT2PBc90I/UzElMRz3QguQ0lRLk5ZU0U6SUJNLklRX09QRVJfSU5DLjEwMDAuNC8xLzIwMjUuLi5VU0QuSAEAAADetgEAAgAAAAQ2Njc1AQgAAAAFAAAAATEBAAAACy0xOTU4MjgxMDk3AwAAAAMxNjACAAAAAjIxBAAAAAEwBwAAAAg0LzEvMjAyNQgAAAAKMTIvMzEvMjAyNAkAAAABMA3mT2PBc90IGp3GlMRz3QguQ0lRLk5ZU0U6SUJNLklRX09QRVJfSU5DLjIwMDAuNC8xLzIwMjUuLi5VU0QuSAEAAADetgEAAgAAAAQ2Njc1AQgAAAAFAAAAATEBAAAACy0xOTU4MjgwNjE1AwAAAAMxNjACAAAAAjIxBAAAAAEwBwAAAAg0LzEvMjAyNQgAAAAKMTIvMzEvMjAyNAkAAAABMA3mT2PBc90INlq+lMRz3QgxQ0lRLk5ZU0U6SUJNLklRX0lOVEVSRVNUX0VYUC45OTAuNC8xLzIwMjUuLi5VU0QuSAEAAADetgEAAgAAAAQtNDg0AQgAAAAFAAAAATEBAAAACjE4Mjk5MTE5NjgDAAAAAzE2MAIAAAACODIEAAAAATAHAAAACDQvMS8yMDI1CAAAAAoxMi8zMS8yMDE0CQAAAAEwDeZPY8Fz3QgancaUxHPdCC1DSVEuTllTRTpJQk0uSVFfT1BFUl9JTkMuOTkzLjQvMS8yMDI1Li4uVVNELkgBAAAA3rYBAAIAAAAFMTE2ODIBCAAAAAUAAAABMQEAAAAKMjAxNzE2NDI0NAMAAAADMTYwAgAAAAIyMQQAAAABMAcAAAAINC8xLzIwMjUIAAAACjEyLzMxLzIwMTcJAAAAATAN5k9jwXPdCBqdxpTE</t>
  </si>
  <si>
    <t>c90ILUNJUS5OWVNFOklCTS5JUV9PUEVSX0lOQy45OTQuNC8xLzIwMjUuLi5VU0QuSAEAAADetgEAAgAAAAUxMzIxOAEIAAAABQAAAAExAQAAAAoyMDgxNTA1NDAxAwAAAAMxNjACAAAAAjIxBAAAAAEwBwAAAAg0LzEvMjAyNQgAAAAKMTIvMzEvMjAxOAkAAAABMA3mT2PBc90IGp3GlMRz3QgtQ0lRLk5ZU0U6SUJNLklRX09QRVJfSU5DLjk5NS40LzEvMjAyNS4uLlVTRC5IAQAAAN62AQACAAAABDc1MzkBCAAAAAUAAAABMQEAAAALLTIxMTA3NjkzNTUDAAAAAzE2MAIAAAACMjEEAAAAATAHAAAACDQvMS8yMDI1CAAAAAoxMi8zMS8yMDE5CQAAAAEwDeZPY8Fz3QgancaUxHPdCC1DSVEuTllTRTpJQk0uSVFfT1BFUl9JTkMuOTk2LjQvMS8yMDI1Li4uVVNELkgBAAAA3rYBAAIAAAAENDY2MgEIAAAABQAAAAExAQAAAAstMjA1OTA3MzIwMgMAAAADMTYwAgAAAAIyMQQAAAABMAcAAAAINC8xLzIwMjUIAAAACjEyLzMxLzIwMjAJAAAAATAN5k9jwXPdCBqdxpTEc90ILUNJUS5OWVNFOklCTS5JUV9PUEVSX0lOQy45OTcuNC8xLzIwMjUuLi5VU0QuSAEAAADetgEAAgAAAAQ1NTgzAQgAAAAFAAAAATEBAAAACy0yMDA4NjQ3MTk4AwAAAAMxNjACAAAAAjIxBAAAAAEwBwAAAAg0LzEvMjAyNQgAAAAKMTIvMzEvMjAyMQkAAAABMA3mT2PBc90IGp3GlMRz3Qg2Q0lRLk5ZU0U6SUJNLklRX1RPVEFMX09USEVSX09QRVIu</t>
  </si>
  <si>
    <t>MTAwMC40LzEvMjAyNS4uLlVTRC5IAQAAAN62AQACAAAABTI4ODc3AQgAAAAFAAAAATEBAAAACy0xOTU4MjgxMDk3AwAAAAMxNjACAAAAAzM4MAQAAAABMAcAAAAINC8xLzIwMjUIAAAACjEyLzMxLzIwMjQJAAAAATAN5k9jwXPdCBqdxpTEc90INkNJUS5OWVNFOklCTS5JUV9UT1RBTF9PVEhFUl9PUEVSLjIwMDAuNC8xLzIwMjUuLi5VU0QuSAEAAADetgEAAgAAAAUyODg3NwEIAAAABQAAAAExAQAAAAstMTk1ODI4MDYxNQMAAAADMTYwAgAAAAMzODAEAAAAATAHAAAACDQvMS8yMDI1CAAAAAoxMi8zMS8yMDI0CQAAAAEwDeZPY8Fz3Qg2Wr6UxHPdCC1DSVEuTllTRTpJQk0uSVFfT1BFUl9JTkMuOTkwLjQvMS8yMDI1Li4uVVNELkgBAAAA3rYBAAIAAAAFMjAxMjkBCAAAAAUAAAABMQEAAAAKMTgyOTkxMTk2OAMAAAADMTYwAgAAAAIyMQQAAAABMAcAAAAINC8xLzIwMjUIAAAACjEyLzMxLzIwMTQJAAAAATAN5k9jwXPdCBqdxpTEc90ILUNJUS5OWVNFOklCTS5JUV9PUEVSX0lOQy45OTEuNC8xLzIwMjUuLi5VU0QuSAEAAADetgEAAgAAAAUxNjUxNwEIAAAABQAAAAExAQAAAAoxODc2NDMyODcyAwAAAAMxNjACAAAAAjIxBAAAAAEwBwAAAAg0LzEvMjAyNQgAAAAKMTIvMzEvMjAxNQkAAAABMA3mT2PBc90IGp3GlMRz3QgtQ0lRLk5ZU0U6SUJNLklRX09QRVJfSU5DLjk5Mi40LzEvMjAyNS4uLlVTRC5IAQAA</t>
  </si>
  <si>
    <t>AN62AQACAAAABTE0MTcwAQgAAAAFAAAAATEBAAAACjE5NDcxNzk1ODMDAAAAAzE2MAIAAAACMjEEAAAAATAHAAAACDQvMS8yMDI1CAAAAAoxMi8zMS8yMDE2CQAAAAEwDeZPY8Fz3QgancaUxHPdCDVDSVEuTllTRTpJQk0uSVFfVE9UQUxfT1RIRVJfT1BFUi45OTUuNC8xLzIwMjUuLi5VU0QuSAEAAADetgEAAgAAAAUyMzk5NQEIAAAABQAAAAExAQAAAAstMjExMDc2OTM1NQMAAAADMTYwAgAAAAMzODAEAAAAATAHAAAACDQvMS8yMDI1CAAAAAoxMi8zMS8yMDE5CQAAAAEwDeZPY8Fz3QgancaUxHPdCDVDSVEuTllTRTpJQk0uSVFfVE9UQUxfT1RIRVJfT1BFUi45OTYuNC8xLzIwMjUuLi5VU0QuSAEAAADetgEAAgAAAAUyNjIwMwEIAAAABQAAAAExAQAAAAstMjA1OTA3MzIwMgMAAAADMTYwAgAAAAMzODAEAAAAATAHAAAACDQvMS8yMDI1CAAAAAoxMi8zMS8yMDIwCQAAAAEwDeZPY8Fz3QgancaUxHPdCDVDSVEuTllTRTpJQk0uSVFfVE9UQUxfT1RIRVJfT1BFUi45OTcuNC8xLzIwMjUuLi5VU0QuSAEAAADetgEAAgAAAAUyNTkwMwEIAAAABQAAAAExAQAAAAstMjAwODY0NzE5OAMAAAADMTYwAgAAAAMzODAEAAAAATAHAAAACDQvMS8yMDI1CAAAAAoxMi8zMS8yMDIxCQAAAAEwDeZPY8Fz3QgancaUxHPdCDVDSVEuTllTRTpJQk0uSVFfVE9UQUxfT1RIRVJfT1BFUi45OTguNC8xLzIwMjUuLi5VU0QuSAEA</t>
  </si>
  <si>
    <t>AADetgEAAgAAAAUzMTA2MQEIAAAABQAAAAExAQAAAAstMTk1ODI4MTA5NgMAAAADMTYwAgAAAAMzODAEAAAAATAHAAAACDQvMS8yMDI1CAAAAAoxMi8zMS8yMDIyCQAAAAEwDeZPY8Fz3QgancaUxHPdCDVDSVEuTllTRTpJQk0uSVFfVE9UQUxfT1RIRVJfT1BFUi45OTkuNC8xLzIwMjUuLi5VU0QuSAEAAADetgEAAgAAAAUyNDM5NwEIAAAABQAAAAExAQAAAAstMTk1ODI4MTA5NQMAAAADMTYwAgAAAAMzODAEAAAAATAHAAAACDQvMS8yMDI1CAAAAAoxMi8zMS8yMDIzCQAAAAEwDeZPY8Fz3Qj9TMSUxHPdCDVDSVEuTllTRTpJQk0uSVFfVE9UQUxfT1RIRVJfT1BFUi45OTAuNC8xLzIwMjUuLi5VU0QuSAEAAADetgEAAgAAAAUyNjI3OAEIAAAABQAAAAExAQAAAAoxODI5OTExOTY4AwAAAAMxNjACAAAAAzM4MAQAAAABMAcAAAAINC8xLzIwMjUIAAAACjEyLzMxLzIwMTQJAAAAATAN5k9jwXPdCBqdxpTEc90INUNJUS5OWVNFOklCTS5JUV9UT1RBTF9PVEhFUl9PUEVSLjk5MS40LzEvMjAyNS4uLlVTRC5IAQAAAN62AQACAAAABTI0MTY3AQgAAAAFAAAAATEBAAAACjE4NzY0MzI4NzIDAAAAAzE2MAIAAAADMzgwBAAAAAEwBwAAAAg0LzEvMjAyNQgAAAAKMTIvMzEvMjAxNQkAAAABMA3mT2PBc90IGp3GlMRz3Qg1Q0lRLk5ZU0U6SUJNLklRX1RPVEFMX09USEVSX09QRVIuOTkyLjQvMS8yMDI1Li4uVVNELkgB</t>
  </si>
  <si>
    <t>AAAA3rYBAAIAAAAFMjQzNDcBCAAAAAUAAAABMQEAAAAKMTk0NzE3OTU4MwMAAAADMTYwAgAAAAMzODAEAAAAATAHAAAACDQvMS8yMDI1CAAAAAoxMi8zMS8yMDE2CQAAAAEwDeZPY8Fz3QgancaUxHPdCDVDSVEuTllTRTpJQk0uSVFfVE9UQUxfT1RIRVJfT1BFUi45OTMuNC8xLzIwMjUuLi5VU0QuSAEAAADetgEAAgAAAAUyNTI2MQEIAAAABQAAAAExAQAAAAoyMDE3MTY0MjQ0AwAAAAMxNjACAAAAAzM4MAQAAAABMAcAAAAINC8xLzIwMjUIAAAACjEyLzMxLzIwMTcJAAAAATAN5k9jwXPdCBqdxpTEc90INUNJUS5OWVNFOklCTS5JUV9UT1RBTF9PVEhFUl9PUEVSLjk5NC40LzEvMjAyNS4uLlVTRC5IAQAAAN62AQACAAAABTIzNzE5AQgAAAAFAAAAATEBAAAACjIwODE1MDU0MDEDAAAAAzE2MAIAAAADMzgwBAAAAAEwBwAAAAg0LzEvMjAyNQgAAAAKMTIvMzEvMjAxOAkAAAABMA3mT2PBc90IGp3GlMRz3QgvQ0lRLk5ZU0U6SUJNLklRX09USEVSX09QRVIuOTk3LjQvMS8yMDI1Li4uVVNELkgBAAAA3rYBAAIAAAAELTYxMgEIAAAABQAAAAExAQAAAAstMjAwODY0NzE5OAMAAAADMTYwAgAAAAMyNjAEAAAAATAHAAAACDQvMS8yMDI1CAAAAAoxMi8zMS8yMDIxCQAAAAEwDeZPY8Fz3QgancaUxHPdCC9DSVEuTllTRTpJQk0uSVFfT1RIRVJfT1BFUi45OTguNC8xLzIwMjUuLi5VU0QuSAEAAADetgEAAgAAAAQt</t>
  </si>
  <si>
    <t>NjYzAQgAAAAFAAAAATEBAAAACy0xOTU4MjgxMDk2AwAAAAMxNjACAAAAAzI2MAQAAAABMAcAAAAINC8xLzIwMjUIAAAACjEyLzMxLzIwMjIJAAAAATAN5k9jwXPdCBqdxpTEc90IL0NJUS5OWVNFOklCTS5JUV9PVEhFUl9PUEVSLjk5OS40LzEvMjAyNS4uLlVTRC5IAQAAAN62AQACAAAABC04NjABCAAAAAUAAAABMQEAAAALLTE5NTgyODEwOTUDAAAAAzE2MAIAAAADMjYwBAAAAAEwBwAAAAg0LzEvMjAyNQgAAAAKMTIvMzEvMjAyMwkAAAABMA3mT2PBc90I/UzElMRz3QgwQ0lRLk5ZU0U6SUJNLklRX09USEVSX09QRVIuMTAwMC40LzEvMjAyNS4uLlVTRC5IAQAAAN62AQACAAAABC05OTYBCAAAAAUAAAABMQEAAAALLTE5NTgyODEwOTcDAAAAAzE2MAIAAAADMjYwBAAAAAEwBwAAAAg0LzEvMjAyNQgAAAAKMTIvMzEvMjAyNAkAAAABMA3mT2PBc90IGp3GlMRz3QgwQ0lRLk5ZU0U6SUJNLklRX09USEVSX09QRVIuMjAwMC40LzEvMjAyNS4uLlVTRC5IAQAAAN62AQACAAAABC05OTYBCAAAAAUAAAABMQEAAAALLTE5NTgyODA2MTUDAAAAAzE2MAIAAAADMjYwBAAAAAEwBwAAAAg0LzEvMjAyNQgAAAAKMTIvMzEvMjAyNAkAAAABMA3mT2PBc90INlq+lMRz3QgvQ0lRLk5ZU0U6SUJNLklRX09USEVSX09QRVIuOTkyLjQvMS8yMDI1Li4uVVNELkgBAAAA3rYBAAIAAAAFLTE2MDQBCAAAAAUAAAABMQEAAAAKMTk0</t>
  </si>
  <si>
    <t>NzE3OTU4MwMAAAADMTYwAgAAAAMyNjAEAAAAATAHAAAACDQvMS8yMDI1CAAAAAoxMi8zMS8yMDE2CQAAAAEwDeZPY8Fz3QgancaUxHPdCC9DSVEuTllTRTpJQk0uSVFfT1RIRVJfT1BFUi45OTMuNC8xLzIwMjUuLi5VU0QuSAEAAADetgEAAgAAAAUtMTQ2NgEIAAAABQAAAAExAQAAAAoyMDE3MTY0MjQ0AwAAAAMxNjACAAAAAzI2MAQAAAABMAcAAAAINC8xLzIwMjUIAAAACjEyLzMxLzIwMTcJAAAAATAN5k9jwXPdCBqdxpTEc90IL0NJUS5OWVNFOklCTS5JUV9PVEhFUl9PUEVSLjk5NC40LzEvMjAyNS4uLlVTRC5IAQAAAN62AQACAAAABS0xMDI2AQgAAAAFAAAAATEBAAAACjIwODE1MDU0MDEDAAAAAzE2MAIAAAADMjYwBAAAAAEwBwAAAAg0LzEvMjAyNQgAAAAKMTIvMzEvMjAxOAkAAAABMA3mT2PBc90IGp3GlMRz3QgvQ0lRLk5ZU0U6SUJNLklRX09USEVSX09QRVIuOTk1LjQvMS8yMDI1Li4uVVNELkgBAAAA3rYBAAIAAAAELTYzOQEIAAAABQAAAAExAQAAAAstMjExMDc2OTM1NQMAAAADMTYwAgAAAAMyNjAEAAAAATAHAAAACDQvMS8yMDI1CAAAAAoxMi8zMS8yMDE5CQAAAAEwDeZPY8Fz3QgancaUxHPdCC9DSVEuTllTRTpJQk0uSVFfT1RIRVJfT1BFUi45OTYuNC8xLzIwMjUuLi5VU0QuSAEAAADetgEAAgAAAAQtNjIwAQgAAAAFAAAAATEBAAAACy0yMDU5MDczMjAyAwAAAAMxNjACAAAAAzI2MAQA</t>
  </si>
  <si>
    <t>AAABMAcAAAAINC8xLzIwMjUIAAAACjEyLzMxLzIwMjAJAAAAATAN5k9jwXPdCBqdxpTEc90IL0NJUS5OWVNFOklCTS5JUV9JTVBBSVJfT0lMLjk5OS40LzEvMjAyNS4uLlVTRC5IAQAAAN62AQADAAAAAAAN5k9jwXPdCP1MxJTEc90IMENJUS5OWVNFOklCTS5JUV9JTVBBSVJfT0lMLjEwMDAuNC8xLzIwMjUuLi5VU0QuSAEAAADetgEAAwAAAAAADeZPY8Fz3QhynsWUxHPdCDBDSVEuTllTRTpJQk0uSVFfSU1QQUlSX09JTC4yMDAwLjQvMS8yMDI1Li4uVVNELkgBAAAA3rYBAAMAAAAAAA3mT2PBc90INlq+lMRz3QgvQ0lRLk5ZU0U6SUJNLklRX09USEVSX09QRVIuOTkwLjQvMS8yMDI1Li4uVVNELkgBAAAA3rYBAAIAAAAELTcwOAEIAAAABQAAAAExAQAAAAoxODI5OTExOTY4AwAAAAMxNjACAAAAAzI2MAQAAAABMAcAAAAINC8xLzIwMjUIAAAACjEyLzMxLzIwMTQJAAAAATAN5k9jwXPdCHKexZTEc90IL0NJUS5OWVNFOklCTS5JUV9PVEhFUl9PUEVSLjk5MS40LzEvMjAyNS4uLlVTRC5IAQAAAN62AQACAAAABC02NjkBCAAAAAUAAAABMQEAAAAKMTg3NjQzMjg3MgMAAAADMTYwAgAAAAMyNjAEAAAAATAHAAAACDQvMS8yMDI1CAAAAAoxMi8zMS8yMDE1CQAAAAEwDeZPY8Fz3QhynsWUxHPdCC9DSVEuTllTRTpJQk0uSVFfSU1QQUlSX09JTC45OTQuNC8xLzIwMjUuLi5VU0QuSAEAAADetgEAAwAAAAAADeZP</t>
  </si>
  <si>
    <t>Y8Fz3QgancaUxHPdCC9DSVEuTllTRTpJQk0uSVFfSU1QQUlSX09JTC45OTUuNC8xLzIwMjUuLi5VU0QuSAEAAADetgEAAwAAAAAADeZPY8Fz3QhynsWUxHPdCC9DSVEuTllTRTpJQk0uSVFfSU1QQUlSX09JTC45OTYuNC8xLzIwMjUuLi5VU0QuSAEAAADetgEAAwAAAAAADeZPY8Fz3QhynsWUxHPdCC9DSVEuTllTRTpJQk0uSVFfSU1QQUlSX09JTC45OTcuNC8xLzIwMjUuLi5VU0QuSAEAAADetgEAAwAAAAAADeZPY8Fz3QhynsWUxHPdCC9DSVEuTllTRTpJQk0uSVFfSU1QQUlSX09JTC45OTguNC8xLzIwMjUuLi5VU0QuSAEAAADetgEAAwAAAAAADeZPY8Fz3QhynsWUxHPdCDRDSVEuTllTRTpJQk0uSVFfR1dfSU5UQU5fQU1PUlQuMjAwMC40LzEvMjAyNS4uLlVTRC5IAQAAAN62AQADAAAAAAAN5k9jwXPdCDZavpTEc90IL0NJUS5OWVNFOklCTS5JUV9JTVBBSVJfT0lMLjk5MC40LzEvMjAyNS4uLlVTRC5IAQAAAN62AQADAAAAAAAN5k9jwXPdCHKexZTEc90IL0NJUS5OWVNFOklCTS5JUV9JTVBBSVJfT0lMLjk5MS40LzEvMjAyNS4uLlVTRC5IAQAAAN62AQADAAAAAAAN5k9jwXPdCHKexZTEc90IL0NJUS5OWVNFOklCTS5JUV9JTVBBSVJfT0lMLjk5Mi40LzEvMjAyNS4uLlVTRC5IAQAAAN62AQADAAAAAAAN5k9jwXPdCHKexZTEc90IL0NJUS5OWVNFOklCTS5JUV9JTVBBSVJfT0lMLjk5My40LzEvMjAy</t>
  </si>
  <si>
    <t>NS4uLlVTRC5IAQAAAN62AQADAAAAAAAN5k9jwXPdCHKexZTEc90IM0NJUS5OWVNFOklCTS5JUV9HV19JTlRBTl9BTU9SVC45OTYuNC8xLzIwMjUuLi5VU0QuSAEAAADetgEAAwAAAAAADeZPY8Fz3QhynsWUxHPdCDNDSVEuTllTRTpJQk0uSVFfR1dfSU5UQU5fQU1PUlQuOTk3LjQvMS8yMDI1Li4uVVNELkgBAAAA3rYBAAMAAAAAAA3mT2PBc90Icp7FlMRz3QgzQ0lRLk5ZU0U6SUJNLklRX0dXX0lOVEFOX0FNT1JULjk5OC40LzEvMjAyNS4uLlVTRC5IAQAAAN62AQADAAAAAAAN5k9jwXPdCHKexZTEc90IM0NJUS5OWVNFOklCTS5JUV9HV19JTlRBTl9BTU9SVC45OTkuNC8xLzIwMjUuLi5VU0QuSAEAAADetgEAAwAAAAAADeZPY8Fz3Qj9TMSUxHPdCDRDSVEuTllTRTpJQk0uSVFfR1dfSU5UQU5fQU1PUlQuMTAwMC40LzEvMjAyNS4uLlVTRC5IAQAAAN62AQADAAAAAAAN5k9jwXPdCHKexZTEc90IM0NJUS5OWVNFOklCTS5JUV9HV19JTlRBTl9BTU9SVC45OTEuNC8xLzIwMjUuLi5VU0QuSAEAAADetgEAAwAAAAAADeZPY8Fz3QhynsWUxHPdCDNDSVEuTllTRTpJQk0uSVFfR1dfSU5UQU5fQU1PUlQuOTkyLjQvMS8yMDI1Li4uVVNELkgBAAAA3rYBAAMAAAAAAA3mT2PBc90Icp7FlMRz3QgzQ0lRLk5ZU0U6SUJNLklRX0dXX0lOVEFOX0FNT1JULjk5My40LzEvMjAyNS4uLlVTRC5IAQAAAN62AQADAAAAAAAN</t>
  </si>
  <si>
    <t>5k9jwXPdCHKexZTEc90IM0NJUS5OWVNFOklCTS5JUV9HV19JTlRBTl9BTU9SVC45OTQuNC8xLzIwMjUuLi5VU0QuSAEAAADetgEAAwAAAAAADeZPY8Fz3QhynsWUxHPdCDNDSVEuTllTRTpJQk0uSVFfR1dfSU5UQU5fQU1PUlQuOTk1LjQvMS8yMDI1Li4uVVNELkgBAAAA3rYBAAMAAAAAAA3mT2PBc90Icp7FlMRz3QgtQ0lRLk5ZU0U6SUJNLklRX0RBX1NVUFBMLjk5OC40LzEvMjAyNS4uLlVTRC5IAQAAAN62AQADAAAAAAAN5k9jwXPdCHKexZTEc90ILUNJUS5OWVNFOklCTS5JUV9EQV9TVVBQTC45OTkuNC8xLzIwMjUuLi5VU0QuSAEAAADetgEAAwAAAAAADeZPY8Fz3Qj9TMSUxHPdCC5DSVEuTllTRTpJQk0uSVFfREFfU1VQUEwuMTAwMC40LzEvMjAyNS4uLlVTRC5IAQAAAN62AQADAAAAAAAN5k9jwXPdCHKexZTEc90ILkNJUS5OWVNFOklCTS5JUV9EQV9TVVBQTC4yMDAwLjQvMS8yMDI1Li4uVVNELkgBAAAA3rYBAAMAAAAAAA3mT2PBc90INlq+lMRz3QgzQ0lRLk5ZU0U6SUJNLklRX0dXX0lOVEFOX0FNT1JULjk5MC40LzEvMjAyNS4uLlVTRC5IAQAAAN62AQADAAAAAAAN5k9jwXPdCHKexZTEc90ILUNJUS5OWVNFOklCTS5JUV9EQV9TVVBQTC45OTMuNC8xLzIwMjUuLi5VU0QuSAEAAADetgEAAwAAAAAADeZPY8Fz3QhynsWUxHPdCC1DSVEuTllTRTpJQk0uSVFfREFfU1VQUEwuOTk0LjQvMS8yMDI1</t>
  </si>
  <si>
    <t>Li4uVVNELkgBAAAA3rYBAAMAAAAAAA3mT2PBc90Icp7FlMRz3QgtQ0lRLk5ZU0U6SUJNLklRX0RBX1NVUFBMLjk5NS40LzEvMjAyNS4uLlVTRC5IAQAAAN62AQADAAAAAAAN5k9jwXPdCHKexZTEc90ILUNJUS5OWVNFOklCTS5JUV9EQV9TVVBQTC45OTYuNC8xLzIwMjUuLi5VU0QuSAEAAADetgEAAwAAAAAADeZPY8Fz3QhynsWUxHPdCC1DSVEuTllTRTpJQk0uSVFfREFfU1VQUEwuOTk3LjQvMS8yMDI1Li4uVVNELkgBAAAA3rYBAAMAAAAAAA3mT2PBc90Icp7FlMRz3QgsQ0lRLk5ZU0U6SUJNLklRX1JEX0VYUC4xMDAwLjQvMS8yMDI1Li4uVVNELkgBAAAA3rYBAAIAAAAENzQ3OQEIAAAABQAAAAExAQAAAAstMTk1ODI4MTA5NwMAAAADMTYwAgAAAAMxMDAEAAAAATAHAAAACDQvMS8yMDI1CAAAAAoxMi8zMS8yMDI0CQAAAAEwDeZPY8Fz3QhynsWUxHPdCCxDSVEuTllTRTpJQk0uSVFfUkRfRVhQLjIwMDAuNC8xLzIwMjUuLi5VU0QuSAEAAADetgEAAgAAAAQ3NDc5AQgAAAAFAAAAATEBAAAACy0xOTU4MjgwNjE1AwAAAAMxNjACAAAAAzEwMAQAAAABMAcAAAAINC8xLzIwMjUIAAAACjEyLzMxLzIwMjQJAAAAATAN5k9jwXPdCDZavpTEc90ILUNJUS5OWVNFOklCTS5JUV9EQV9TVVBQTC45OTAuNC8xLzIwMjUuLi5VU0QuSAEAAADetgEAAwAAAAAADeZPY8Fz3QhynsWUxHPdCC1DSVEuTllTRTpJQk0uSVFf</t>
  </si>
  <si>
    <t>REFfU1VQUEwuOTkxLjQvMS8yMDI1Li4uVVNELkgBAAAA3rYBAAMAAAAAAA3mT2PBc90Icp7FlMRz3QgtQ0lRLk5ZU0U6SUJNLklRX0RBX1NVUFBMLjk5Mi40LzEvMjAyNS4uLlVTRC5IAQAAAN62AQADAAAAAAAN5k9jwXPdCHKexZTEc90IK0NJUS5OWVNFOklCTS5JUV9SRF9FWFAuOTk1LjQvMS8yMDI1Li4uVVNELkgBAAAA3rYBAAIAAAAENTkxMAEIAAAABQAAAAExAQAAAAstMjExMDc2OTM1NQMAAAADMTYwAgAAAAMxMDAEAAAAATAHAAAACDQvMS8yMDI1CAAAAAoxMi8zMS8yMDE5CQAAAAEwDeZPY8Fz3QhynsWUxHPdCCtDSVEuTllTRTpJQk0uSVFfUkRfRVhQLjk5Ni40LzEvMjAyNS4uLlVTRC5IAQAAAN62AQACAAAABDYyNjIBCAAAAAUAAAABMQEAAAALLTIwNTkwNzMyMDIDAAAAAzE2MAIAAAADMTAwBAAAAAEwBwAAAAg0LzEvMjAyNQgAAAAKMTIvMzEvMjAyMAkAAAABMA3mT2PBc90Icp7FlMRz3QgrQ0lRLk5ZU0U6SUJNLklRX1JEX0VYUC45OTcuNC8xLzIwMjUuLi5VU0QuSAEAAADetgEAAgAAAAQ2NDg4AQgAAAAFAAAAATEBAAAACy0yMDA4NjQ3MTk4AwAAAAMxNjACAAAAAzEwMAQAAAABMAcAAAAINC8xLzIwMjUIAAAACjEyLzMxLzIwMjEJAAAAATAN5k9jwXPdCHKexZTEc90IK0NJUS5OWVNFOklCTS5JUV9SRF9FWFAuOTk4LjQvMS8yMDI1Li4uVVNELkgBAAAA3rYBAAIAAAAENjU2NwEIAAAA</t>
  </si>
  <si>
    <t>BQAAAAExAQAAAAstMTk1ODI4MTA5NgMAAAADMTYwAgAAAAMxMDAEAAAAATAHAAAACDQvMS8yMDI1CAAAAAoxMi8zMS8yMDIyCQAAAAEwDeZPY8Fz3QhynsWUxHPdCCtDSVEuTllTRTpJQk0uSVFfUkRfRVhQLjk5OS40LzEvMjAyNS4uLlVTRC5IAQAAAN62AQACAAAABDY3NzUBCAAAAAUAAAABMQEAAAALLTE5NTgyODEwOTUDAAAAAzE2MAIAAAADMTAwBAAAAAEwBwAAAAg0LzEvMjAyNQgAAAAKMTIvMzEvMjAyMwkAAAABMA3mT2PBc90ID3jElMRz3QgrQ0lRLk5ZU0U6SUJNLklRX1JEX0VYUC45OTAuNC8xLzIwMjUuLi5VU0QuSAEAAADetgEAAgAAAAQ1NDM3AQgAAAAFAAAAATEBAAAACjE4Mjk5MTE5NjgDAAAAAzE2MAIAAAADMTAwBAAAAAEwBwAAAAg0LzEvMjAyNQgAAAAKMTIvMzEvMjAxNAkAAAABMA3mT2PBc90Icp7FlMRz3QgrQ0lRLk5ZU0U6SUJNLklRX1JEX0VYUC45OTEuNC8xLzIwMjUuLi5VU0QuSAEAAADetgEAAgAAAAQ1MjQ3AQgAAAAFAAAAATEBAAAACjE4NzY0MzI4NzIDAAAAAzE2MAIAAAADMTAwBAAAAAEwBwAAAAg0LzEvMjAyNQgAAAAKMTIvMzEvMjAxNQkAAAABMA3mT2PBc90Icp7FlMRz3QgrQ0lRLk5ZU0U6SUJNLklRX1JEX0VYUC45OTIuNC8xLzIwMjUuLi5VU0QuSAEAAADetgEAAgAAAAQ1NzI2AQgAAAAFAAAAATEBAAAACjE5NDcxNzk1ODMDAAAAAzE2MAIAAAADMTAwBAAAAAEw</t>
  </si>
  <si>
    <t>BwAAAAg0LzEvMjAyNQgAAAAKMTIvMzEvMjAxNgkAAAABMA3mT2PBc90Icp7FlMRz3QgrQ0lRLk5ZU0U6SUJNLklRX1JEX0VYUC45OTMuNC8xLzIwMjUuLi5VU0QuSAEAAADetgEAAgAAAAQ1NTkwAQgAAAAFAAAAATEBAAAACjIwMTcxNjQyNDQDAAAAAzE2MAIAAAADMTAwBAAAAAEwBwAAAAg0LzEvMjAyNQgAAAAKMTIvMzEvMjAxNwkAAAABMA3mT2PBc90Icp7FlMRz3QgrQ0lRLk5ZU0U6SUJNLklRX1JEX0VYUC45OTQuNC8xLzIwMjUuLi5VU0QuSAEAAADetgEAAgAAAAQ1Mzc5AQgAAAAFAAAAATEBAAAACjIwODE1MDU0MDEDAAAAAzE2MAIAAAADMTAwBAAAAAEwBwAAAAg0LzEvMjAyNQgAAAAKMTIvMzEvMjAxOAkAAAABMA3mT2PBc90Icp7FlMRz3QgyQ0lRLk5ZU0U6SUJNLklRX1BSRV9PUEVOX0NPU1QuOTk3LjQvMS8yMDI1Li4uVVNELkgBAAAA3rYBAAMAAAAAAA3mT2PBc90Icp7FlMRz3QgyQ0lRLk5ZU0U6SUJNLklRX1BSRV9PUEVOX0NPU1QuOTk4LjQvMS8yMDI1Li4uVVNELkgBAAAA3rYBAAMAAAAAAA3mT2PBc90Icp7FlMRz3QgyQ0lRLk5ZU0U6SUJNLklRX1BSRV9PUEVOX0NPU1QuOTk5LjQvMS8yMDI1Li4uVVNELkgBAAAA3rYBAAMAAAAAAA3mT2PBc90IoGLElMRz3QgzQ0lRLk5ZU0U6SUJNLklRX1BSRV9PUEVOX0NPU1QuMTAwMC40LzEvMjAyNS4uLlVTRC5IAQAAAN62AQADAAAAAAAN5k9j</t>
  </si>
  <si>
    <t>wXPdCHKexZTEc90IM0NJUS5OWVNFOklCTS5JUV9QUkVfT1BFTl9DT1NULjIwMDAuNC8xLzIwMjUuLi5VU0QuSAEAAADetgEAAwAAAAAADeZPY8Fz3Qg2Wr6UxHPdCDJDSVEuTllTRTpJQk0uSVFfUFJFX09QRU5fQ09TVC45OTIuNC8xLzIwMjUuLi5VU0QuSAEAAADetgEAAwAAAAAADeZPY8Fz3QhynsWUxHPdCDJDSVEuTllTRTpJQk0uSVFfUFJFX09QRU5fQ09TVC45OTMuNC8xLzIwMjUuLi5VU0QuSAEAAADetgEAAwAAAAAADeZPY8Fz3QhynsWUxHPdCDJDSVEuTllTRTpJQk0uSVFfUFJFX09QRU5fQ09TVC45OTQuNC8xLzIwMjUuLi5VU0QuSAEAAADetgEAAwAAAAAADeZPY8Fz3QhynsWUxHPdCDJDSVEuTllTRTpJQk0uSVFfUFJFX09QRU5fQ09TVC45OTUuNC8xLzIwMjUuLi5VU0QuSAEAAADetgEAAwAAAAAADeZPY8Fz3QhynsWUxHPdCDJDSVEuTllTRTpJQk0uSVFfUFJFX09QRU5fQ09TVC45OTYuNC8xLzIwMjUuLi5VU0QuSAEAAADetgEAAwAAAAAADeZPY8Fz3QhynsWUxHPdCDBDSVEuTllTRTpJQk0uSVFfU1RPQ0tfQkFTRUQuOTk5LjQvMS8yMDI1Li4uVVNELkgBAAAA3rYBAAMAAAAAAA3mT2PBc90IoGLElMRz3QgxQ0lRLk5ZU0U6SUJNLklRX1NUT0NLX0JBU0VELjEwMDAuNC8xLzIwMjUuLi5VU0QuSAEAAADetgEAAwAAAAAADeZPY8Fz3QhynsWUxHPdCDFDSVEuTllTRTpJQk0uSVFfU1RPQ0tf</t>
  </si>
  <si>
    <t>QkFTRUQuMjAwMC40LzEvMjAyNS4uLlVTRC5IAQAAAN62AQADAAAAAAAN5k9jwXPdCDZavpTEc90IMkNJUS5OWVNFOklCTS5JUV9QUkVfT1BFTl9DT1NULjk5MC40LzEvMjAyNS4uLlVTRC5IAQAAAN62AQADAAAAAAAN5k9jwXPdCHKexZTEc90IMkNJUS5OWVNFOklCTS5JUV9QUkVfT1BFTl9DT1NULjk5MS40LzEvMjAyNS4uLlVTRC5IAQAAAN62AQADAAAAAAAN5k9jwXPdCHKexZTEc90IMENJUS5OWVNFOklCTS5JUV9TVE9DS19CQVNFRC45OTQuNC8xLzIwMjUuLi5VU0QuSAEAAADetgEAAwAAAAAADeZPY8Fz3QhynsWUxHPdCDBDSVEuTllTRTpJQk0uSVFfU1RPQ0tfQkFTRUQuOTk1LjQvMS8yMDI1Li4uVVNELkgBAAAA3rYBAAMAAAAAAA3mT2PBc90Icp7FlMRz3QgwQ0lRLk5ZU0U6SUJNLklRX1NUT0NLX0JBU0VELjk5Ni40LzEvMjAyNS4uLlVTRC5IAQAAAN62AQADAAAAAAAN5k9jwXPdCHKexZTEc90IMENJUS5OWVNFOklCTS5JUV9TVE9DS19CQVNFRC45OTcuNC8xLzIwMjUuLi5VU0QuSAEAAADetgEAAwAAAAAADeZPY8Fz3QhynsWUxHPdCDBDSVEuTllTRTpJQk0uSVFfU1RPQ0tfQkFTRUQuOTk4LjQvMS8yMDI1Li4uVVNELkgBAAAA3rYBAAMAAAAAAA3mT2PBc90Icp7FlMRz3Qg0Q0lRLk5ZU0U6SUJNLklRX1BST1ZfQkFEX0RFQlRTLjIwMDAuNC8xLzIwMjUuLi5VU0QuSAEAAADetgEAAwAAAAAA</t>
  </si>
  <si>
    <t>DeZPY8Fz3Qg2Wr6UxHPdCDBDSVEuTllTRTpJQk0uSVFfU1RPQ0tfQkFTRUQuOTkwLjQvMS8yMDI1Li4uVVNELkgBAAAA3rYBAAMAAAAAAA3mT2PBc90Icp7FlMRz3QgwQ0lRLk5ZU0U6SUJNLklRX1NUT0NLX0JBU0VELjk5MS40LzEvMjAyNS4uLlVTRC5IAQAAAN62AQADAAAAAAAN5k9jwXPdCHKexZTEc90IMENJUS5OWVNFOklCTS5JUV9TVE9DS19CQVNFRC45OTIuNC8xLzIwMjUuLi5VU0QuSAEAAADetgEAAwAAAAAADeZPY8Fz3QhynsWUxHPdCDBDSVEuTllTRTpJQk0uSVFfU1RPQ0tfQkFTRUQuOTkzLjQvMS8yMDI1Li4uVVNELkgBAAAA3rYBAAMAAAAAAA3mT2PBc90Icp7FlMRz3QgzQ0lRLk5ZU0U6SUJNLklRX1BST1ZfQkFEX0RFQlRTLjk5Ni40LzEvMjAyNS4uLlVTRC5IAQAAAN62AQADAAAAAAAN5k9jwXPdCHKexZTEc90IM0NJUS5OWVNFOklCTS5JUV9QUk9WX0JBRF9ERUJUUy45OTcuNC8xLzIwMjUuLi5VU0QuSAEAAADetgEAAwAAAAAADeZPY8Fz3QhynsWUxHPdCDNDSVEuTllTRTpJQk0uSVFfUFJPVl9CQURfREVCVFMuOTk4LjQvMS8yMDI1Li4uVVNELkgBAAAA3rYBAAMAAAAAAA3mT2PBc90Icp7FlMRz3QgzQ0lRLk5ZU0U6SUJNLklRX1BST1ZfQkFEX0RFQlRTLjk5OS40LzEvMjAyNS4uLlVTRC5IAQAAAN62AQADAAAAAAAN5k9jwXPdCKBixJTEc90INENJUS5OWVNFOklCTS5JUV9QUk9W</t>
  </si>
  <si>
    <t>X0JBRF9ERUJUUy4xMDAwLjQvMS8yMDI1Li4uVVNELkgBAAAA3rYBAAMAAAAAAA3mT2PBc90Icp7FlMRz3QgzQ0lRLk5ZU0U6SUJNLklRX1BST1ZfQkFEX0RFQlRTLjk5MS40LzEvMjAyNS4uLlVTRC5IAQAAAN62AQADAAAAAAAN5k9jwXPdCHKexZTEc90IM0NJUS5OWVNFOklCTS5JUV9QUk9WX0JBRF9ERUJUUy45OTIuNC8xLzIwMjUuLi5VU0QuSAEAAADetgEAAwAAAAAADeZPY8Fz3QhynsWUxHPdCDNDSVEuTllTRTpJQk0uSVFfUFJPVl9CQURfREVCVFMuOTkzLjQvMS8yMDI1Li4uVVNELkgBAAAA3rYBAAMAAAAAAA3mT2PBc90Icp7FlMRz3QgzQ0lRLk5ZU0U6SUJNLklRX1BST1ZfQkFEX0RFQlRTLjk5NC40LzEvMjAyNS4uLlVTRC5IAQAAAN62AQADAAAAAAAN5k9jwXPdCHKexZTEc90IM0NJUS5OWVNFOklCTS5JUV9QUk9WX0JBRF9ERUJUUy45OTUuNC8xLzIwMjUuLi5VU0QuSAEAAADetgEAAwAAAAAADeZPY8Fz3QhynsWUxHPdCDJDSVEuTllTRTpJQk0uSVFfRVhQTE9SRV9EUklMTC45OTguNC8xLzIwMjUuLi5VU0QuSAEAAADetgEAAwAAAAAADeZPY8Fz3QhynsWUxHPdCDJDSVEuTllTRTpJQk0uSVFfRVhQTE9SRV9EUklMTC45OTkuNC8xLzIwMjUuLi5VU0QuSAEAAADetgEAAwAAAAAADeZPY8Fz3Qj9TMSUxHPdCDNDSVEuTllTRTpJQk0uSVFfRVhQTE9SRV9EUklMTC4xMDAwLjQvMS8yMDI1Li4u</t>
  </si>
  <si>
    <t>VVNELkgBAAAA3rYBAAMAAAAAAA3mT2PBc90Icp7FlMRz3QgzQ0lRLk5ZU0U6SUJNLklRX0VYUExPUkVfRFJJTEwuMjAwMC40LzEvMjAyNS4uLlVTRC5IAQAAAN62AQADAAAAAAAN5k9jwXPdCDZavpTEc90IM0NJUS5OWVNFOklCTS5JUV9QUk9WX0JBRF9ERUJUUy45OTAuNC8xLzIwMjUuLi5VU0QuSAEAAADetgEAAwAAAAAADeZPY8Fz3QhynsWUxHPdCDJDSVEuTllTRTpJQk0uSVFfRVhQTE9SRV9EUklMTC45OTMuNC8xLzIwMjUuLi5VU0QuSAEAAADetgEAAwAAAAAADeZPY8Fz3QhynsWUxHPdCDJDSVEuTllTRTpJQk0uSVFfRVhQTE9SRV9EUklMTC45OTQuNC8xLzIwMjUuLi5VU0QuSAEAAADetgEAAwAAAAAADeZPY8Fz3QhynsWUxHPdCDJDSVEuTllTRTpJQk0uSVFfRVhQTE9SRV9EUklMTC45OTUuNC8xLzIwMjUuLi5VU0QuSAEAAADetgEAAwAAAAAADeZPY8Fz3QhynsWUxHPdCDJDSVEuTllTRTpJQk0uSVFfRVhQTE9SRV9EUklMTC45OTYuNC8xLzIwMjUuLi5VU0QuSAEAAADetgEAAwAAAAAADeZPY8Fz3QhynsWUxHPdCDJDSVEuTllTRTpJQk0uSVFfRVhQTE9SRV9EUklMTC45OTcuNC8xLzIwMjUuLi5VU0QuSAEAAADetgEAAwAAAAAADeZPY8Fz3QhynsWUxHPdCC9DSVEuTllTRTpJQk0uSVFfU0dBX1NVUFBMLjEwMDAuNC8xLzIwMjUuLi5VU0QuSAEAAADetgEAAgAAAAUyMjM5NAEIAAAABQAAAAEx</t>
  </si>
  <si>
    <t>AQAAAAstMTk1ODI4MTA5NwMAAAADMTYwAgAAAAMxMDIEAAAAATAHAAAACDQvMS8yMDI1CAAAAAoxMi8zMS8yMDI0CQAAAAEwDeZPY8Fz3QhynsWUxHPdCC9DSVEuTllTRTpJQk0uSVFfU0dBX1NVUFBMLjIwMDAuNC8xLzIwMjUuLi5VU0QuSAEAAADetgEAAgAAAAUyMjM5NAEIAAAABQAAAAExAQAAAAstMTk1ODI4MDYxNQMAAAADMTYwAgAAAAMxMDIEAAAAATAHAAAACDQvMS8yMDI1CAAAAAoxMi8zMS8yMDI0CQAAAAEwDeZPY8Fz3Qg2Wr6UxHPdCDJDSVEuTllTRTpJQk0uSVFfRVhQTE9SRV9EUklMTC45OTAuNC8xLzIwMjUuLi5VU0QuSAEAAADetgEAAwAAAAAADeZPY8Fz3QhynsWUxHPdCDJDSVEuTllTRTpJQk0uSVFfRVhQTE9SRV9EUklMTC45OTEuNC8xLzIwMjUuLi5VU0QuSAEAAADetgEAAwAAAAAADeZPY8Fz3QhynsWUxHPdCDJDSVEuTllTRTpJQk0uSVFfRVhQTE9SRV9EUklMTC45OTIuNC8xLzIwMjUuLi5VU0QuSAEAAADetgEAAwAAAAAADeZPY8Fz3QhynsWUxHPdCC5DSVEuTllTRTpJQk0uSVFfU0dBX1NVUFBMLjk5NS40LzEvMjAyNS4uLlVTRC5IAQAAAN62AQACAAAABTE4NzI0AQgAAAAFAAAAATEBAAAACy0yMTEwNzY5MzU1AwAAAAMxNjACAAAAAzEwMgQAAAABMAcAAAAINC8xLzIwMjUIAAAACjEyLzMxLzIwMTkJAAAAATAN5k9jwXPdCHKexZTEc90ILkNJUS5OWVNFOklCTS5JUV9TR0Ff</t>
  </si>
  <si>
    <t>U1VQUEwuOTk2LjQvMS8yMDI1Li4uVVNELkgBAAAA3rYBAAIAAAAFMjA1NjEBCAAAAAUAAAABMQEAAAALLTIwNTkwNzMyMDIDAAAAAzE2MAIAAAADMTAyBAAAAAEwBwAAAAg0LzEvMjAyNQgAAAAKMTIvMzEvMjAyMAkAAAABMA3mT2PBc90Icp7FlMRz3QguQ0lRLk5ZU0U6SUJNLklRX1NHQV9TVVBQTC45OTcuNC8xLzIwMjUuLi5VU0QuSAEAAADetgEAAgAAAAUyMDAyNwEIAAAABQAAAAExAQAAAAstMjAwODY0NzE5OAMAAAADMTYwAgAAAAMxMDIEAAAAATAHAAAACDQvMS8yMDI1CAAAAAoxMi8zMS8yMDIxCQAAAAEwDeZPY8Fz3QhynsWUxHPdCC5DSVEuTllTRTpJQk0uSVFfU0dBX1NVUFBMLjk5OC40LzEvMjAyNS4uLlVTRC5IAQAAAN62AQACAAAABTI1MTU3AQgAAAAFAAAAATEBAAAACy0xOTU4MjgxMDk2AwAAAAMxNjACAAAAAzEwMgQAAAABMAcAAAAINC8xLzIwMjUIAAAACjEyLzMxLzIwMjIJAAAAATAN5k9jwXPdCHKexZTEc90ILkNJUS5OWVNFOklCTS5JUV9TR0FfU1VQUEwuOTk5LjQvMS8yMDI1Li4uVVNELkgBAAAA3rYBAAIAAAAFMTg0ODIBCAAAAAUAAAABMQEAAAALLTE5NTgyODEwOTUDAAAAAzE2MAIAAAADMTAyBAAAAAEwBwAAAAg0LzEvMjAyNQgAAAAKMTIvMzEvMjAyMwkAAAABMA3mT2PBc90I/UzElMRz3QguQ0lRLk5ZU0U6SUJNLklRX1NHQV9TVVBQTC45OTAuNC8xLzIwMjUuLi5VU0Qu</t>
  </si>
  <si>
    <t>SAEAAADetgEAAgAAAAUyMTU0OQEIAAAABQAAAAExAQAAAAoxODI5OTExOTY4AwAAAAMxNjACAAAAAzEwMgQAAAABMAcAAAAINC8xLzIwMjUIAAAACjEyLzMxLzIwMTQJAAAAATAN5k9jwXPdCHKexZTEc90ILkNJUS5OWVNFOklCTS5JUV9TR0FfU1VQUEwuOTkxLjQvMS8yMDI1Li4uVVNELkgBAAAA3rYBAAIAAAAFMTk1ODkBCAAAAAUAAAABMQEAAAAKMTg3NjQzMjg3MgMAAAADMTYwAgAAAAMxMDIEAAAAATAHAAAACDQvMS8yMDI1CAAAAAoxMi8zMS8yMDE1CQAAAAEwDeZPY8Fz3QhynsWUxHPdCC5DSVEuTllTRTpJQk0uSVFfU0dBX1NVUFBMLjk5Mi40LzEvMjAyNS4uLlVTRC5IAQAAAN62AQACAAAABTIwMjI1AQgAAAAFAAAAATEBAAAACjE5NDcxNzk1ODMDAAAAAzE2MAIAAAADMTAyBAAAAAEwBwAAAAg0LzEvMjAyNQgAAAAKMTIvMzEvMjAxNgkAAAABMA3mT2PBc90Icp7FlMRz3QguQ0lRLk5ZU0U6SUJNLklRX1NHQV9TVVBQTC45OTMuNC8xLzIwMjUuLi5VU0QuSAEAAADetgEAAgAAAAUyMTEzNwEIAAAABQAAAAExAQAAAAoyMDE3MTY0MjQ0AwAAAAMxNjACAAAAAzEwMgQAAAABMAcAAAAINC8xLzIwMjUIAAAACjEyLzMxLzIwMTcJAAAAATAN5k9jwXPdCHKexZTEc90ILkNJUS5OWVNFOklCTS5JUV9TR0FfU1VQUEwuOTk0LjQvMS8yMDI1Li4uVVNELkgBAAAA3rYBAAIAAAAFMTkzNjYBCAAAAAUAAAAB</t>
  </si>
  <si>
    <t>MQEAAAAKMjA4MTUwNTQwMQMAAAADMTYwAgAAAAMxMDIEAAAAATAHAAAACDQvMS8yMDI1CAAAAAoxMi8zMS8yMDE4CQAAAAEwDeZPY8Fz3QhynsWUxHPdCCdDSVEuTllTRTpJQk0uSVFfR1AuOTk3LjQvMS8yMDI1Li4uVVNELkgBAAAA3rYBAAIAAAAFMzE0ODYBCAAAAAUAAAABMQEAAAALLTIwMDg2NDcxOTgDAAAAAzE2MAIAAAACMTAEAAAAATAHAAAACDQvMS8yMDI1CAAAAAoxMi8zMS8yMDIxCQAAAAEwDeZPY8Fz3QhynsWUxHPdCCdDSVEuTllTRTpJQk0uSVFfR1AuOTk4LjQvMS8yMDI1Li4uVVNELkgBAAAA3rYBAAIAAAAFMzI2ODgBCAAAAAUAAAABMQEAAAALLTE5NTgyODEwOTYDAAAAAzE2MAIAAAACMTAEAAAAATAHAAAACDQvMS8yMDI1CAAAAAoxMi8zMS8yMDIyCQAAAAEwDeZPY8Fz3QhynsWUxHPdCCdDSVEuTllTRTpJQk0uSVFfR1AuOTk5LjQvMS8yMDI1Li4uVVNELkgBAAAA3rYBAAIAAAAFMzQzMDABCAAAAAUAAAABMQEAAAALLTE5NTgyODEwOTUDAAAAAzE2MAIAAAACMTAEAAAAATAHAAAACDQvMS8yMDI1CAAAAAoxMi8zMS8yMDIzCQAAAAEwDeZPY8Fz3QgPeMSUxHPdCChDSVEuTllTRTpJQk0uSVFfR1AuMTAwMC40LzEvMjAyNS4uLlVTRC5IAQAAAN62AQACAAAABTM1NTUyAQgAAAAFAAAAATEBAAAACy0xOTU4MjgxMDk3AwAAAAMxNjACAAAAAjEwBAAAAAEwBwAAAAg0LzEvMjAyNQgAAAAK</t>
  </si>
  <si>
    <t>MTIvMzEvMjAyNAkAAAABMA3mT2PBc90Icp7FlMRz3QgoQ0lRLk5ZU0U6SUJNLklRX0dQLjIwMDAuNC8xLzIwMjUuLi5VU0QuSAEAAADetgEAAgAAAAUzNTU1MgEIAAAABQAAAAExAQAAAAstMTk1ODI4MDYxNQMAAAADMTYwAgAAAAIxMAQAAAABMAcAAAAINC8xLzIwMjUIAAAACjEyLzMxLzIwMjQJAAAAATAN5k9jwXPdCDZavpTEc90IJ0NJUS5OWVNFOklCTS5JUV9HUC45OTIuNC8xLzIwMjUuLi5VU0QuSAEAAADetgEAAgAAAAUzODUxNwEIAAAABQAAAAExAQAAAAoxOTQ3MTc5NTgzAwAAAAMxNjACAAAAAjEwBAAAAAEwBwAAAAg0LzEvMjAyNQgAAAAKMTIvMzEvMjAxNgkAAAABMA3mT2PBc90Icp7FlMRz3QgnQ0lRLk5ZU0U6SUJNLklRX0dQLjk5My40LzEvMjAyNS4uLlVTRC5IAQAAAN62AQACAAAABTM2OTQzAQgAAAAFAAAAATEBAAAACjIwMTcxNjQyNDQDAAAAAzE2MAIAAAACMTAEAAAAATAHAAAACDQvMS8yMDI1CAAAAAoxMi8zMS8yMDE3CQAAAAEwDeZPY8Fz3QhynsWUxHPdCCdDSVEuTllTRTpJQk0uSVFfR1AuOTk0LjQvMS8yMDI1Li4uVVNELkgBAAAA3rYBAAIAAAAFMzY5MzcBCAAAAAUAAAABMQEAAAAKMjA4MTUwNTQwMQMAAAADMTYwAgAAAAIxMAQAAAABMAcAAAAINC8xLzIwMjUIAAAACjEyLzMxLzIwMTgJAAAAATAN5k9jwXPdCHKexZTEc90IJ0NJUS5OWVNFOklCTS5JUV9HUC45OTUuNC8x</t>
  </si>
  <si>
    <t>LzIwMjUuLi5VU0QuSAEAAADetgEAAgAAAAUzMTUzNAEIAAAABQAAAAExAQAAAAstMjExMDc2OTM1NQMAAAADMTYwAgAAAAIxMAQAAAABMAcAAAAINC8xLzIwMjUIAAAACjEyLzMxLzIwMTkJAAAAATAN5k9jwXPdCHKexZTEc90IJ0NJUS5OWVNFOklCTS5JUV9HUC45OTYuNC8xLzIwMjUuLi5VU0QuSAEAAADetgEAAgAAAAUzMDg2NQEIAAAABQAAAAExAQAAAAstMjA1OTA3MzIwMgMAAAADMTYwAgAAAAIxMAQAAAABMAcAAAAINC8xLzIwMjUIAAAACjEyLzMxLzIwMjAJAAAAATAN5k9jwXPdCHKexZTEc90INENJUS5OWVNFOklCTS5JUV9GSU5fRElWX0lOVF9FWFAuOTk5LjQvMS8yMDI1Li4uVVNELkgBAAAA3rYBAAMAAAAAAA3mT2PBc90ID3jElMRz3Qg1Q0lRLk5ZU0U6SUJNLklRX0ZJTl9ESVZfSU5UX0VYUC4xMDAwLjQvMS8yMDI1Li4uVVNELkgBAAAA3rYBAAMAAAAAAA3mT2PBc90Icp7FlMRz3Qg1Q0lRLk5ZU0U6SUJNLklRX0ZJTl9ESVZfSU5UX0VYUC4yMDAwLjQvMS8yMDI1Li4uVVNELkgBAAAA3rYBAAMAAAAAAA3mT2PBc90INlq+lMRz3QgnQ0lRLk5ZU0U6SUJNLklRX0dQLjk5MC40LzEvMjAyNS4uLlVTRC5IAQAAAN62AQACAAAABTQ2NDA3AQgAAAAFAAAAATEBAAAACjE4Mjk5MTE5NjgDAAAAAzE2MAIAAAACMTAEAAAAATAHAAAACDQvMS8yMDI1CAAAAAoxMi8zMS8yMDE0CQAAAAEwDeZPY8Fz</t>
  </si>
  <si>
    <t>3QhynsWUxHPdCCdDSVEuTllTRTpJQk0uSVFfR1AuOTkxLjQvMS8yMDI1Li4uVVNELkgBAAAA3rYBAAIAAAAFNDA2ODQBCAAAAAUAAAABMQEAAAAKMTg3NjQzMjg3MgMAAAADMTYwAgAAAAIxMAQAAAABMAcAAAAINC8xLzIwMjUIAAAACjEyLzMxLzIwMTUJAAAAATAN5k9jwXPdCHKexZTEc90INENJUS5OWVNFOklCTS5JUV9GSU5fRElWX0lOVF9FWFAuOTk0LjQvMS8yMDI1Li4uVVNELkgBAAAA3rYBAAMAAAAAAA3mT2PBc90Icp7FlMRz3Qg0Q0lRLk5ZU0U6SUJNLklRX0ZJTl9ESVZfSU5UX0VYUC45OTUuNC8xLzIwMjUuLi5VU0QuSAEAAADetgEAAwAAAAAADeZPY8Fz3QhynsWUxHPdCDRDSVEuTllTRTpJQk0uSVFfRklOX0RJVl9JTlRfRVhQLjk5Ni40LzEvMjAyNS4uLlVTRC5IAQAAAN62AQADAAAAAAAN5k9jwXPdCHKexZTEc90INENJUS5OWVNFOklCTS5JUV9GSU5fRElWX0lOVF9FWFAuOTk3LjQvMS8yMDI1Li4uVVNELkgBAAAA3rYBAAMAAAAAAA3mT2PBc90Icp7FlMRz3Qg0Q0lRLk5ZU0U6SUJNLklRX0ZJTl9ESVZfSU5UX0VYUC45OTguNC8xLzIwMjUuLi5VU0QuSAEAAADetgEAAwAAAAAADeZPY8Fz3QhynsWUxHPdCDFDSVEuTllTRTpJQk0uSVFfSU5TX0RJVl9FWFAuMjAwMC40LzEvMjAyNS4uLlVTRC5IAQAAAN62AQADAAAAAAAN5k9jwXPdCDZavpTEc90INENJUS5OWVNFOklCTS5JUV9GSU5f</t>
  </si>
  <si>
    <t>RElWX0lOVF9FWFAuOTkwLjQvMS8yMDI1Li4uVVNELkgBAAAA3rYBAAMAAAAAAA3mT2PBc90Icp7FlMRz3Qg0Q0lRLk5ZU0U6SUJNLklRX0ZJTl9ESVZfSU5UX0VYUC45OTEuNC8xLzIwMjUuLi5VU0QuSAEAAADetgEAAwAAAAAADeZPY8Fz3QhynsWUxHPdCDRDSVEuTllTRTpJQk0uSVFfRklOX0RJVl9JTlRfRVhQLjk5Mi40LzEvMjAyNS4uLlVTRC5IAQAAAN62AQADAAAAAAAN5k9jwXPdCHKexZTEc90INENJUS5OWVNFOklCTS5JUV9GSU5fRElWX0lOVF9FWFAuOTkzLjQvMS8yMDI1Li4uVVNELkgBAAAA3rYBAAMAAAAAAA3mT2PBc90Icp7FlMRz3QgwQ0lRLk5ZU0U6SUJNLklRX0lOU19ESVZfRVhQLjk5Ni40LzEvMjAyNS4uLlVTRC5IAQAAAN62AQADAAAAAAAN5k9jwXPdCHKexZTEc90IMENJUS5OWVNFOklCTS5JUV9JTlNfRElWX0VYUC45OTcuNC8xLzIwMjUuLi5VU0QuSAEAAADetgEAAwAAAAAADeZPY8Fz3QhynsWUxHPdCDBDSVEuTllTRTpJQk0uSVFfSU5TX0RJVl9FWFAuOTk4LjQvMS8yMDI1Li4uVVNELkgBAAAA3rYBAAMAAAAAAA3mT2PBc90Icp7FlMRz3QgwQ0lRLk5ZU0U6SUJNLklRX0lOU19ESVZfRVhQLjk5OS40LzEvMjAyNS4uLlVTRC5IAQAAAN62AQADAAAAAAAN5k9jwXPdCA94xJTEc90IMUNJUS5OWVNFOklCTS5JUV9JTlNfRElWX0VYUC4xMDAwLjQvMS8yMDI1Li4uVVNELkgBAAAA</t>
  </si>
  <si>
    <t>3rYBAAMAAAAAAA3mT2PBc90Icp7FlMRz3QgwQ0lRLk5ZU0U6SUJNLklRX0lOU19ESVZfRVhQLjk5MS40LzEvMjAyNS4uLlVTRC5IAQAAAN62AQADAAAAAAAN5k9jwXPdCHKexZTEc90IMENJUS5OWVNFOklCTS5JUV9JTlNfRElWX0VYUC45OTIuNC8xLzIwMjUuLi5VU0QuSAEAAADetgEAAwAAAAAADeZPY8Fz3QhynsWUxHPdCDBDSVEuTllTRTpJQk0uSVFfSU5TX0RJVl9FWFAuOTkzLjQvMS8yMDI1Li4uVVNELkgBAAAA3rYBAAMAAAAAAA3mT2PBc90Icp7FlMRz3QgwQ0lRLk5ZU0U6SUJNLklRX0lOU19ESVZfRVhQLjk5NC40LzEvMjAyNS4uLlVTRC5IAQAAAN62AQADAAAAAAAN5k9jwXPdCHKexZTEc90IMENJUS5OWVNFOklCTS5JUV9JTlNfRElWX0VYUC45OTUuNC8xLzIwMjUuLi5VU0QuSAEAAADetgEAAwAAAAAADeZPY8Fz3QgEWsWUxHPdCDBDSVEuTllTRTpJQk0uSVFfRklOX0RJVl9FWFAuOTk4LjQvMS8yMDI1Li4uVVNELkgBAAAA3rYBAAIAAAADNDA2AQgAAAAFAAAAATEBAAAACy0xOTU4MjgxMDk2AwAAAAMxNjACAAAAAjUxBAAAAAEwBwAAAAg0LzEvMjAyNQgAAAAKMTIvMzEvMjAyMgkAAAABMA3mT2PBc90Icp7FlMRz3QgwQ0lRLk5ZU0U6SUJNLklRX0ZJTl9ESVZfRVhQLjk5OS40LzEvMjAyNS4uLlVTRC5IAQAAAN62AQACAAAAAzM4MgEIAAAABQAAAAExAQAAAAstMTk1ODI4MTA5NQMAAAAD</t>
  </si>
  <si>
    <t>MTYwAgAAAAI1MQQAAAABMAcAAAAINC8xLzIwMjUIAAAACjEyLzMxLzIwMjMJAAAAATAN5k9jwXPdCA94xJTEc90IMUNJUS5OWVNFOklCTS5JUV9GSU5fRElWX0VYUC4xMDAwLjQvMS8yMDI1Li4uVVNELkgBAAAA3rYBAAIAAAADMzY5AQgAAAAFAAAAATEBAAAACy0xOTU4MjgxMDk3AwAAAAMxNjACAAAAAjUxBAAAAAEwBwAAAAg0LzEvMjAyNQgAAAAKMTIvMzEvMjAyNAkAAAABMA3mT2PBc90Icp7FlMRz3QgxQ0lRLk5ZU0U6SUJNLklRX0ZJTl9ESVZfRVhQLjIwMDAuNC8xLzIwMjUuLi5VU0QuSAEAAADetgEAAgAAAAMzNjkBCAAAAAUAAAABMQEAAAALLTE5NTgyODA2MTUDAAAAAzE2MAIAAAACNTEEAAAAATAHAAAACDQvMS8yMDI1CAAAAAoxMi8zMS8yMDI0CQAAAAEwDeZPY8Fz3Qg2Wr6UxHPdCDBDSVEuTllTRTpJQk0uSVFfSU5TX0RJVl9FWFAuOTkwLjQvMS8yMDI1Li4uVVNELkgBAAAA3rYBAAMAAAAAAA3mT2PBc90Icp7FlMRz3QgwQ0lRLk5ZU0U6SUJNLklRX0ZJTl9ESVZfRVhQLjk5My40LzEvMjAyNS4uLlVTRC5IAQAAAN62AQACAAAABDEyMTABCAAAAAUAAAABMQEAAAAKMjAxNzE2NDI0NAMAAAADMTYwAgAAAAI1MQQAAAABMAcAAAAINC8xLzIwMjUIAAAACjEyLzMxLzIwMTcJAAAAATAN5k9jwXPdCARaxZTEc90IMENJUS5OWVNFOklCTS5JUV9GSU5fRElWX0VYUC45OTQuNC8xLzIwMjUuLi5V</t>
  </si>
  <si>
    <t>U0QuSAEAAADetgEAAgAAAAQxMTMyAQgAAAAFAAAAATEBAAAACjIwODE1MDU0MDEDAAAAAzE2MAIAAAACNTEEAAAAATAHAAAACDQvMS8yMDI1CAAAAAoxMi8zMS8yMDE4CQAAAAEwDeZPY8Fz3QgEWsWUxHPdCDBDSVEuTllTRTpJQk0uSVFfRklOX0RJVl9FWFAuOTk1LjQvMS8yMDI1Li4uVVNELkgBAAAA3rYBAAIAAAADNzA0AQgAAAAFAAAAATEBAAAACy0yMTEwNzY5MzU1AwAAAAMxNjACAAAAAjUxBAAAAAEwBwAAAAg0LzEvMjAyNQgAAAAKMTIvMzEvMjAxOQkAAAABMA3mT2PBc90IBFrFlMRz3QgwQ0lRLk5ZU0U6SUJNLklRX0ZJTl9ESVZfRVhQLjk5Ni40LzEvMjAyNS4uLlVTRC5IAQAAAN62AQACAAAAAzU3NwEIAAAABQAAAAExAQAAAAstMjA1OTA3MzIwMgMAAAADMTYwAgAAAAI1MQQAAAABMAcAAAAINC8xLzIwMjUIAAAACjEyLzMxLzIwMjAJAAAAATAN5k9jwXPdCARaxZTEc90IMENJUS5OWVNFOklCTS5JUV9GSU5fRElWX0VYUC45OTcuNC8xLzIwMjUuLi5VU0QuSAEAAADetgEAAgAAAAM1MzQBCAAAAAUAAAABMQEAAAALLTIwMDg2NDcxOTgDAAAAAzE2MAIAAAACNTEEAAAAATAHAAAACDQvMS8yMDI1CAAAAAoxMi8zMS8yMDIxCQAAAAEwDeZPY8Fz3QgEWsWUxHPdCCpDSVEuTllTRTpJQk0uSVFfQ09HUy4xMDAwLjQvMS8yMDI1Li4uVVNELkgBAAAA3rYBAAIAAAAFMjY4MzIBCAAAAAUAAAABMQEA</t>
  </si>
  <si>
    <t>AAALLTE5NTgyODEwOTcDAAAAAzE2MAIAAAACMzQEAAAAATAHAAAACDQvMS8yMDI1CAAAAAoxMi8zMS8yMDI0CQAAAAEwDeZPY8Fz3QgEWsWUxHPdCCpDSVEuTllTRTpJQk0uSVFfQ09HUy4yMDAwLjQvMS8yMDI1Li4uVVNELkgBAAAA3rYBAAIAAAAFMjY4MzIBCAAAAAUAAAABMQEAAAALLTE5NTgyODA2MTUDAAAAAzE2MAIAAAACMzQEAAAAATAHAAAACDQvMS8yMDI1CAAAAAoxMi8zMS8yMDI0CQAAAAEwDeZPY8Fz3Qg2Wr6UxHPdCDBDSVEuTllTRTpJQk0uSVFfRklOX0RJVl9FWFAuOTkwLjQvMS8yMDI1Li4uVVNELkgBAAAA3rYBAAIAAAAEMTA0MAEIAAAABQAAAAExAQAAAAoxODI5OTExOTY4AwAAAAMxNjACAAAAAjUxBAAAAAEwBwAAAAg0LzEvMjAyNQgAAAAKMTIvMzEvMjAxNAkAAAABMA3mT2PBc90IBFrFlMRz3QgwQ0lRLk5ZU0U6SUJNLklRX0ZJTl9ESVZfRVhQLjk5MS40LzEvMjAyNS4uLlVTRC5IAQAAAN62AQACAAAABDEwMTEBCAAAAAUAAAABMQEAAAAKMTg3NjQzMjg3MgMAAAADMTYwAgAAAAI1MQQAAAABMAcAAAAINC8xLzIwMjUIAAAACjEyLzMxLzIwMTUJAAAAATAN5k9jwXPdCARaxZTEc90IMENJUS5OWVNFOklCTS5JUV9GSU5fRElWX0VYUC45OTIuNC8xLzIwMjUuLi5VU0QuSAEAAADetgEAAgAAAAQxMDQ0AQgAAAAFAAAAATEBAAAACjE5NDcxNzk1ODMDAAAAAzE2MAIAAAACNTEEAAAA</t>
  </si>
  <si>
    <t>ATAHAAAACDQvMS8yMDI1CAAAAAoxMi8zMS8yMDE2CQAAAAEwDeZPY8Fz3QgEWsWUxHPdCClDSVEuTllTRTpJQk0uSVFfQ09HUy45OTUuNC8xLzIwMjUuLi5VU0QuSAEAAADetgEAAgAAAAUyNTQ3NgEIAAAABQAAAAExAQAAAAstMjExMDc2OTM1NQMAAAADMTYwAgAAAAIzNAQAAAABMAcAAAAINC8xLzIwMjUIAAAACjEyLzMxLzIwMTkJAAAAATAN5k9jwXPdCARaxZTEc90IKUNJUS5OWVNFOklCTS5JUV9DT0dTLjk5Ni40LzEvMjAyNS4uLlVTRC5IAQAAAN62AQACAAAABTIzNzM3AQgAAAAFAAAAATEBAAAACy0yMDU5MDczMjAyAwAAAAMxNjACAAAAAjM0BAAAAAEwBwAAAAg0LzEvMjAyNQgAAAAKMTIvMzEvMjAyMAkAAAABMA3mT2PBc90IBFrFlMRz3QgpQ0lRLk5ZU0U6SUJNLklRX0NPR1MuOTk3LjQvMS8yMDI1Li4uVVNELkgBAAAA3rYBAAIAAAAFMjUzMzEBCAAAAAUAAAABMQEAAAALLTIwMDg2NDcxOTgDAAAAAzE2MAIAAAACMzQEAAAAATAHAAAACDQvMS8yMDI1CAAAAAoxMi8zMS8yMDIxCQAAAAEwDeZPY8Fz3QgEWsWUxHPdCClDSVEuTllTRTpJQk0uSVFfQ09HUy45OTguNC8xLzIwMjUuLi5VU0QuSAEAAADetgEAAgAAAAUyNzQzNgEIAAAABQAAAAExAQAAAAstMTk1ODI4MTA5NgMAAAADMTYwAgAAAAIzNAQAAAABMAcAAAAINC8xLzIwMjUIAAAACjEyLzMxLzIwMjIJAAAAATAN5k9jwXPdCARaxZTE</t>
  </si>
  <si>
    <t>c90IKUNJUS5OWVNFOklCTS5JUV9DT0dTLjk5OS40LzEvMjAyNS4uLlVTRC5IAQAAAN62AQACAAAABTI3MTc4AQgAAAAFAAAAATEBAAAACy0xOTU4MjgxMDk1AwAAAAMxNjACAAAAAjM0BAAAAAEwBwAAAAg0LzEvMjAyNQgAAAAKMTIvMzEvMjAyMwkAAAABMA3mT2PBc90ID3jElMRz3QgpQ0lRLk5ZU0U6SUJNLklRX0NPR1MuOTkwLjQvMS8yMDI1Li4uVVNELkgBAAAA3rYBAAIAAAAFNDUzNDYBCAAAAAUAAAABMQEAAAAKMTgyOTkxMTk2OAMAAAADMTYwAgAAAAIzNAQAAAABMAcAAAAINC8xLzIwMjUIAAAACjEyLzMxLzIwMTQJAAAAATAN5k9jwXPdCARaxZTEc90IKUNJUS5OWVNFOklCTS5JUV9DT0dTLjk5MS40LzEvMjAyNS4uLlVTRC5IAQAAAN62AQACAAAABTQwMDQ2AQgAAAAFAAAAATEBAAAACjE4NzY0MzI4NzIDAAAAAzE2MAIAAAACMzQEAAAAATAHAAAACDQvMS8yMDI1CAAAAAoxMi8zMS8yMDE1CQAAAAEwDeZPY8Fz3QgEWsWUxHPdCClDSVEuTllTRTpJQk0uSVFfQ09HUy45OTIuNC8xLzIwMjUuLi5VU0QuSAEAAADetgEAAgAAAAU0MDM1OAEIAAAABQAAAAExAQAAAAoxOTQ3MTc5NTgzAwAAAAMxNjACAAAAAjM0BAAAAAEwBwAAAAg0LzEvMjAyNQgAAAAKMTIvMzEvMjAxNgkAAAABMA3mT2PBc90IBFrFlMRz3QgpQ0lRLk5ZU0U6SUJNLklRX0NPR1MuOTkzLjQvMS8yMDI1Li4uVVNELkgBAAAA3rYB</t>
  </si>
  <si>
    <t>AAIAAAAFNDA5ODYBCAAAAAUAAAABMQEAAAAKMjAxNzE2NDI0NAMAAAADMTYwAgAAAAIzNAQAAAABMAcAAAAINC8xLzIwMjUIAAAACjEyLzMxLzIwMTcJAAAAATAN5k9jwXPdCARaxZTEc90IKUNJUS5OWVNFOklCTS5JUV9DT0dTLjk5NC40LzEvMjAyNS4uLlVTRC5IAQAAAN62AQACAAAABTQxNTIyAQgAAAAFAAAAATEBAAAACjIwODE1MDU0MDEDAAAAAzE2MAIAAAACMzQEAAAAATAHAAAACDQvMS8yMDI1CAAAAAoxMi8zMS8yMDE4CQAAAAEwDeZPY8Fz3QgEWsWUxHPdCC5DSVEuTllTRTpJQk0uSVFfVE9UQUxfUkVWLjk5Ny40LzEvMjAyNS4uLlVTRC5IAQAAAN62AQACAAAABTU3MzUxAQgAAAAFAAAAATEBAAAACy0yMDA4NjQ3MTk4AwAAAAMxNjACAAAAAjI4BAAAAAEwBwAAAAg0LzEvMjAyNQgAAAAKMTIvMzEvMjAyMQkAAAABMA3mT2PBc90IBFrFlMRz3QguQ0lRLk5ZU0U6SUJNLklRX1RPVEFMX1JFVi45OTguNC8xLzIwMjUuLi5VU0QuSAEAAADetgEAAgAAAAU2MDUzMAEIAAAABQAAAAExAQAAAAstMTk1ODI4MTA5NgMAAAADMTYwAgAAAAIyOAQAAAABMAcAAAAINC8xLzIwMjUIAAAACjEyLzMxLzIwMjIJAAAAATAN5k9jwXPdCARaxZTEc90ILkNJUS5OWVNFOklCTS5JUV9UT1RBTF9SRVYuOTk5LjQvMS8yMDI1Li4uVVNELkgBAAAA3rYBAAIAAAAFNjE4NjABCAAAAAUAAAABMQEAAAALLTE5NTgyODEw</t>
  </si>
  <si>
    <t>OTUDAAAAAzE2MAIAAAACMjgEAAAAATAHAAAACDQvMS8yMDI1CAAAAAoxMi8zMS8yMDIzCQAAAAEwDeZPY8Fz3QgPeMSUxHPdCC5DSVEuTllTRTpJQk0uSVFfVE9UQUxfUkVWLjk5Mi40LzEvMjAyNS4uLlVTRC5IAQAAAN62AQACAAAABTc5OTE5AQgAAAAFAAAAATEBAAAACjE5NDcxNzk1ODMDAAAAAzE2MAIAAAACMjgEAAAAATAHAAAACDQvMS8yMDI1CAAAAAoxMi8zMS8yMDE2CQAAAAEwDeZPY8Fz3QgEWsWUxHPdCC5DSVEuTllTRTpJQk0uSVFfVE9UQUxfUkVWLjk5My40LzEvMjAyNS4uLlVTRC5IAQAAAN62AQACAAAABTc5MTM5AQgAAAAFAAAAATEBAAAACjIwMTcxNjQyNDQDAAAAAzE2MAIAAAACMjgEAAAAATAHAAAACDQvMS8yMDI1CAAAAAoxMi8zMS8yMDE3CQAAAAEwDeZPY8Fz3QgcP8WUxHPdCC5DSVEuTllTRTpJQk0uSVFfVE9UQUxfUkVWLjk5NC40LzEvMjAyNS4uLlVTRC5IAQAAAN62AQACAAAABTc5NTkxAQgAAAAFAAAAATEBAAAACjIwODE1MDU0MDEDAAAAAzE2MAIAAAACMjgEAAAAATAHAAAACDQvMS8yMDI1CAAAAAoxMi8zMS8yMDE4CQAAAAEwDeZPY8Fz3QgcP8WUxHPdCC5DSVEuTllTRTpJQk0uSVFfVE9UQUxfUkVWLjk5NS40LzEvMjAyNS4uLlVTRC5IAQAAAN62AQACAAAABTU3NzE0AQgAAAAFAAAAATEBAAAACy0yMTEwNzY5MzU1AwAAAAMxNjACAAAAAjI4BAAAAAEwBwAAAAg0LzEv</t>
  </si>
  <si>
    <t>MjAyNQgAAAAKMTIvMzEvMjAxOQkAAAABMA3mT2PBc90IHD/FlMRz3QguQ0lRLk5ZU0U6SUJNLklRX1RPVEFMX1JFVi45OTYuNC8xLzIwMjUuLi5VU0QuSAEAAADetgEAAgAAAAU1NTE3OQEIAAAABQAAAAExAQAAAAstMjA1OTA3MzIwMgMAAAADMTYwAgAAAAIyOAQAAAABMAcAAAAINC8xLzIwMjUIAAAACjEyLzMxLzIwMjAJAAAAATAN5k9jwXPdCARaxZTEc90INENJUS5OWVNFOklCTS5JUV9PVEhFUl9SRVZfU1VQUEwuOTk5LjQvMS8yMDI1Li4uVVNELkgBAAAA3rYBAAMAAAAAAA3mT2PBc90I7I3ElMRz3Qg1Q0lRLk5ZU0U6SUJNLklRX09USEVSX1JFVl9TVVBQTC4xMDAwLjQvMS8yMDI1Li4uVVNELkgBAAAA3rYBAAMAAAAAAA3mT2PBc90IBFrFlMRz3Qg1Q0lRLk5ZU0U6SUJNLklRX09USEVSX1JFVl9TVVBQTC4yMDAwLjQvMS8yMDI1Li4uVVNELkgBAAAA3rYBAAMAAAAAAA3mT2PBc90INlq+lMRz3QguQ0lRLk5ZU0U6SUJNLklRX1RPVEFMX1JFVi45OTAuNC8xLzIwMjUuLi5VU0QuSAEAAADetgEAAgAAAAU5Mjc5MwEIAAAABQAAAAExAQAAAAoxODI5OTExOTY4AwAAAAMxNjACAAAAAjI4BAAAAAEwBwAAAAg0LzEvMjAyNQgAAAAKMTIvMzEvMjAxNAkAAAABMA3mT2PBc90IHD/FlMRz3QguQ0lRLk5ZU0U6SUJNLklRX1RPVEFMX1JFVi45OTEuNC8xLzIwMjUuLi5VU0QuSAEAAADetgEAAgAAAAU4MTc0</t>
  </si>
  <si>
    <t>MQEIAAAABQAAAAExAQAAAAoxODc2NDMyODcyAwAAAAMxNjACAAAAAjI4BAAAAAEwBwAAAAg0LzEvMjAyNQgAAAAKMTIvMzEvMjAxNQkAAAABMA3mT2PBc90IHD/FlMRz3Qg0Q0lRLk5ZU0U6SUJNLklRX09USEVSX1JFVl9TVVBQTC45OTQuNC8xLzIwMjUuLi5VU0QuSAEAAADetgEAAwAAAAAADeZPY8Fz3QgcP8WUxHPdCDRDSVEuTllTRTpJQk0uSVFfT1RIRVJfUkVWX1NVUFBMLjk5NS40LzEvMjAyNS4uLlVTRC5IAQAAAN62AQADAAAAAAAN5k9jwXPdCBw/xZTEc90INENJUS5OWVNFOklCTS5JUV9PVEhFUl9SRVZfU1VQUEwuOTk2LjQvMS8yMDI1Li4uVVNELkgBAAAA3rYBAAMAAAAAAA3mT2PBc90IHD/FlMRz3Qg0Q0lRLk5ZU0U6SUJNLklRX09USEVSX1JFVl9TVVBQTC45OTcuNC8xLzIwMjUuLi5VU0QuSAEAAADetgEAAwAAAAAADeZPY8Fz3QgcP8WUxHPdCDRDSVEuTllTRTpJQk0uSVFfT1RIRVJfUkVWX1NVUFBMLjk5OC40LzEvMjAyNS4uLlVTRC5IAQAAAN62AQADAAAAAAAN5k9jwXPdCBw/xZTEc90IMUNJUS5OWVNFOklCTS5JUV9JTlRfSU5WX0lOQy4yMDAwLjQvMS8yMDI1Li4uVVNELkgBAAAA3rYBAAMAAAAAAA3mT2PBc90INlq+lMRz3Qg0Q0lRLk5ZU0U6SUJNLklRX09USEVSX1JFVl9TVVBQTC45OTAuNC8xLzIwMjUuLi5VU0QuSAEAAADetgEAAwAAAAAADeZPY8Fz3QgcP8WUxHPdCDRDSVEu</t>
  </si>
  <si>
    <t>TllTRTpJQk0uSVFfT1RIRVJfUkVWX1NVUFBMLjk5MS40LzEvMjAyNS4uLlVTRC5IAQAAAN62AQACAAAAAi0xAQgAAAAFAAAAATEBAAAACjE4NzY0MzI4NzIDAAAAAzE2MAIAAAACOTAEAAAAATAHAAAACDQvMS8yMDI1CAAAAAoxMi8zMS8yMDE1CQAAAAEwDeZPY8Fz3QgcP8WUxHPdCDRDSVEuTllTRTpJQk0uSVFfT1RIRVJfUkVWX1NVUFBMLjk5Mi40LzEvMjAyNS4uLlVTRC5IAQAAAN62AQACAAAAAi0xAQgAAAAFAAAAATEBAAAACjE5NDcxNzk1ODMDAAAAAzE2MAIAAAACOTAEAAAAATAHAAAACDQvMS8yMDI1CAAAAAoxMi8zMS8yMDE2CQAAAAEwDeZPY8Fz3QgcP8WUxHPdCDRDSVEuTllTRTpJQk0uSVFfT1RIRVJfUkVWX1NVUFBMLjk5My40LzEvMjAyNS4uLlVTRC5IAQAAAN62AQADAAAAAAAN5k9jwXPdCAMoxZTEc90IMENJUS5OWVNFOklCTS5JUV9JTlRfSU5WX0lOQy45OTYuNC8xLzIwMjUuLi5VU0QuSAEAAADetgEAAwAAAAAADeZPY8Fz3QgDKMWUxHPdCDBDSVEuTllTRTpJQk0uSVFfSU5UX0lOVl9JTkMuOTk3LjQvMS8yMDI1Li4uVVNELkgBAAAA3rYBAAMAAAAAAA3mT2PBc90IAyjFlMRz3QgwQ0lRLk5ZU0U6SUJNLklRX0lOVF9JTlZfSU5DLjk5OC40LzEvMjAyNS4uLlVTRC5IAQAAAN62AQADAAAAAAAN5k9jwXPdCAMoxZTEc90IMENJUS5OWVNFOklCTS5JUV9JTlRfSU5WX0lOQy45OTkuNC8x</t>
  </si>
  <si>
    <t>LzIwMjUuLi5VU0QuSAEAAADetgEAAwAAAAAADeZPY8Fz3QjsjcSUxHPdCDFDSVEuTllTRTpJQk0uSVFfSU5UX0lOVl9JTkMuMTAwMC40LzEvMjAyNS4uLlVTRC5IAQAAAN62AQADAAAAAAAN5k9jwXPdCAMoxZTEc90IMENJUS5OWVNFOklCTS5JUV9JTlRfSU5WX0lOQy45OTEuNC8xLzIwMjUuLi5VU0QuSAEAAADetgEAAwAAAAAADeZPY8Fz3QgDKMWUxHPdCDBDSVEuTllTRTpJQk0uSVFfSU5UX0lOVl9JTkMuOTkyLjQvMS8yMDI1Li4uVVNELkgBAAAA3rYBAAMAAAAAAA3mT2PBc90IAyjFlMRz3QgwQ0lRLk5ZU0U6SUJNLklRX0lOVF9JTlZfSU5DLjk5My40LzEvMjAyNS4uLlVTRC5IAQAAAN62AQADAAAAAAAN5k9jwXPdCAMoxZTEc90IMENJUS5OWVNFOklCTS5JUV9JTlRfSU5WX0lOQy45OTQuNC8xLzIwMjUuLi5VU0QuSAEAAADetgEAAwAAAAAADeZPY8Fz3QgDKMWUxHPdCDBDSVEuTllTRTpJQk0uSVFfSU5UX0lOVl9JTkMuOTk1LjQvMS8yMDI1Li4uVVNELkgBAAAA3rYBAAMAAAAAAA3mT2PBc90IAyjFlMRz3Qg0Q0lRLk5ZU0U6SUJNLklRX0dBSU5fSU5WRVNUX1JFVi45OTguNC8xLzIwMjUuLi5VU0QuSAEAAADetgEAAwAAAAAADeZPY8Fz3QgDKMWUxHPdCDRDSVEuTllTRTpJQk0uSVFfR0FJTl9JTlZFU1RfUkVWLjk5OS40LzEvMjAyNS4uLlVTRC5IAQAAAN62AQADAAAAAAAN5k9jwXPdCOyNxJTE</t>
  </si>
  <si>
    <t>c90INUNJUS5OWVNFOklCTS5JUV9HQUlOX0lOVkVTVF9SRVYuMTAwMC40LzEvMjAyNS4uLlVTRC5IAQAAAN62AQADAAAAAAAN5k9jwXPdCAsNxZTEc90INUNJUS5OWVNFOklCTS5JUV9HQUlOX0lOVkVTVF9SRVYuMjAwMC40LzEvMjAyNS4uLlVTRC5IAQAAAN62AQADAAAAAAAN5k9jwXPdCDZavpTEc90IMENJUS5OWVNFOklCTS5JUV9JTlRfSU5WX0lOQy45OTAuNC8xLzIwMjUuLi5VU0QuSAEAAADetgEAAwAAAAAADeZPY8Fz3QgLDcWUxHPdCDRDSVEuTllTRTpJQk0uSVFfR0FJTl9JTlZFU1RfUkVWLjk5My40LzEvMjAyNS4uLlVTRC5IAQAAAN62AQADAAAAAACcNFBjwXPdCAsNxZTEc90INENJUS5OWVNFOklCTS5JUV9HQUlOX0lOVkVTVF9SRVYuOTk0LjQvMS8yMDI1Li4uVVNELkgBAAAA3rYBAAMAAAAAAJw0UGPBc90IAyjFlMRz3Qg0Q0lRLk5ZU0U6SUJNLklRX0dBSU5fSU5WRVNUX1JFVi45OTUuNC8xLzIwMjUuLi5VU0QuSAEAAADetgEAAwAAAAAAnDRQY8Fz3QgLDcWUxHPdCDRDSVEuTllTRTpJQk0uSVFfR0FJTl9JTlZFU1RfUkVWLjk5Ni40LzEvMjAyNS4uLlVTRC5IAQAAAN62AQADAAAAAACcNFBjwXPdCAsNxZTEc90INENJUS5OWVNFOklCTS5JUV9HQUlOX0lOVkVTVF9SRVYuOTk3LjQvMS8yMDI1Li4uVVNELkgBAAAA3rYBAAMAAAAAAJw0UGPBc90ICw3FlMRz3Qg1Q0lRLk5ZU0U6SUJNLklR</t>
  </si>
  <si>
    <t>X0dBSU5fQVNTRVRTX1JFVi4xMDAwLjQvMS8yMDI1Li4uVVNELkgBAAAA3rYBAAMAAAAAAJw0UGPBc90ICw3FlMRz3Qg1Q0lRLk5ZU0U6SUJNLklRX0dBSU5fQVNTRVRTX1JFVi4yMDAwLjQvMS8yMDI1Li4uVVNELkgBAAAA3rYBAAMAAAAAAJw0UGPBc90INlq+lMRz3Qg0Q0lRLk5ZU0U6SUJNLklRX0dBSU5fSU5WRVNUX1JFVi45OTAuNC8xLzIwMjUuLi5VU0QuSAEAAADetgEAAwAAAAAAnDRQY8Fz3QgLDcWUxHPdCDRDSVEuTllTRTpJQk0uSVFfR0FJTl9JTlZFU1RfUkVWLjk5MS40LzEvMjAyNS4uLlVTRC5IAQAAAN62AQADAAAAAACcNFBjwXPdCAsNxZTEc90INENJUS5OWVNFOklCTS5JUV9HQUlOX0lOVkVTVF9SRVYuOTkyLjQvMS8yMDI1Li4uVVNELkgBAAAA3rYBAAMAAAAAAJw0UGPBc90ICw3FlMRz3Qg0Q0lRLk5ZU0U6SUJNLklRX0dBSU5fQVNTRVRTX1JFVi45OTUuNC8xLzIwMjUuLi5VU0QuSAEAAADetgEAAwAAAAAAnDRQY8Fz3QgLDcWUxHPdCDRDSVEuTllTRTpJQk0uSVFfR0FJTl9BU1NFVFNfUkVWLjk5Ni40LzEvMjAyNS4uLlVTRC5IAQAAAN62AQADAAAAAACcNFBjwXPdCAsNxZTEc90INENJUS5OWVNFOklCTS5JUV9HQUlOX0FTU0VUU19SRVYuOTk3LjQvMS8yMDI1Li4uVVNELkgBAAAA3rYBAAMAAAAAAJw0UGPBc90ICw3FlMRz3Qg0Q0lRLk5ZU0U6SUJNLklRX0dBSU5fQVNTRVRTX1JF</t>
  </si>
  <si>
    <t>Vi45OTguNC8xLzIwMjUuLi5VU0QuSAEAAADetgEAAwAAAAAAnDRQY8Fz3QgLDcWUxHPdCDRDSVEuTllTRTpJQk0uSVFfR0FJTl9BU1NFVFNfUkVWLjk5OS40LzEvMjAyNS4uLlVTRC5IAQAAAN62AQADAAAAAACcNFBjwXPdCOyNxJTEc90INENJUS5OWVNFOklCTS5JUV9HQUlOX0FTU0VUU19SRVYuOTkwLjQvMS8yMDI1Li4uVVNELkgBAAAA3rYBAAMAAAAAAJw0UGPBc90IifLElMRz3Qg0Q0lRLk5ZU0U6SUJNLklRX0dBSU5fQVNTRVRTX1JFVi45OTEuNC8xLzIwMjUuLi5VU0QuSAEAAADetgEAAwAAAAAAnDRQY8Fz3QiJ8sSUxHPdCDRDSVEuTllTRTpJQk0uSVFfR0FJTl9BU1NFVFNfUkVWLjk5Mi40LzEvMjAyNS4uLlVTRC5IAQAAAN62AQADAAAAAACcNFBjwXPdCInyxJTEc90INENJUS5OWVNFOklCTS5JUV9HQUlOX0FTU0VUU19SRVYuOTkzLjQvMS8yMDI1Li4uVVNELkgBAAAA3rYBAAMAAAAAAJw0UGPBc90IifLElMRz3Qg0Q0lRLk5ZU0U6SUJNLklRX0dBSU5fQVNTRVRTX1JFVi45OTQuNC8xLzIwMjUuLi5VU0QuSAEAAADetgEAAwAAAAAAnDRQY8Fz3QiJ8sSUxHPdCDBDSVEuTllTRTpJQk0uSVFfSU5TX0RJVl9SRVYuOTk3LjQvMS8yMDI1Li4uVVNELkgBAAAA3rYBAAMAAAAAAJw0UGPBc90IifLElMRz3QgwQ0lRLk5ZU0U6SUJNLklRX0lOU19ESVZfUkVWLjk5OC40LzEvMjAyNS4uLlVTRC5IAQAA</t>
  </si>
  <si>
    <t>AN62AQADAAAAAACcNFBjwXPdCInyxJTEc90IMENJUS5OWVNFOklCTS5JUV9JTlNfRElWX1JFVi45OTkuNC8xLzIwMjUuLi5VU0QuSAEAAADetgEAAwAAAAAAnDRQY8Fz3QgPeMSUxHPdCDFDSVEuTllTRTpJQk0uSVFfSU5TX0RJVl9SRVYuMTAwMC40LzEvMjAyNS4uLlVTRC5IAQAAAN62AQADAAAAAACcNFBjwXPdCInyxJTEc90IMUNJUS5OWVNFOklCTS5JUV9JTlNfRElWX1JFVi4yMDAwLjQvMS8yMDI1Li4uVVNELkgBAAAA3rYBAAMAAAAAAJw0UGPBc90ICfu9lMRz3QgwQ0lRLk5ZU0U6SUJNLklRX0lOU19ESVZfUkVWLjk5Mi40LzEvMjAyNS4uLlVTRC5IAQAAAN62AQADAAAAAACcNFBjwXPdCInyxJTEc90IMENJUS5OWVNFOklCTS5JUV9JTlNfRElWX1JFVi45OTMuNC8xLzIwMjUuLi5VU0QuSAEAAADetgEAAwAAAAAAnDRQY8Fz3QjF18SUxHPdCDBDSVEuTllTRTpJQk0uSVFfSU5TX0RJVl9SRVYuOTk0LjQvMS8yMDI1Li4uVVNELkgBAAAA3rYBAAMAAAAAAJw0UGPBc90IifLElMRz3QgwQ0lRLk5ZU0U6SUJNLklRX0lOU19ESVZfUkVWLjk5NS40LzEvMjAyNS4uLlVTRC5IAQAAAN62AQADAAAAAACcNFBjwXPdCInyxJTEc90IMENJUS5OWVNFOklCTS5JUV9JTlNfRElWX1JFVi45OTYuNC8xLzIwMjUuLi5VU0QuSAEAAADetgEAAwAAAAAAnDRQY8Fz3QiJ8sSUxHPdCDBDSVEuTllTRTpJQk0uSVFfRklO</t>
  </si>
  <si>
    <t>X0RJVl9SRVYuOTk5LjQvMS8yMDI1Li4uVVNELkgBAAAA3rYBAAIAAAADNzM3AQgAAAAFAAAAATEBAAAACy0xOTU4MjgxMDk1AwAAAAMxNjACAAAAAjUyBAAAAAEwBwAAAAg0LzEvMjAyNQgAAAAKMTIvMzEvMjAyMwkAAAABMJw0UGPBc90ID3jElMRz3QgxQ0lRLk5ZU0U6SUJNLklRX0ZJTl9ESVZfUkVWLjEwMDAuNC8xLzIwMjUuLi5VU0QuSAEAAADetgEAAgAAAAM3MDkBCAAAAAUAAAABMQEAAAALLTE5NTgyODEwOTcDAAAAAzE2MAIAAAACNTIEAAAAATAHAAAACDQvMS8yMDI1CAAAAAoxMi8zMS8yMDI0CQAAAAEwnDRQY8Fz3QiJ8sSUxHPdCDFDSVEuTllTRTpJQk0uSVFfRklOX0RJVl9SRVYuMjAwMC40LzEvMjAyNS4uLlVTRC5IAQAAAN62AQACAAAAAzcwOQEIAAAABQAAAAExAQAAAAstMTk1ODI4MDYxNQMAAAADMTYwAgAAAAI1MgQAAAABMAcAAAAINC8xLzIwMjUIAAAACjEyLzMxLzIwMjQJAAAAATCcNFBjwXPdCAn7vZTEc90IMENJUS5OWVNFOklCTS5JUV9JTlNfRElWX1JFVi45OTAuNC8xLzIwMjUuLi5VU0QuSAEAAADetgEAAwAAAAAAnDRQY8Fz3QjF18SUxHPdCDBDSVEuTllTRTpJQk0uSVFfSU5TX0RJVl9SRVYuOTkxLjQvMS8yMDI1Li4uVVNELkgBAAAA3rYBAAMAAAAAAJw0UGPBc90IxdfElMRz3QgwQ0lRLk5ZU0U6SUJNLklRX0ZJTl9ESVZfUkVWLjk5NC40LzEvMjAyNS4uLlVTRC5IAQAA</t>
  </si>
  <si>
    <t>AN62AQACAAAABDE1OTkBCAAAAAUAAAABMQEAAAAKMjA4MTUwNTQwMQMAAAADMTYwAgAAAAI1MgQAAAABMAcAAAAINC8xLzIwMjUIAAAACjEyLzMxLzIwMTgJAAAAATCcNFBjwXPdCMXXxJTEc90IMENJUS5OWVNFOklCTS5JUV9GSU5fRElWX1JFVi45OTUuNC8xLzIwMjUuLi5VU0QuSAEAAADetgEAAgAAAAQxMjE2AQgAAAAFAAAAATEBAAAACy0yMTEwNzY5MzU1AwAAAAMxNjACAAAAAjUyBAAAAAEwBwAAAAg0LzEvMjAyNQgAAAAKMTIvMzEvMjAxOQkAAAABMJw0UGPBc90IxdfElMRz3QgwQ0lRLk5ZU0U6SUJNLklRX0ZJTl9ESVZfUkVWLjk5Ni40LzEvMjAyNS4uLlVTRC5IAQAAAN62AQACAAAAAzk4NAEIAAAABQAAAAExAQAAAAstMjA1OTA3MzIwMgMAAAADMTYwAgAAAAI1MgQAAAABMAcAAAAINC8xLzIwMjUIAAAACjEyLzMxLzIwMjAJAAAAATCcNFBjwXPdCMXXxJTEc90IMENJUS5OWVNFOklCTS5JUV9GSU5fRElWX1JFVi45OTcuNC8xLzIwMjUuLi5VU0QuSAEAAADetgEAAgAAAAM3ODABCAAAAAUAAAABMQEAAAALLTIwMDg2NDcxOTgDAAAAAzE2MAIAAAACNTIEAAAAATAHAAAACDQvMS8yMDI1CAAAAAoxMi8zMS8yMDIxCQAAAAEwnDRQY8Fz3QjF18SUxHPdCDBDSVEuTllTRTpJQk0uSVFfRklOX0RJVl9SRVYuOTk4LjQvMS8yMDI1Li4uVVNELkgBAAAA3rYBAAIAAAADNjUxAQgAAAAFAAAAATEBAAAA</t>
  </si>
  <si>
    <t>Cy0xOTU4MjgxMDk2AwAAAAMxNjACAAAAAjUyBAAAAAEwBwAAAAg0LzEvMjAyNQgAAAAKMTIvMzEvMjAyMgkAAAABMJw0UGPBc90IxdfElMRz3QgpQ0lRLk5ZU0U6SUJNLklRX1JFVi4yMDAwLjQvMS8yMDI1Li4uVVNELkgBAAAA3rYBAAIAAAAFNjIwNDQBCAAAAAUAAAABMQEAAAALLTE5NTgyODA2MTUDAAAAAzE2MAIAAAADMTEyBAAAAAEwBwAAAAg0LzEvMjAyNQgAAAAKMTIvMzEvMjAyNAkAAAABMJw0UGPBc90ICfu9lMRz3QgwQ0lRLk5ZU0U6SUJNLklRX0ZJTl9ESVZfUkVWLjk5MC40LzEvMjAyNS4uLlVTRC5IAQAAAN62AQACAAAABDIwNTcBCAAAAAUAAAABMQEAAAAKMTgyOTkxMTk2OAMAAAADMTYwAgAAAAI1MgQAAAABMAcAAAAINC8xLzIwMjUIAAAACjEyLzMxLzIwMTQJAAAAATCcNFBjwXPdCMXXxJTEc90IMENJUS5OWVNFOklCTS5JUV9GSU5fRElWX1JFVi45OTEuNC8xLzIwMjUuLi5VU0QuSAEAAADetgEAAgAAAAQxODY0AQgAAAAFAAAAATEBAAAACjE4NzY0MzI4NzIDAAAAAzE2MAIAAAACNTIEAAAAATAHAAAACDQvMS8yMDI1CAAAAAoxMi8zMS8yMDE1CQAAAAEwnDRQY8Fz3QjF18SUxHPdCDBDSVEuTllTRTpJQk0uSVFfRklOX0RJVl9SRVYuOTkyLjQvMS8yMDI1Li4uVVNELkgBAAAA3rYBAAIAAAAEMTcxMAEIAAAABQAAAAExAQAAAAoxOTQ3MTc5NTgzAwAAAAMxNjACAAAAAjUyBAAAAAEw</t>
  </si>
  <si>
    <t>BwAAAAg0LzEvMjAyNQgAAAAKMTIvMzEvMjAxNgkAAAABMJw0UGPBc90IxdfElMRz3QgwQ0lRLk5ZU0U6SUJNLklRX0ZJTl9ESVZfUkVWLjk5My40LzEvMjAyNS4uLlVTRC5IAQAAAN62AQACAAAABDE3MTUBCAAAAAUAAAABMQEAAAAKMjAxNzE2NDI0NAMAAAADMTYwAgAAAAI1MgQAAAABMAcAAAAINC8xLzIwMjUIAAAACjEyLzMxLzIwMTcJAAAAATCcNFBjwXPdCMbBxJTEc90IKENJUS5OWVNFOklCTS5JUV9SRVYuOTk2LjQvMS8yMDI1Li4uVVNELkgBAAAA3rYBAAIAAAAFNTQxOTUBCAAAAAUAAAABMQEAAAALLTIwNTkwNzMyMDIDAAAAAzE2MAIAAAADMTEyBAAAAAEwBwAAAAg0LzEvMjAyNQgAAAAKMTIvMzEvMjAyMAkAAAABMJw0UGPBc90IxsHElMRz3QgoQ0lRLk5ZU0U6SUJNLklRX1JFVi45OTcuNC8xLzIwMjUuLi5VU0QuSAEAAADetgEAAgAAAAU1NjU3MQEIAAAABQAAAAExAQAAAAstMjAwODY0NzE5OAMAAAADMTYwAgAAAAMxMTIEAAAAATAHAAAACDQvMS8yMDI1CAAAAAoxMi8zMS8yMDIxCQAAAAEwnDRQY8Fz3QjGwcSUxHPdCChDSVEuTllTRTpJQk0uSVFfUkVWLjk5OC40LzEvMjAyNS4uLlVTRC5IAQAAAN62AQACAAAABTU5ODc5AQgAAAAFAAAAATEBAAAACy0xOTU4MjgxMDk2AwAAAAMxNjACAAAAAzExMgQAAAABMAcAAAAINC8xLzIwMjUIAAAACjEyLzMxLzIwMjIJAAAAATCcNFBjwXPdCMbB</t>
  </si>
  <si>
    <t>xJTEc90IKENJUS5OWVNFOklCTS5JUV9SRVYuOTk5LjQvMS8yMDI1Li4uVVNELkgBAAAA3rYBAAIAAAAFNjExMjMBCAAAAAUAAAABMQEAAAALLTE5NTgyODEwOTUDAAAAAzE2MAIAAAADMTEyBAAAAAEwBwAAAAg0LzEvMjAyNQgAAAAKMTIvMzEvMjAyMwkAAAABMJw0UGPBc90IxsHElMRz3QgpQ0lRLk5ZU0U6SUJNLklRX1JFVi4xMDAwLjQvMS8yMDI1Li4uVVNELkgBAAAA3rYBAAIAAAAFNjIwNDQBCAAAAAUAAAABMQEAAAALLTE5NTgyODEwOTcDAAAAAzE2MAIAAAADMTEyBAAAAAEwBwAAAAg0LzEvMjAyNQgAAAAKMTIvMzEvMjAyNAkAAAABMJw0UGPBc90IxdfElMRz3QgoQ0lRLk5ZU0U6SUJNLklRX1JFVi45OTEuNC8xLzIwMjUuLi5VU0QuSAEAAADetgEAAgAAAAU3OTg3OAEIAAAABQAAAAExAQAAAAoxODc2NDMyODcyAwAAAAMxNjACAAAAAzExMgQAAAABMAcAAAAINC8xLzIwMjUIAAAACjEyLzMxLzIwMTUJAAAAATCcNFBjwXPdCMGnxJTEc90IKENJUS5OWVNFOklCTS5JUV9SRVYuOTkyLjQvMS8yMDI1Li4uVVNELkgBAAAA3rYBAAIAAAAFNzgyMTABCAAAAAUAAAABMQEAAAAKMTk0NzE3OTU4MwMAAAADMTYwAgAAAAMxMTIEAAAAATAHAAAACDQvMS8yMDI1CAAAAAoxMi8zMS8yMDE2CQAAAAEwnDRQY8Fz3QjGwcSUxHPdCChDSVEuTllTRTpJQk0uSVFfUkVWLjk5My40LzEvMjAyNS4uLlVTRC5IAQAA</t>
  </si>
  <si>
    <t>AN62AQACAAAABTc3NDI0AQgAAAAFAAAAATEBAAAACjIwMTcxNjQyNDQDAAAAAzE2MAIAAAADMTEyBAAAAAEwBwAAAAg0LzEvMjAyNQgAAAAKMTIvMzEvMjAxNwkAAAABMJw0UGPBc90IxsHElMRz3QgoQ0lRLk5ZU0U6SUJNLklRX1JFVi45OTQuNC8xLzIwMjUuLi5VU0QuSAEAAADetgEAAgAAAAU3Nzk5MgEIAAAABQAAAAExAQAAAAoyMDgxNTA1NDAxAwAAAAMxNjACAAAAAzExMgQAAAABMAcAAAAINC8xLzIwMjUIAAAACjEyLzMxLzIwMTgJAAAAATCcNFBjwXPdCMbBxJTEc90IKENJUS5OWVNFOklCTS5JUV9SRVYuOTk1LjQvMS8yMDI1Li4uVVNELkgBAAAA3rYBAAIAAAAFNTY0OTgBCAAAAAUAAAABMQEAAAALLTIxMTA3NjkzNTUDAAAAAzE2MAIAAAADMTEyBAAAAAEwBwAAAAg0LzEvMjAyNQgAAAAKMTIvMzEvMjAxOQkAAAABMJw0UGPBc90IxsHElMRz3QgoQ0lRLk5ZU0U6SUJNLklRX1JFVi45OTAuNC8xLzIwMjUuLi5VU0QuSAEAAADetgEAAgAAAAU5MDczNgEIAAAABQAAAAExAQAAAAoxODI5OTExOTY4AwAAAAMxNjACAAAAAzExMgQAAAABMAcAAAAINC8xLzIwMjUIAAAACjEyLzMxLzIwMTQJAAAAATCcNFBjwXPdCMbBxJTEc90IJ0NJUS5OWVNFOklCTS5JUV9GWC45OTguNC8xLzIwMjUuLi5VU0QuSAEAAADetgEAAgAAAAQtMjQ0AQgAAAAFAAAAATEBAAAACy0xOTU4MjgxMDk2AwAAAAMxNjACAAAA</t>
  </si>
  <si>
    <t>BDIxNDQEAAAAATAHAAAACDQvMS8yMDI1CAAAAAoxMi8zMS8yMDIyCQAAAAEwH07aY8Fz3Qh249iUxHPdCDBDSVEuTllTRTpJQk0uSVFfQ0FTSF9GSU5BTi4yMDAwLjQvMS8yMDI1Li4uVVNELkgBAAAA3rYBAAIAAAAFLTcwNzkBCAAAAAUAAAABMQEAAAALLTE5NTgyODA2MTUDAAAAAzE2MAIAAAAEMjAwNAQAAAABMAcAAAAINC8xLzIwMjUIAAAACjEyLzMxLzIwMjQJAAAAATAfTtpjwXPdCIcwwJTEc90IJ0NJUS5OWVNFOklCTS5JUV9GWC45OTAuNC8xLzIwMjUuLi5VU0QuSAEAAADetgEAAgAAAAQtNjU1AQgAAAAFAAAAATEBAAAACjE4Mjk5MTE5NjgDAAAAAzE2MAIAAAAEMjE0NAQAAAABMAcAAAAINC8xLzIwMjUIAAAACjEyLzMxLzIwMTQJAAAAATAfTtpjwXPdCHbj2JTEc90IJ0NJUS5OWVNFOklCTS5JUV9GWC45OTEuNC8xLzIwMjUuLi5VU0QuSAEAAADetgEAAgAAAAQtNDczAQgAAAAFAAAAATEBAAAACjE4NzY0MzI4NzIDAAAAAzE2MAIAAAAEMjE0NAQAAAABMAcAAAAINC8xLzIwMjUIAAAACjEyLzMxLzIwMTUJAAAAATAfTtpjwXPdCHbj2JTEc90IJ0NJUS5OWVNFOklCTS5JUV9GWC45OTIuNC8xLzIwMjUuLi5VU0QuSAEAAADetgEAAgAAAAMtNTEBCAAAAAUAAAABMQEAAAAKMTk0NzE3OTU4MwMAAAADMTYwAgAAAAQyMTQ0BAAAAAEwBwAAAAg0LzEvMjAyNQgAAAAKMTIvMzEvMjAxNgkAAAABMB9O</t>
  </si>
  <si>
    <t>2mPBc90IduPYlMRz3QgnQ0lRLk5ZU0U6SUJNLklRX0ZYLjk5My40LzEvMjAyNS4uLlVTRC5IAQAAAN62AQACAAAAAzkzNwEIAAAABQAAAAExAQAAAAoyMDE3MTY0MjQ0AwAAAAMxNjACAAAABDIxNDQEAAAAATAHAAAACDQvMS8yMDI1CAAAAAoxMi8zMS8yMDE3CQAAAAEwH07aY8Fz3Qh249iUxHPdCC9DSVEuTllTRTpJQk0uSVFfQ0FTSF9GSU5BTi45OTYuNC8xLzIwMjUuLi5VU0QuSAEAAADetgEAAgAAAAUtOTcyMQEIAAAABQAAAAExAQAAAAstMjA1OTA3MzIwMgMAAAADMTYwAgAAAAQyMDA0BAAAAAEwBwAAAAg0LzEvMjAyNQgAAAAKMTIvMzEvMjAyMAkAAAABMB9O2mPBc90IduPYlMRz3QgvQ0lRLk5ZU0U6SUJNLklRX0NBU0hfRklOQU4uOTk3LjQvMS8yMDI1Li4uVVNELkgBAAAA3rYBAAIAAAAGLTEzMzU0AQgAAAAFAAAAATEBAAAACy0yMDA4NjQ3MTk4AwAAAAMxNjACAAAABDIwMDQEAAAAATAHAAAACDQvMS8yMDI1CAAAAAoxMi8zMS8yMDIxCQAAAAEwH07aY8Fz3Qh249iUxHPdCC9DSVEuTllTRTpJQk0uSVFfQ0FTSF9GSU5BTi45OTguNC8xLzIwMjUuLi5VU0QuSAEAAADetgEAAgAAAAUtNDk1OAEIAAAABQAAAAExAQAAAAstMTk1ODI4MTA5NgMAAAADMTYwAgAAAAQyMDA0BAAAAAEwBwAAAAg0LzEvMjAyNQgAAAAKMTIvMzEvMjAyMgkAAAABMB9O2mPBc90IduPYlMRz3QgvQ0lRLk5ZU0U6SUJN</t>
  </si>
  <si>
    <t>LklRX0NBU0hfRklOQU4uOTk5LjQvMS8yMDI1Li4uVVNELkgBAAAA3rYBAAIAAAAFLTE3NjkBCAAAAAUAAAABMQEAAAALLTE5NTgyODEwOTUDAAAAAzE2MAIAAAAEMjAwNAQAAAABMAcAAAAINC8xLzIwMjUIAAAACjEyLzMxLzIwMjMJAAAAATAfTtpjwXPdCJZKwpTEc90IMENJUS5OWVNFOklCTS5JUV9DQVNIX0ZJTkFOLjEwMDAuNC8xLzIwMjUuLi5VU0QuSAEAAADetgEAAgAAAAUtNzA3OQEIAAAABQAAAAExAQAAAAstMTk1ODI4MTA5NwMAAAADMTYwAgAAAAQyMDA0BAAAAAEwBwAAAAg0LzEvMjAyNQgAAAAKMTIvMzEvMjAyNAkAAAABMB9O2mPBc90IduPYlMRz3QgvQ0lRLk5ZU0U6SUJNLklRX0NBU0hfRklOQU4uOTkxLjQvMS8yMDI1Li4uVVNELkgBAAAA3rYBAAIAAAAFLTk0MTMBCAAAAAUAAAABMQEAAAAKMTg3NjQzMjg3MgMAAAADMTYwAgAAAAQyMDA0BAAAAAEwBwAAAAg0LzEvMjAyNQgAAAAKMTIvMzEvMjAxNQkAAAABMB9O2mPBc90IduPYlMRz3QgvQ0lRLk5ZU0U6SUJNLklRX0NBU0hfRklOQU4uOTkyLjQvMS8yMDI1Li4uVVNELkgBAAAA3rYBAAIAAAAFLTU5MTcBCAAAAAUAAAABMQEAAAAKMTk0NzE3OTU4MwMAAAADMTYwAgAAAAQyMDA0BAAAAAEwBwAAAAg0LzEvMjAyNQgAAAAKMTIvMzEvMjAxNgkAAAABMB9O2mPBc90IduPYlMRz3QgvQ0lRLk5ZU0U6SUJNLklRX0NBU0hfRklOQU4uOTkz</t>
  </si>
  <si>
    <t>LjQvMS8yMDI1Li4uVVNELkgBAAAA3rYBAAIAAAAFLTY0MTgBCAAAAAUAAAABMQEAAAAKMjAxNzE2NDI0NAMAAAADMTYwAgAAAAQyMDA0BAAAAAEwBwAAAAg0LzEvMjAyNQgAAAAKMTIvMzEvMjAxNwkAAAABMB9O2mPBc90IduPYlMRz3QgvQ0lRLk5ZU0U6SUJNLklRX0NBU0hfRklOQU4uOTk0LjQvMS8yMDI1Li4uVVNELkgBAAAA3rYBAAIAAAAGLTEwNDY5AQgAAAAFAAAAATEBAAAACjIwODE1MDU0MDEDAAAAAzE2MAIAAAAEMjAwNAQAAAABMAcAAAAINC8xLzIwMjUIAAAACjEyLzMxLzIwMTgJAAAAATAfTtpjwXPdCHbj2JTEc90IL0NJUS5OWVNFOklCTS5JUV9DQVNIX0ZJTkFOLjk5NS40LzEvMjAyNS4uLlVTRC5IAQAAAN62AQACAAAABDkwNDIBCAAAAAUAAAABMQEAAAALLTIxMTA3NjkzNTUDAAAAAzE2MAIAAAAEMjAwNAQAAAABMAcAAAAINC8xLzIwMjUIAAAACjEyLzMxLzIwMTkJAAAAATAfTtpjwXPdCHbj2JTEc90IPENJUS5OWVNFOklCTS5JUV9PVEhFUl9GSU5BTkNFX0FDVF9TVVBQTC45OTguNC8xLzIwMjUuLi5VU0QuSAEAAADetgEAAgAAAAQtMTAzAQgAAAAFAAAAATEBAAAACy0xOTU4MjgxMDk2AwAAAAMxNjACAAAABDIwNTAEAAAAATAHAAAACDQvMS8yMDI1CAAAAAoxMi8zMS8yMDIyCQAAAAEwH07aY8Fz3Qh249iUxHPdCDxDSVEuTllTRTpJQk0uSVFfT1RIRVJfRklOQU5DRV9BQ1RfU1VQ</t>
  </si>
  <si>
    <t>UEwuOTk5LjQvMS8yMDI1Li4uVVNELkgBAAAA3rYBAAIAAAAELTIzOAEIAAAABQAAAAExAQAAAAstMTk1ODI4MTA5NQMAAAADMTYwAgAAAAQyMDUwBAAAAAEwBwAAAAg0LzEvMjAyNQgAAAAKMTIvMzEvMjAyMwkAAAABMB9O2mPBc90IlkrClMRz3Qg9Q0lRLk5ZU0U6SUJNLklRX09USEVSX0ZJTkFOQ0VfQUNUX1NVUFBMLjEwMDAuNC8xLzIwMjUuLi5VU0QuSAEAAADetgEAAgAAAAQtMTQ2AQgAAAAFAAAAATEBAAAACy0xOTU4MjgxMDk3AwAAAAMxNjACAAAABDIwNTAEAAAAATAHAAAACDQvMS8yMDI1CAAAAAoxMi8zMS8yMDI0CQAAAAEwH07aY8Fz3Qh249iUxHPdCD1DSVEuTllTRTpJQk0uSVFfT1RIRVJfRklOQU5DRV9BQ1RfU1VQUEwuMjAwMC40LzEvMjAyNS4uLlVTRC5IAQAAAN62AQACAAAABC0xNDYBCAAAAAUAAAABMQEAAAALLTE5NTgyODA2MTUDAAAAAzE2MAIAAAAEMjA1MAQAAAABMAcAAAAINC8xLzIwMjUIAAAACjEyLzMxLzIwMjQJAAAAATAfTtpjwXPdCIcwwJTEc90IL0NJUS5OWVNFOklCTS5JUV9DQVNIX0ZJTkFOLjk5MC40LzEvMjAyNS4uLlVTRC5IAQAAAN62AQACAAAABi0xNTQ1MgEIAAAABQAAAAExAQAAAAoxODI5OTExOTY4AwAAAAMxNjACAAAABDIwMDQEAAAAATAHAAAACDQvMS8yMDI1CAAAAAoxMi8zMS8yMDE0CQAAAAEwH07aY8Fz3Qh249iUxHPdCDxDSVEuTllTRTpJQk0uSVFf</t>
  </si>
  <si>
    <t>T1RIRVJfRklOQU5DRV9BQ1RfU1VQUEwuOTkzLjQvMS8yMDI1Li4uVVNELkgBAAAA3rYBAAIAAAADMTc0AQgAAAAFAAAAATEBAAAACjIwMTcxNjQyNDQDAAAAAzE2MAIAAAAEMjA1MAQAAAABMAcAAAAINC8xLzIwMjUIAAAACjEyLzMxLzIwMTcJAAAAATAfTtpjwXPdCHbj2JTEc90IPENJUS5OWVNFOklCTS5JUV9PVEhFUl9GSU5BTkNFX0FDVF9TVVBQTC45OTQuNC8xLzIwMjUuLi5VU0QuSAEAAADetgEAAgAAAAMxMTIBCAAAAAUAAAABMQEAAAAKMjA4MTUwNTQwMQMAAAADMTYwAgAAAAQyMDUwBAAAAAEwBwAAAAg0LzEvMjAyNQgAAAAKMTIvMzEvMjAxOAkAAAABMB9O2mPBc90IduPYlMRz3Qg8Q0lRLk5ZU0U6SUJNLklRX09USEVSX0ZJTkFOQ0VfQUNUX1NVUFBMLjk5NS40LzEvMjAyNS4uLlVTRC5IAQAAAN62AQACAAAAAjk4AQgAAAAFAAAAATEBAAAACy0yMTEwNzY5MzU1AwAAAAMxNjACAAAABDIwNTAEAAAAATAHAAAACDQvMS8yMDI1CAAAAAoxMi8zMS8yMDE5CQAAAAEwH07aY8Fz3Qh249iUxHPdCDxDSVEuTllTRTpJQk0uSVFfT1RIRVJfRklOQU5DRV9BQ1RfU1VQUEwuOTk2LjQvMS8yMDI1Li4uVVNELkgBAAAA3rYBAAIAAAACOTIBCAAAAAUAAAABMQEAAAALLTIwNTkwNzMyMDIDAAAAAzE2MAIAAAAEMjA1MAQAAAABMAcAAAAINC8xLzIwMjUIAAAACjEyLzMxLzIwMjAJAAAAATAfTtpjwXPdCHbj</t>
  </si>
  <si>
    <t>2JTEc90IPENJUS5OWVNFOklCTS5JUV9PVEhFUl9GSU5BTkNFX0FDVF9TVVBQTC45OTcuNC8xLzIwMjUuLi5VU0QuSAEAAADetgEAAgAAAAM5NDkBCAAAAAUAAAABMQEAAAALLTIwMDg2NDcxOTgDAAAAAzE2MAIAAAAEMjA1MAQAAAABMAcAAAAINC8xLzIwMjUIAAAACjEyLzMxLzIwMjEJAAAAATAfTtpjwXPdCHbj2JTEc90INENJUS5OWVNFOklCTS5JUV9TUEVDSUFMX0RJVl9DRi4xMDAwLjQvMS8yMDI1Li4uVVNELkgBAAAA3rYBAAMAAAAAAB9O2mPBc90IduPYlMRz3Qg0Q0lRLk5ZU0U6SUJNLklRX1NQRUNJQUxfRElWX0NGLjIwMDAuNC8xLzIwMjUuLi5VU0QuSAEAAADetgEAAwAAAAAAH07aY8Fz3QiHMMCUxHPdCDxDSVEuTllTRTpJQk0uSVFfT1RIRVJfRklOQU5DRV9BQ1RfU1VQUEwuOTkwLjQvMS8yMDI1Li4uVVNELkgBAAAA3rYBAAMAAAAAAB9O2mPBc90IduPYlMRz3Qg8Q0lRLk5ZU0U6SUJNLklRX09USEVSX0ZJTkFOQ0VfQUNUX1NVUFBMLjk5MS40LzEvMjAyNS4uLlVTRC5IAQAAAN62AQADAAAAAAAfTtpjwXPdCHbj2JTEc90IPENJUS5OWVNFOklCTS5JUV9PVEhFUl9GSU5BTkNFX0FDVF9TVVBQTC45OTIuNC8xLzIwMjUuLi5VU0QuSAEAAADetgEAAgAAAAMyMDQBCAAAAAUAAAABMQEAAAAKMTk0NzE3OTU4MwMAAAADMTYwAgAAAAQyMDUwBAAAAAEwBwAAAAg0LzEvMjAyNQgAAAAKMTIvMzEv</t>
  </si>
  <si>
    <t>MjAxNgkAAAABMB9O2mPBc90IduPYlMRz3QgzQ0lRLk5ZU0U6SUJNLklRX1NQRUNJQUxfRElWX0NGLjk5NS40LzEvMjAyNS4uLlVTRC5IAQAAAN62AQADAAAAAAAfTtpjwXPdCHbj2JTEc90IM0NJUS5OWVNFOklCTS5JUV9TUEVDSUFMX0RJVl9DRi45OTYuNC8xLzIwMjUuLi5VU0QuSAEAAADetgEAAwAAAAAAH07aY8Fz3Qh249iUxHPdCDNDSVEuTllTRTpJQk0uSVFfU1BFQ0lBTF9ESVZfQ0YuOTk3LjQvMS8yMDI1Li4uVVNELkgBAAAA3rYBAAMAAAAAAB9O2mPBc90IduPYlMRz3QgzQ0lRLk5ZU0U6SUJNLklRX1NQRUNJQUxfRElWX0NGLjk5OC40LzEvMjAyNS4uLlVTRC5IAQAAAN62AQADAAAAAAAfTtpjwXPdCHbj2JTEc90IM0NJUS5OWVNFOklCTS5JUV9TUEVDSUFMX0RJVl9DRi45OTkuNC8xLzIwMjUuLi5VU0QuSAEAAADetgEAAwAAAAAAH07aY8Fz3QiWSsKUxHPdCDNDSVEuTllTRTpJQk0uSVFfU1BFQ0lBTF9ESVZfQ0YuOTkwLjQvMS8yMDI1Li4uVVNELkgBAAAA3rYBAAMAAAAAAB9O2mPBc90IduPYlMRz3QgzQ0lRLk5ZU0U6SUJNLklRX1NQRUNJQUxfRElWX0NGLjk5MS40LzEvMjAyNS4uLlVTRC5IAQAAAN62AQADAAAAAAAfTtpjwXPdCHbj2JTEc90IM0NJUS5OWVNFOklCTS5JUV9TUEVDSUFMX0RJVl9DRi45OTIuNC8xLzIwMjUuLi5VU0QuSAEAAADetgEAAwAAAAAAH07aY8Fz3Qh249iUxHPd</t>
  </si>
  <si>
    <t>CDNDSVEuTllTRTpJQk0uSVFfU1BFQ0lBTF9ESVZfQ0YuOTkzLjQvMS8yMDI1Li4uVVNELkgBAAAA3rYBAAMAAAAAAB9O2mPBc90IduPYlMRz3QgzQ0lRLk5ZU0U6SUJNLklRX1NQRUNJQUxfRElWX0NGLjk5NC40LzEvMjAyNS4uLlVTRC5IAQAAAN62AQADAAAAAAAfTtpjwXPdCHbj2JTEc90INkNJUS5OWVNFOklCTS5JUV9UT1RBTF9ESVZfUEFJRF9DRi45OTcuNC8xLzIwMjUuLi5VU0QuSAEAAADetgEAAgAAAAUtNTg2OQEIAAAABQAAAAExAQAAAAstMjAwODY0NzE5OAMAAAADMTYwAgAAAAQyMDIyBAAAAAEwBwAAAAg0LzEvMjAyNQgAAAAKMTIvMzEvMjAyMQkAAAABMB9O2mPBc90IduPYlMRz3Qg2Q0lRLk5ZU0U6SUJNLklRX1RPVEFMX0RJVl9QQUlEX0NGLjk5OC40LzEvMjAyNS4uLlVTRC5IAQAAAN62AQACAAAABS01OTQ4AQgAAAAFAAAAATEBAAAACy0xOTU4MjgxMDk2AwAAAAMxNjACAAAABDIwMjIEAAAAATAHAAAACDQvMS8yMDI1CAAAAAoxMi8zMS8yMDIyCQAAAAEwH07aY8Fz3Qh249iUxHPdCDZDSVEuTllTRTpJQk0uSVFfVE9UQUxfRElWX1BBSURfQ0YuOTk5LjQvMS8yMDI1Li4uVVNELkgBAAAA3rYBAAIAAAAFLTYwNDABCAAAAAUAAAABMQEAAAALLTE5NTgyODEwOTUDAAAAAzE2MAIAAAAEMjAyMgQAAAABMAcAAAAINC8xLzIwMjUIAAAACjEyLzMxLzIwMjMJAAAAATAfTtpjwXPdCJZKwpTE</t>
  </si>
  <si>
    <t>c90IN0NJUS5OWVNFOklCTS5JUV9UT1RBTF9ESVZfUEFJRF9DRi4xMDAwLjQvMS8yMDI1Li4uVVNELkgBAAAA3rYBAAIAAAAFLTYxNDcBCAAAAAUAAAABMQEAAAALLTE5NTgyODEwOTcDAAAAAzE2MAIAAAAEMjAyMgQAAAABMAcAAAAINC8xLzIwMjUIAAAACjEyLzMxLzIwMjQJAAAAATAfTtpjwXPdCHbj2JTEc90IN0NJUS5OWVNFOklCTS5JUV9UT1RBTF9ESVZfUEFJRF9DRi4yMDAwLjQvMS8yMDI1Li4uVVNELkgBAAAA3rYBAAIAAAAFLTYxNDcBCAAAAAUAAAABMQEAAAALLTE5NTgyODA2MTUDAAAAAzE2MAIAAAAEMjAyMgQAAAABMAcAAAAINC8xLzIwMjUIAAAACjEyLzMxLzIwMjQJAAAAATAfTtpjwXPdCIcwwJTEc90INkNJUS5OWVNFOklCTS5JUV9UT1RBTF9ESVZfUEFJRF9DRi45OTIuNC8xLzIwMjUuLi5VU0QuSAEAAADetgEAAgAAAAUtNTI1NgEIAAAABQAAAAExAQAAAAoxOTQ3MTc5NTgzAwAAAAMxNjACAAAABDIwMjIEAAAAATAHAAAACDQvMS8yMDI1CAAAAAoxMi8zMS8yMDE2CQAAAAEwH07aY8Fz3Qh249iUxHPdCDZDSVEuTllTRTpJQk0uSVFfVE9UQUxfRElWX1BBSURfQ0YuOTkzLjQvMS8yMDI1Li4uVVNELkgBAAAA3rYBAAIAAAAFLTU1MDYBCAAAAAUAAAABMQEAAAAKMjAxNzE2NDI0NAMAAAADMTYwAgAAAAQyMDIyBAAAAAEwBwAAAAg0LzEvMjAyNQgAAAAKMTIvMzEvMjAxNwkAAAABMB9O</t>
  </si>
  <si>
    <t>2mPBc90IduPYlMRz3Qg2Q0lRLk5ZU0U6SUJNLklRX1RPVEFMX0RJVl9QQUlEX0NGLjk5NC40LzEvMjAyNS4uLlVTRC5IAQAAAN62AQACAAAABS01NjY2AQgAAAAFAAAAATEBAAAACjIwODE1MDU0MDEDAAAAAzE2MAIAAAAEMjAyMgQAAAABMAcAAAAINC8xLzIwMjUIAAAACjEyLzMxLzIwMTgJAAAAATAfTtpjwXPdCHbj2JTEc90INkNJUS5OWVNFOklCTS5JUV9UT1RBTF9ESVZfUEFJRF9DRi45OTUuNC8xLzIwMjUuLi5VU0QuSAEAAADetgEAAgAAAAUtNTcwNwEIAAAABQAAAAExAQAAAAstMjExMDc2OTM1NQMAAAADMTYwAgAAAAQyMDIyBAAAAAEwBwAAAAg0LzEvMjAyNQgAAAAKMTIvMzEvMjAxOQkAAAABMB9O2mPBc90IduPYlMRz3Qg2Q0lRLk5ZU0U6SUJNLklRX1RPVEFMX0RJVl9QQUlEX0NGLjk5Ni40LzEvMjAyNS4uLlVTRC5IAQAAAN62AQACAAAABS01Nzk3AQgAAAAFAAAAATEBAAAACy0yMDU5MDczMjAyAwAAAAMxNjACAAAABDIwMjIEAAAAATAHAAAACDQvMS8yMDI1CAAAAAoxMi8zMS8yMDIwCQAAAAEwH07aY8Fz3Qh249iUxHPdCDdDSVEuTllTRTpJQk0uSVFfQ09NTU9OX1BSRUZfRElWX0NGLjk5OS40LzEvMjAyNS4uLlVTRC5IAQAAAN62AQADAAAAAAAfTtpjwXPdCJZKwpTEc90IOENJUS5OWVNFOklCTS5JUV9DT01NT05fUFJFRl9ESVZfQ0YuMTAwMC40LzEvMjAyNS4uLlVTRC5IAQAAAN62</t>
  </si>
  <si>
    <t>AQADAAAAAAAfTtpjwXPdCHbj2JTEc90IOENJUS5OWVNFOklCTS5JUV9DT01NT05fUFJFRl9ESVZfQ0YuMjAwMC40LzEvMjAyNS4uLlVTRC5IAQAAAN62AQADAAAAAAAfTtpjwXPdCIcwwJTEc90INkNJUS5OWVNFOklCTS5JUV9UT1RBTF9ESVZfUEFJRF9DRi45OTAuNC8xLzIwMjUuLi5VU0QuSAEAAADetgEAAgAAAAUtNDI2NQEIAAAABQAAAAExAQAAAAoxODI5OTExOTY4AwAAAAMxNjACAAAABDIwMjIEAAAAATAHAAAACDQvMS8yMDI1CAAAAAoxMi8zMS8yMDE0CQAAAAEwH07aY8Fz3Qh249iUxHPdCDZDSVEuTllTRTpJQk0uSVFfVE9UQUxfRElWX1BBSURfQ0YuOTkxLjQvMS8yMDI1Li4uVVNELkgBAAAA3rYBAAIAAAAFLTQ4OTcBCAAAAAUAAAABMQEAAAAKMTg3NjQzMjg3MgMAAAADMTYwAgAAAAQyMDIyBAAAAAEwBwAAAAg0LzEvMjAyNQgAAAAKMTIvMzEvMjAxNQkAAAABMB9O2mPBc90IduPYlMRz3Qg3Q0lRLk5ZU0U6SUJNLklRX0NPTU1PTl9QUkVGX0RJVl9DRi45OTQuNC8xLzIwMjUuLi5VU0QuSAEAAADetgEAAwAAAAAAH07aY8Fz3Qh249iUxHPdCDdDSVEuTllTRTpJQk0uSVFfQ09NTU9OX1BSRUZfRElWX0NGLjk5NS40LzEvMjAyNS4uLlVTRC5IAQAAAN62AQADAAAAAAAfTtpjwXPdCHbj2JTEc90IN0NJUS5OWVNFOklCTS5JUV9DT01NT05fUFJFRl9ESVZfQ0YuOTk2LjQvMS8yMDI1Li4uVVNE</t>
  </si>
  <si>
    <t>LkgBAAAA3rYBAAMAAAAAAB9O2mPBc90IduPYlMRz3Qg3Q0lRLk5ZU0U6SUJNLklRX0NPTU1PTl9QUkVGX0RJVl9DRi45OTcuNC8xLzIwMjUuLi5VU0QuSAEAAADetgEAAwAAAAAAH07aY8Fz3Qh249iUxHPdCDdDSVEuTllTRTpJQk0uSVFfQ09NTU9OX1BSRUZfRElWX0NGLjk5OC40LzEvMjAyNS4uLlVTRC5IAQAAAN62AQADAAAAAAAfTtpjwXPdCHbj2JTEc90IMUNJUS5OWVNFOklCTS5JUV9QUkVGX0RJVl9DRi4yMDAwLjQvMS8yMDI1Li4uVVNELkgBAAAA3rYBAAMAAAAAAB9O2mPBc90IhzDAlMRz3Qg3Q0lRLk5ZU0U6SUJNLklRX0NPTU1PTl9QUkVGX0RJVl9DRi45OTAuNC8xLzIwMjUuLi5VU0QuSAEAAADetgEAAwAAAAAAH07aY8Fz3Qh249iUxHPdCDdDSVEuTllTRTpJQk0uSVFfQ09NTU9OX1BSRUZfRElWX0NGLjk5MS40LzEvMjAyNS4uLlVTRC5IAQAAAN62AQADAAAAAAAfTtpjwXPdCHbj2JTEc90IN0NJUS5OWVNFOklCTS5JUV9DT01NT05fUFJFRl9ESVZfQ0YuOTkyLjQvMS8yMDI1Li4uVVNELkgBAAAA3rYBAAMAAAAAAB9O2mPBc90IduPYlMRz3Qg3Q0lRLk5ZU0U6SUJNLklRX0NPTU1PTl9QUkVGX0RJVl9DRi45OTMuNC8xLzIwMjUuLi5VU0QuSAEAAADetgEAAwAAAAAAH07aY8Fz3Qh249iUxHPdCDBDSVEuTllTRTpJQk0uSVFfUFJFRl9ESVZfQ0YuOTk2LjQvMS8yMDI1Li4uVVNELkgBAAAA</t>
  </si>
  <si>
    <t>3rYBAAMAAAAAAB9O2mPBc90IduPYlMRz3QgwQ0lRLk5ZU0U6SUJNLklRX1BSRUZfRElWX0NGLjk5Ny40LzEvMjAyNS4uLlVTRC5IAQAAAN62AQADAAAAAAAfTtpjwXPdCHbj2JTEc90IMENJUS5OWVNFOklCTS5JUV9QUkVGX0RJVl9DRi45OTguNC8xLzIwMjUuLi5VU0QuSAEAAADetgEAAwAAAAAAH07aY8Fz3Qh249iUxHPdCDBDSVEuTllTRTpJQk0uSVFfUFJFRl9ESVZfQ0YuOTk5LjQvMS8yMDI1Li4uVVNELkgBAAAA3rYBAAMAAAAAAB9O2mPBc90IlkrClMRz3QgxQ0lRLk5ZU0U6SUJNLklRX1BSRUZfRElWX0NGLjEwMDAuNC8xLzIwMjUuLi5VU0QuSAEAAADetgEAAwAAAAAAH07aY8Fz3Qh249iUxHPdCDBDSVEuTllTRTpJQk0uSVFfUFJFRl9ESVZfQ0YuOTkxLjQvMS8yMDI1Li4uVVNELkgBAAAA3rYBAAMAAAAAAB9O2mPBc90IduPYlMRz3QgwQ0lRLk5ZU0U6SUJNLklRX1BSRUZfRElWX0NGLjk5Mi40LzEvMjAyNS4uLlVTRC5IAQAAAN62AQADAAAAAAAfTtpjwXPdCHbj2JTEc90IMENJUS5OWVNFOklCTS5JUV9QUkVGX0RJVl9DRi45OTMuNC8xLzIwMjUuLi5VU0QuSAEAAADetgEAAwAAAAAAH07aY8Fz3Qh249iUxHPdCDBDSVEuTllTRTpJQk0uSVFfUFJFRl9ESVZfQ0YuOTk0LjQvMS8yMDI1Li4uVVNELkgBAAAA3rYBAAMAAAAAAB9O2mPBc90IduPYlMRz3QgwQ0lRLk5ZU0U6SUJNLklRX1BSRUZf</t>
  </si>
  <si>
    <t>RElWX0NGLjk5NS40LzEvMjAyNS4uLlVTRC5IAQAAAN62AQADAAAAAAAfTtpjwXPdCHbj2JTEc90IMkNJUS5OWVNFOklCTS5JUV9DT01NT05fRElWX0NGLjk5OC40LzEvMjAyNS4uLlVTRC5IAQAAAN62AQACAAAABS01OTQ4AQgAAAAFAAAAATEBAAAACy0xOTU4MjgxMDk2AwAAAAMxNjACAAAABDIwNzQEAAAAATAHAAAACDQvMS8yMDI1CAAAAAoxMi8zMS8yMDIyCQAAAAEwH07aY8Fz3Qh249iUxHPdCDJDSVEuTllTRTpJQk0uSVFfQ09NTU9OX0RJVl9DRi45OTkuNC8xLzIwMjUuLi5VU0QuSAEAAADetgEAAgAAAAUtNjA0MAEIAAAABQAAAAExAQAAAAstMTk1ODI4MTA5NQMAAAADMTYwAgAAAAQyMDc0BAAAAAEwBwAAAAg0LzEvMjAyNQgAAAAKMTIvMzEvMjAyMwkAAAABMB9O2mPBc90IlkrClMRz3QgzQ0lRLk5ZU0U6SUJNLklRX0NPTU1PTl9ESVZfQ0YuMTAwMC40LzEvMjAyNS4uLlVTRC5IAQAAAN62AQACAAAABS02MTQ3AQgAAAAFAAAAATEBAAAACy0xOTU4MjgxMDk3AwAAAAMxNjACAAAABDIwNzQEAAAAATAHAAAACDQvMS8yMDI1CAAAAAoxMi8zMS8yMDI0CQAAAAEwH07aY8Fz3Qh249iUxHPdCDNDSVEuTllTRTpJQk0uSVFfQ09NTU9OX0RJVl9DRi4yMDAwLjQvMS8yMDI1Li4uVVNELkgBAAAA3rYBAAIAAAAFLTYxNDcBCAAAAAUAAAABMQEAAAALLTE5NTgyODA2MTUDAAAAAzE2MAIAAAAEMjA3NAQA</t>
  </si>
  <si>
    <t>AAABMAcAAAAINC8xLzIwMjUIAAAACjEyLzMxLzIwMjQJAAAAATAfTtpjwXPdCIcwwJTEc90IMENJUS5OWVNFOklCTS5JUV9QUkVGX0RJVl9DRi45OTAuNC8xLzIwMjUuLi5VU0QuSAEAAADetgEAAwAAAAAAH07aY8Fz3Qh249iUxHPdCDJDSVEuTllTRTpJQk0uSVFfQ09NTU9OX0RJVl9DRi45OTMuNC8xLzIwMjUuLi5VU0QuSAEAAADetgEAAgAAAAUtNTUwNgEIAAAABQAAAAExAQAAAAoyMDE3MTY0MjQ0AwAAAAMxNjACAAAABDIwNzQEAAAAATAHAAAACDQvMS8yMDI1CAAAAAoxMi8zMS8yMDE3CQAAAAEwH07aY8Fz3Qh249iUxHPdCDJDSVEuTllTRTpJQk0uSVFfQ09NTU9OX0RJVl9DRi45OTQuNC8xLzIwMjUuLi5VU0QuSAEAAADetgEAAgAAAAUtNTY2NgEIAAAABQAAAAExAQAAAAoyMDgxNTA1NDAxAwAAAAMxNjACAAAABDIwNzQEAAAAATAHAAAACDQvMS8yMDI1CAAAAAoxMi8zMS8yMDE4CQAAAAEwH07aY8Fz3Qh249iUxHPdCDJDSVEuTllTRTpJQk0uSVFfQ09NTU9OX0RJVl9DRi45OTUuNC8xLzIwMjUuLi5VU0QuSAEAAADetgEAAgAAAAUtNTcwNwEIAAAABQAAAAExAQAAAAstMjExMDc2OTM1NQMAAAADMTYwAgAAAAQyMDc0BAAAAAEwBwAAAAg0LzEvMjAyNQgAAAAKMTIvMzEvMjAxOQkAAAABMB9O2mPBc90IduPYlMRz3QgyQ0lRLk5ZU0U6SUJNLklRX0NPTU1PTl9ESVZfQ0YuOTk2LjQvMS8yMDI1</t>
  </si>
  <si>
    <t>Li4uVVNELkgBAAAA3rYBAAIAAAAFLTU3OTcBCAAAAAUAAAABMQEAAAALLTIwNTkwNzMyMDIDAAAAAzE2MAIAAAAEMjA3NAQAAAABMAcAAAAINC8xLzIwMjUIAAAACjEyLzMxLzIwMjAJAAAAATAfTtpjwXPdCHbj2JTEc90IMkNJUS5OWVNFOklCTS5JUV9DT01NT05fRElWX0NGLjk5Ny40LzEvMjAyNS4uLlVTRC5IAQAAAN62AQACAAAABS01ODY5AQgAAAAFAAAAATEBAAAACy0yMDA4NjQ3MTk4AwAAAAMxNjACAAAABDIwNzQEAAAAATAHAAAACDQvMS8yMDI1CAAAAAoxMi8zMS8yMDIxCQAAAAEwH07aY8Fz3Qh249iUxHPdCC5DSVEuTllTRTpJQk0uSVFfUFJFRl9SRVAuMTAwMC40LzEvMjAyNS4uLlVTRC5IAQAAAN62AQADAAAAAAAfTtpjwXPdCHbj2JTEc90ILkNJUS5OWVNFOklCTS5JUV9QUkVGX1JFUC4yMDAwLjQvMS8yMDI1Li4uVVNELkgBAAAA3rYBAAMAAAAAAB9O2mPBc90IhzDAlMRz3QgyQ0lRLk5ZU0U6SUJNLklRX0NPTU1PTl9ESVZfQ0YuOTkwLjQvMS8yMDI1Li4uVVNELkgBAAAA3rYBAAIAAAAFLTQyNjUBCAAAAAUAAAABMQEAAAAKMTgyOTkxMTk2OAMAAAADMTYwAgAAAAQyMDc0BAAAAAEwBwAAAAg0LzEvMjAyNQgAAAAKMTIvMzEvMjAxNAkAAAABMB9O2mPBc90IduPYlMRz3QgyQ0lRLk5ZU0U6SUJNLklRX0NPTU1PTl9ESVZfQ0YuOTkxLjQvMS8yMDI1Li4uVVNELkgBAAAA3rYBAAIAAAAF</t>
  </si>
  <si>
    <t>LTQ4OTcBCAAAAAUAAAABMQEAAAAKMTg3NjQzMjg3MgMAAAADMTYwAgAAAAQyMDc0BAAAAAEwBwAAAAg0LzEvMjAyNQgAAAAKMTIvMzEvMjAxNQkAAAABMB9O2mPBc90IduPYlMRz3QgyQ0lRLk5ZU0U6SUJNLklRX0NPTU1PTl9ESVZfQ0YuOTkyLjQvMS8yMDI1Li4uVVNELkgBAAAA3rYBAAIAAAAFLTUyNTYBCAAAAAUAAAABMQEAAAAKMTk0NzE3OTU4MwMAAAADMTYwAgAAAAQyMDc0BAAAAAEwBwAAAAg0LzEvMjAyNQgAAAAKMTIvMzEvMjAxNgkAAAABMB9O2mPBc90IduPYlMRz3QgtQ0lRLk5ZU0U6SUJNLklRX1BSRUZfUkVQLjk5NS40LzEvMjAyNS4uLlVTRC5IAQAAAN62AQADAAAAAAAfTtpjwXPdCHbj2JTEc90ILUNJUS5OWVNFOklCTS5JUV9QUkVGX1JFUC45OTYuNC8xLzIwMjUuLi5VU0QuSAEAAADetgEAAwAAAAAAH07aY8Fz3Qh249iUxHPdCC1DSVEuTllTRTpJQk0uSVFfUFJFRl9SRVAuOTk3LjQvMS8yMDI1Li4uVVNELkgBAAAA3rYBAAMAAAAAAB9O2mPBc90IduPYlMRz3QgtQ0lRLk5ZU0U6SUJNLklRX1BSRUZfUkVQLjk5OC40LzEvMjAyNS4uLlVTRC5IAQAAAN62AQADAAAAAAAfTtpjwXPdCHbj2JTEc90ILUNJUS5OWVNFOklCTS5JUV9QUkVGX1JFUC45OTkuNC8xLzIwMjUuLi5VU0QuSAEAAADetgEAAwAAAAAAH07aY8Fz3QiWSsKUxHPdCC1DSVEuTllTRTpJQk0uSVFfUFJFRl9SRVAuOTkw</t>
  </si>
  <si>
    <t>LjQvMS8yMDI1Li4uVVNELkgBAAAA3rYBAAMAAAAAAB9O2mPBc90IduPYlMRz3QgtQ0lRLk5ZU0U6SUJNLklRX1BSRUZfUkVQLjk5MS40LzEvMjAyNS4uLlVTRC5IAQAAAN62AQADAAAAAAAfTtpjwXPdCHbj2JTEc90ILUNJUS5OWVNFOklCTS5JUV9QUkVGX1JFUC45OTIuNC8xLzIwMjUuLi5VU0QuSAEAAADetgEAAwAAAAAAH07aY8Fz3Qh249iUxHPdCC1DSVEuTllTRTpJQk0uSVFfUFJFRl9SRVAuOTkzLjQvMS8yMDI1Li4uVVNELkgBAAAA3rYBAAMAAAAAAB9O2mPBc90IduPYlMRz3QgtQ0lRLk5ZU0U6SUJNLklRX1BSRUZfUkVQLjk5NC40LzEvMjAyNS4uLlVTRC5IAQAAAN62AQADAAAAAAAfTtpjwXPdCHbj2JTEc90IMENJUS5OWVNFOklCTS5JUV9QUkVGX0lTU1VFRC45OTcuNC8xLzIwMjUuLi5VU0QuSAEAAADetgEAAwAAAAAAH07aY8Fz3Qh249iUxHPdCDBDSVEuTllTRTpJQk0uSVFfUFJFRl9JU1NVRUQuOTk4LjQvMS8yMDI1Li4uVVNELkgBAAAA3rYBAAMAAAAAAB9O2mPBc90IduPYlMRz3QgwQ0lRLk5ZU0U6SUJNLklRX1BSRUZfSVNTVUVELjk5OS40LzEvMjAyNS4uLlVTRC5IAQAAAN62AQADAAAAAAAfTtpjwXPdCJZKwpTEc90IMUNJUS5OWVNFOklCTS5JUV9QUkVGX0lTU1VFRC4xMDAwLjQvMS8yMDI1Li4uVVNELkgBAAAA3rYBAAMAAAAAAB9O2mPBc90IduPYlMRz3QgxQ0lRLk5ZU0U6SUJN</t>
  </si>
  <si>
    <t>LklRX1BSRUZfSVNTVUVELjIwMDAuNC8xLzIwMjUuLi5VU0QuSAEAAADetgEAAwAAAAAAH07aY8Fz3QiHMMCUxHPdCDBDSVEuTllTRTpJQk0uSVFfUFJFRl9JU1NVRUQuOTkyLjQvMS8yMDI1Li4uVVNELkgBAAAA3rYBAAMAAAAAAB9O2mPBc90IduPYlMRz3QgwQ0lRLk5ZU0U6SUJNLklRX1BSRUZfSVNTVUVELjk5My40LzEvMjAyNS4uLlVTRC5IAQAAAN62AQADAAAAAAAfTtpjwXPdCHbj2JTEc90IMENJUS5OWVNFOklCTS5JUV9QUkVGX0lTU1VFRC45OTQuNC8xLzIwMjUuLi5VU0QuSAEAAADetgEAAwAAAAAAH07aY8Fz3Qh249iUxHPdCDBDSVEuTllTRTpJQk0uSVFfUFJFRl9JU1NVRUQuOTk1LjQvMS8yMDI1Li4uVVNELkgBAAAA3rYBAAMAAAAAAB9O2mPBc90IduPYlMRz3QgwQ0lRLk5ZU0U6SUJNLklRX1BSRUZfSVNTVUVELjk5Ni40LzEvMjAyNS4uLlVTRC5IAQAAAN62AQADAAAAAAAfTtpjwXPdCHbj2JTEc90IL0NJUS5OWVNFOklCTS5JUV9DT01NT05fUkVQLjk5OS40LzEvMjAyNS4uLlVTRC5IAQAAAN62AQACAAAABC00MDIBCAAAAAUAAAABMQEAAAALLTE5NTgyODEwOTUDAAAAAzE2MAIAAAAEMjE2NAQAAAABMAcAAAAINC8xLzIwMjUIAAAACjEyLzMxLzIwMjMJAAAAATAfTtpjwXPdCJZKwpTEc90IMENJUS5OWVNFOklCTS5JUV9DT01NT05fUkVQLjEwMDAuNC8xLzIwMjUuLi5VU0QuSAEAAADe</t>
  </si>
  <si>
    <t>tgEAAgAAAAQtNjUxAQgAAAAFAAAAATEBAAAACy0xOTU4MjgxMDk3AwAAAAMxNjACAAAABDIxNjQEAAAAATAHAAAACDQvMS8yMDI1CAAAAAoxMi8zMS8yMDI0CQAAAAEwH07aY8Fz3Qh249iUxHPdCDBDSVEuTllTRTpJQk0uSVFfQ09NTU9OX1JFUC4yMDAwLjQvMS8yMDI1Li4uVVNELkgBAAAA3rYBAAIAAAAELTY1MQEIAAAABQAAAAExAQAAAAstMTk1ODI4MDYxNQMAAAADMTYwAgAAAAQyMTY0BAAAAAEwBwAAAAg0LzEvMjAyNQgAAAAKMTIvMzEvMjAyNAkAAAABMB9O2mPBc90IhzDAlMRz3QgwQ0lRLk5ZU0U6SUJNLklRX1BSRUZfSVNTVUVELjk5MC40LzEvMjAyNS4uLlVTRC5IAQAAAN62AQADAAAAAAAfTtpjwXPdCHbj2JTEc90IMENJUS5OWVNFOklCTS5JUV9QUkVGX0lTU1VFRC45OTEuNC8xLzIwMjUuLi5VU0QuSAEAAADetgEAAwAAAAAAH07aY8Fz3Qh249iUxHPdCC9DSVEuTllTRTpJQk0uSVFfQ09NTU9OX1JFUC45OTQuNC8xLzIwMjUuLi5VU0QuSAEAAADetgEAAgAAAAUtNDYxNAEIAAAABQAAAAExAQAAAAoyMDgxNTA1NDAxAwAAAAMxNjACAAAABDIxNjQEAAAAATAHAAAACDQvMS8yMDI1CAAAAAoxMi8zMS8yMDE4CQAAAAEwH07aY8Fz3Qh249iUxHPdCC9DSVEuTllTRTpJQk0uSVFfQ09NTU9OX1JFUC45OTUuNC8xLzIwMjUuLi5VU0QuSAEAAADetgEAAgAAAAUtMTYzMwEIAAAABQAAAAExAQAA</t>
  </si>
  <si>
    <t>AAstMjExMDc2OTM1NQMAAAADMTYwAgAAAAQyMTY0BAAAAAEwBwAAAAg0LzEvMjAyNQgAAAAKMTIvMzEvMjAxOQkAAAABMB9O2mPBc90IduPYlMRz3QgvQ0lRLk5ZU0U6SUJNLklRX0NPTU1PTl9SRVAuOTk2LjQvMS8yMDI1Li4uVVNELkgBAAAA3rYBAAIAAAAELTMwMgEIAAAABQAAAAExAQAAAAstMjA1OTA3MzIwMgMAAAADMTYwAgAAAAQyMTY0BAAAAAEwBwAAAAg0LzEvMjAyNQgAAAAKMTIvMzEvMjAyMAkAAAABMB9O2mPBc90IduPYlMRz3QgvQ0lRLk5ZU0U6SUJNLklRX0NPTU1PTl9SRVAuOTk3LjQvMS8yMDI1Li4uVVNELkgBAAAA3rYBAAIAAAAELTMxOQEIAAAABQAAAAExAQAAAAstMjAwODY0NzE5OAMAAAADMTYwAgAAAAQyMTY0BAAAAAEwBwAAAAg0LzEvMjAyNQgAAAAKMTIvMzEvMjAyMQkAAAABMB9O2mPBc90ICZXYlMRz3QgvQ0lRLk5ZU0U6SUJNLklRX0NPTU1PTl9SRVAuOTk4LjQvMS8yMDI1Li4uVVNELkgBAAAA3rYBAAIAAAAELTQwNwEIAAAABQAAAAExAQAAAAstMTk1ODI4MTA5NgMAAAADMTYwAgAAAAQyMTY0BAAAAAEwBwAAAAg0LzEvMjAyNQgAAAAKMTIvMzEvMjAyMgkAAAABMB9O2mPBc90ICZXYlMRz3QgzQ0lRLk5ZU0U6SUJNLklRX0NPTU1PTl9JU1NVRUQuMjAwMC40LzEvMjAyNS4uLlVTRC5IAQAAAN62AQACAAAAAzc0NQEIAAAABQAAAAExAQAAAAstMTk1ODI4MDYxNQMAAAAD</t>
  </si>
  <si>
    <t>MTYwAgAAAAQyMTY5BAAAAAEwBwAAAAg0LzEvMjAyNQgAAAAKMTIvMzEvMjAyNAkAAAABMB9O2mPBc90IhzDAlMRz3QgvQ0lRLk5ZU0U6SUJNLklRX0NPTU1PTl9SRVAuOTkwLjQvMS8yMDI1Li4uVVNELkgBAAAA3rYBAAIAAAAGLTEzNjc5AQgAAAAFAAAAATEBAAAACjE4Mjk5MTE5NjgDAAAAAzE2MAIAAAAEMjE2NAQAAAABMAcAAAAINC8xLzIwMjUIAAAACjEyLzMxLzIwMTQJAAAAATAfTtpjwXPdCAmV2JTEc90IL0NJUS5OWVNFOklCTS5JUV9DT01NT05fUkVQLjk5MS40LzEvMjAyNS4uLlVTRC5IAQAAAN62AQACAAAABS00ODU3AQgAAAAFAAAAATEBAAAACjE4NzY0MzI4NzIDAAAAAzE2MAIAAAAEMjE2NAQAAAABMAcAAAAINC8xLzIwMjUIAAAACjEyLzMxLzIwMTUJAAAAATAfTtpjwXPdCAmV2JTEc90IL0NJUS5OWVNFOklCTS5JUV9DT01NT05fUkVQLjk5Mi40LzEvMjAyNS4uLlVTRC5IAQAAAN62AQACAAAABS0zNjI4AQgAAAAFAAAAATEBAAAACjE5NDcxNzk1ODMDAAAAAzE2MAIAAAAEMjE2NAQAAAABMAcAAAAINC8xLzIwMjUIAAAACjEyLzMxLzIwMTYJAAAAATAfTtpjwXPdCHbj2JTEc90IL0NJUS5OWVNFOklCTS5JUV9DT01NT05fUkVQLjk5My40LzEvMjAyNS4uLlVTRC5IAQAAAN62AQACAAAABS00NTMzAQgAAAAFAAAAATEBAAAACjIwMTcxNjQyNDQDAAAAAzE2MAIAAAAEMjE2NAQAAAABMAcA</t>
  </si>
  <si>
    <t>AAAINC8xLzIwMjUIAAAACjEyLzMxLzIwMTcJAAAAATAfTtpjwXPdCAmV2JTEc90IMkNJUS5OWVNFOklCTS5JUV9DT01NT05fSVNTVUVELjk5Ni40LzEvMjAyNS4uLlVTRC5IAQAAAN62AQADAAAAAAAfTtpjwXPdCAmV2JTEc90IMkNJUS5OWVNFOklCTS5JUV9DT01NT05fSVNTVUVELjk5Ny40LzEvMjAyNS4uLlVTRC5IAQAAAN62AQADAAAAAAAfTtpjwXPdCAmV2JTEc90IMkNJUS5OWVNFOklCTS5JUV9DT01NT05fSVNTVUVELjk5OC40LzEvMjAyNS4uLlVTRC5IAQAAAN62AQACAAAAAzI3OQEIAAAABQAAAAExAQAAAAstMTk1ODI4MTA5NgMAAAADMTYwAgAAAAQyMTY5BAAAAAEwBwAAAAg0LzEvMjAyNQgAAAAKMTIvMzEvMjAyMgkAAAABMB9O2mPBc90ICZXYlMRz3QgyQ0lRLk5ZU0U6SUJNLklRX0NPTU1PTl9JU1NVRUQuOTk5LjQvMS8yMDI1Li4uVVNELkgBAAAA3rYBAAIAAAADNDE0AQgAAAAFAAAAATEBAAAACy0xOTU4MjgxMDk1AwAAAAMxNjACAAAABDIxNjkEAAAAATAHAAAACDQvMS8yMDI1CAAAAAoxMi8zMS8yMDIzCQAAAAEwH07aY8Fz3QiWSsKUxHPdCDNDSVEuTllTRTpJQk0uSVFfQ09NTU9OX0lTU1VFRC4xMDAwLjQvMS8yMDI1Li4uVVNELkgBAAAA3rYBAAIAAAADNzQ1AQgAAAAFAAAAATEBAAAACy0xOTU4MjgxMDk3AwAAAAMxNjACAAAABDIxNjkEAAAAATAHAAAACDQvMS8yMDI1CAAAAAox</t>
  </si>
  <si>
    <t>Mi8zMS8yMDI0CQAAAAEwH07aY8Fz3QgJldiUxHPdCDJDSVEuTllTRTpJQk0uSVFfQ09NTU9OX0lTU1VFRC45OTEuNC8xLzIwMjUuLi5VU0QuSAEAAADetgEAAgAAAAMzMjIBCAAAAAUAAAABMQEAAAAKMTg3NjQzMjg3MgMAAAADMTYwAgAAAAQyMTY5BAAAAAEwBwAAAAg0LzEvMjAyNQgAAAAKMTIvMzEvMjAxNQkAAAABMB9O2mPBc90ICZXYlMRz3QgyQ0lRLk5ZU0U6SUJNLklRX0NPTU1PTl9JU1NVRUQuOTkyLjQvMS8yMDI1Li4uVVNELkgBAAAA3rYBAAMAAAAAAB9O2mPBc90ICZXYlMRz3QgyQ0lRLk5ZU0U6SUJNLklRX0NPTU1PTl9JU1NVRUQuOTkzLjQvMS8yMDI1Li4uVVNELkgBAAAA3rYBAAMAAAAAAB9O2mPBc90ICZXYlMRz3QgyQ0lRLk5ZU0U6SUJNLklRX0NPTU1PTl9JU1NVRUQuOTk0LjQvMS8yMDI1Li4uVVNELkgBAAAA3rYBAAMAAAAAAB9O2mPBc90ICZXYlMRz3QgyQ0lRLk5ZU0U6SUJNLklRX0NPTU1PTl9JU1NVRUQuOTk1LjQvMS8yMDI1Li4uVVNELkgBAAAA3rYBAAMAAAAAAB9O2mPBc90ICZXYlMRz3Qg2Q0lRLk5ZU0U6SUJNLklRX1RPVEFMX0RFQlRfUkVQQUlELjk5OC40LzEvMjAyNS4uLlVTRC5IAQAAAN62AQACAAAABS02ODAwAQgAAAAFAAAAATEBAAAACy0xOTU4MjgxMDk2AwAAAAMxNjACAAAABDIxNjYEAAAAATAHAAAACDQvMS8yMDI1CAAAAAoxMi8zMS8yMDIyCQAAAAEwH07a</t>
  </si>
  <si>
    <t>Y8Fz3QgJldiUxHPdCDZDSVEuTllTRTpJQk0uSVFfVE9UQUxfREVCVF9SRVBBSUQuOTk5LjQvMS8yMDI1Li4uVVNELkgBAAAA3rYBAAIAAAAFLTUwODkBCAAAAAUAAAABMQEAAAALLTE5NTgyODEwOTUDAAAAAzE2MAIAAAAEMjE2NgQAAAABMAcAAAAINC8xLzIwMjUIAAAACjEyLzMxLzIwMjMJAAAAATAfTtpjwXPdCJZKwpTEc90IN0NJUS5OWVNFOklCTS5JUV9UT1RBTF9ERUJUX1JFUEFJRC4xMDAwLjQvMS8yMDI1Li4uVVNELkgBAAAA3rYBAAIAAAAFLTY2MTUBCAAAAAUAAAABMQEAAAALLTE5NTgyODEwOTcDAAAAAzE2MAIAAAAEMjE2NgQAAAABMAcAAAAINC8xLzIwMjUIAAAACjEyLzMxLzIwMjQJAAAAATAfTtpjwXPdCAmV2JTEc90IN0NJUS5OWVNFOklCTS5JUV9UT1RBTF9ERUJUX1JFUEFJRC4yMDAwLjQvMS8yMDI1Li4uVVNELkgBAAAA3rYBAAIAAAAFLTY2MTUBCAAAAAUAAAABMQEAAAALLTE5NTgyODA2MTUDAAAAAzE2MAIAAAAEMjE2NgQAAAABMAcAAAAINC8xLzIwMjUIAAAACjEyLzMxLzIwMjQJAAAAATAfTtpjwXPdCIcwwJTEc90IMkNJUS5OWVNFOklCTS5JUV9DT01NT05fSVNTVUVELjk5MC40LzEvMjAyNS4uLlVTRC5IAQAAAN62AQACAAAAAzcwOQEIAAAABQAAAAExAQAAAAoxODI5OTExOTY4AwAAAAMxNjACAAAABDIxNjkEAAAAATAHAAAACDQvMS8yMDI1CAAAAAoxMi8zMS8yMDE0CQAA</t>
  </si>
  <si>
    <t>AAEwH07aY8Fz3QgJldiUxHPdCDZDSVEuTllTRTpJQk0uSVFfVE9UQUxfREVCVF9SRVBBSUQuOTkzLjQvMS8yMDI1Li4uVVNELkgBAAAA3rYBAAIAAAAFLTY4MTYBCAAAAAUAAAABMQEAAAAKMjAxNzE2NDI0NAMAAAADMTYwAgAAAAQyMTY2BAAAAAEwBwAAAAg0LzEvMjAyNQgAAAAKMTIvMzEvMjAxNwkAAAABMB9O2mPBc90ICZXYlMRz3Qg2Q0lRLk5ZU0U6SUJNLklRX1RPVEFMX0RFQlRfUkVQQUlELjk5NC40LzEvMjAyNS4uLlVTRC5IAQAAAN62AQACAAAABS04NTMzAQgAAAAFAAAAATEBAAAACjIwODE1MDU0MDEDAAAAAzE2MAIAAAAEMjE2NgQAAAABMAcAAAAINC8xLzIwMjUIAAAACjEyLzMxLzIwMTgJAAAAATAfTtpjwXPdCAmV2JTEc90INkNJUS5OWVNFOklCTS5JUV9UT1RBTF9ERUJUX1JFUEFJRC45OTUuNC8xLzIwMjUuLi5VU0QuSAEAAADetgEAAgAAAAYtMTU1NDEBCAAAAAUAAAABMQEAAAALLTIxMTA3NjkzNTUDAAAAAzE2MAIAAAAEMjE2NgQAAAABMAcAAAAINC8xLzIwMjUIAAAACjEyLzMxLzIwMTkJAAAAATAfTtpjwXPdCAmV2JTEc90INkNJUS5OWVNFOklCTS5JUV9UT1RBTF9ERUJUX1JFUEFJRC45OTYuNC8xLzIwMjUuLi5VU0QuSAEAAADetgEAAgAAAAYtMTQyMTgBCAAAAAUAAAABMQEAAAALLTIwNTkwNzMyMDIDAAAAAzE2MAIAAAAEMjE2NgQAAAABMAcAAAAINC8xLzIwMjUIAAAACjEy</t>
  </si>
  <si>
    <t>LzMxLzIwMjAJAAAAATAfTtpjwXPdCAmV2JTEc90INkNJUS5OWVNFOklCTS5JUV9UT1RBTF9ERUJUX1JFUEFJRC45OTcuNC8xLzIwMjUuLi5VU0QuSAEAAADetgEAAgAAAAUtODYzNwEIAAAABQAAAAExAQAAAAstMjAwODY0NzE5OAMAAAADMTYwAgAAAAQyMTY2BAAAAAEwBwAAAAg0LzEvMjAyNQgAAAAKMTIvMzEvMjAyMQkAAAABMB9O2mPBc90ICZXYlMRz3Qg0Q0lRLk5ZU0U6SUJNLklRX0xUX0RFQlRfUkVQQUlELjEwMDAuNC8xLzIwMjUuLi5VU0QuSAEAAADetgEAAgAAAAUtNjYxNQEIAAAABQAAAAExAQAAAAstMTk1ODI4MTA5NwMAAAADMTYwAgAAAAQyMDM2BAAAAAEwBwAAAAg0LzEvMjAyNQgAAAAKMTIvMzEvMjAyNAkAAAABMB9O2mPBc90ICZXYlMRz3Qg0Q0lRLk5ZU0U6SUJNLklRX0xUX0RFQlRfUkVQQUlELjIwMDAuNC8xLzIwMjUuLi5VU0QuSAEAAADetgEAAgAAAAUtNjYxNQEIAAAABQAAAAExAQAAAAstMTk1ODI4MDYxNQMAAAADMTYwAgAAAAQyMDM2BAAAAAEwBwAAAAg0LzEvMjAyNQgAAAAKMTIvMzEvMjAyNAkAAAABMB9O2mPBc90IhzDAlMRz3Qg2Q0lRLk5ZU0U6SUJNLklRX1RPVEFMX0RFQlRfUkVQQUlELjk5MC40LzEvMjAyNS4uLlVTRC5IAQAAAN62AQACAAAABS02Mzk3AQgAAAAFAAAAATEBAAAACjE4Mjk5MTE5NjgDAAAAAzE2MAIAAAAEMjE2NgQAAAABMAcAAAAINC8xLzIwMjUI</t>
  </si>
  <si>
    <t>AAAACjEyLzMxLzIwMTQJAAAAATAfTtpjwXPdCAmV2JTEc90INkNJUS5OWVNFOklCTS5JUV9UT1RBTF9ERUJUX1JFUEFJRC45OTEuNC8xLzIwMjUuLi5VU0QuSAEAAADetgEAAgAAAAUtNTYyMgEIAAAABQAAAAExAQAAAAoxODc2NDMyODcyAwAAAAMxNjACAAAABDIxNjYEAAAAATAHAAAACDQvMS8yMDI1CAAAAAoxMi8zMS8yMDE1CQAAAAEwH07aY8Fz3QgJldiUxHPdCDZDSVEuTllTRTpJQk0uSVFfVE9UQUxfREVCVF9SRVBBSUQuOTkyLjQvMS8yMDI1Li4uVVNELkgBAAAA3rYBAAIAAAAFLTYzOTUBCAAAAAUAAAABMQEAAAAKMTk0NzE3OTU4MwMAAAADMTYwAgAAAAQyMTY2BAAAAAEwBwAAAAg0LzEvMjAyNQgAAAAKMTIvMzEvMjAxNgkAAAABMB9O2mPBc90ICZXYlMRz3QgzQ0lRLk5ZU0U6SUJNLklRX0xUX0RFQlRfUkVQQUlELjk5NS40LzEvMjAyNS4uLlVTRC5IAQAAAN62AQACAAAABi0xMjk0NAEIAAAABQAAAAExAQAAAAstMjExMDc2OTM1NQMAAAADMTYwAgAAAAQyMDM2BAAAAAEwBwAAAAg0LzEvMjAyNQgAAAAKMTIvMzEvMjAxOQkAAAABMB9O2mPBc90ICZXYlMRz3QgzQ0lRLk5ZU0U6SUJNLklRX0xUX0RFQlRfUkVQQUlELjk5Ni40LzEvMjAyNS4uLlVTRC5IAQAAAN62AQACAAAABi0xMzM2NQEIAAAABQAAAAExAQAAAAstMjA1OTA3MzIwMgMAAAADMTYwAgAAAAQyMDM2BAAAAAEwBwAAAAg0LzEv</t>
  </si>
  <si>
    <t>MjAyNQgAAAAKMTIvMzEvMjAyMAkAAAABMB9O2mPBc90ICZXYlMRz3QgzQ0lRLk5ZU0U6SUJNLklRX0xUX0RFQlRfUkVQQUlELjk5Ny40LzEvMjAyNS4uLlVTRC5IAQAAAN62AQACAAAABS04NTk3AQgAAAAFAAAAATEBAAAACy0yMDA4NjQ3MTk4AwAAAAMxNjACAAAABDIwMzYEAAAAATAHAAAACDQvMS8yMDI1CAAAAAoxMi8zMS8yMDIxCQAAAAEwH07aY8Fz3QgJldiUxHPdCDNDSVEuTllTRTpJQk0uSVFfTFRfREVCVF9SRVBBSUQuOTk4LjQvMS8yMDI1Li4uVVNELkgBAAAA3rYBAAIAAAAFLTY4MDABCAAAAAUAAAABMQEAAAALLTE5NTgyODEwOTYDAAAAAzE2MAIAAAAEMjAzNgQAAAABMAcAAAAINC8xLzIwMjUIAAAACjEyLzMxLzIwMjIJAAAAATAfTtpjwXPdCAmV2JTEc90IM0NJUS5OWVNFOklCTS5JUV9MVF9ERUJUX1JFUEFJRC45OTkuNC8xLzIwMjUuLi5VU0QuSAEAAADetgEAAgAAAAUtNTA4MgEIAAAABQAAAAExAQAAAAstMTk1ODI4MTA5NQMAAAADMTYwAgAAAAQyMDM2BAAAAAEwBwAAAAg0LzEvMjAyNQgAAAAKMTIvMzEvMjAyMwkAAAABMB9O2mPBc90IlkrClMRz3QgzQ0lRLk5ZU0U6SUJNLklRX0xUX0RFQlRfUkVQQUlELjk5MC40LzEvMjAyNS4uLlVTRC5IAQAAAN62AQACAAAABS00NjQ0AQgAAAAFAAAAATEBAAAACjE4Mjk5MTE5NjgDAAAAAzE2MAIAAAAEMjAzNgQAAAABMAcAAAAINC8xLzIw</t>
  </si>
  <si>
    <t>MjUIAAAACjEyLzMxLzIwMTQJAAAAATAfTtpjwXPdCAmV2JTEc90IM0NJUS5OWVNFOklCTS5JUV9MVF9ERUJUX1JFUEFJRC45OTEuNC8xLzIwMjUuLi5VU0QuSAEAAADetgEAAgAAAAUtNTYyMgEIAAAABQAAAAExAQAAAAoxODc2NDMyODcyAwAAAAMxNjACAAAABDIwMzYEAAAAATAHAAAACDQvMS8yMDI1CAAAAAoxMi8zMS8yMDE1CQAAAAEwH07aY8Fz3QgJldiUxHPdCDNDSVEuTllTRTpJQk0uSVFfTFRfREVCVF9SRVBBSUQuOTkyLjQvMS8yMDI1Li4uVVNELkgBAAAA3rYBAAIAAAAFLTYzOTUBCAAAAAUAAAABMQEAAAAKMTk0NzE3OTU4MwMAAAADMTYwAgAAAAQyMDM2BAAAAAEwBwAAAAg0LzEvMjAyNQgAAAAKMTIvMzEvMjAxNgkAAAABMB9O2mPBc90ICZXYlMRz3QgzQ0lRLk5ZU0U6SUJNLklRX0xUX0RFQlRfUkVQQUlELjk5My40LzEvMjAyNS4uLlVTRC5IAQAAAN62AQACAAAABS02ODE2AQgAAAAFAAAAATEBAAAACjIwMTcxNjQyNDQDAAAAAzE2MAIAAAAEMjAzNgQAAAABMAcAAAAINC8xLzIwMjUIAAAACjEyLzMxLzIwMTcJAAAAATAfTtpjwXPdCAmV2JTEc90IM0NJUS5OWVNFOklCTS5JUV9MVF9ERUJUX1JFUEFJRC45OTQuNC8xLzIwMjUuLi5VU0QuSAEAAADetgEAAgAAAAUtODUzMwEIAAAABQAAAAExAQAAAAoyMDgxNTA1NDAxAwAAAAMxNjACAAAABDIwMzYEAAAAATAHAAAACDQvMS8yMDI1CAAA</t>
  </si>
  <si>
    <t>AAoxMi8zMS8yMDE4CQAAAAEwH07aY8Fz3QgJldiUxHPdCDNDSVEuTllTRTpJQk0uSVFfU1RfREVCVF9SRVBBSUQuOTk3LjQvMS8yMDI1Li4uVVNELkgBAAAA3rYBAAIAAAADLTQwAQgAAAAFAAAAATEBAAAACy0yMDA4NjQ3MTk4AwAAAAMxNjACAAAABDIwNDQEAAAAATAHAAAACDQvMS8yMDI1CAAAAAoxMi8zMS8yMDIxCQAAAAEwH07aY8Fz3QjcTNiUxHPdCDNDSVEuTllTRTpJQk0uSVFfU1RfREVCVF9SRVBBSUQuOTk4LjQvMS8yMDI1Li4uVVNELkgBAAAA3rYBAAMAAAAAAB9O2mPBc90I3EzYlMRz3QgzQ0lRLk5ZU0U6SUJNLklRX1NUX0RFQlRfUkVQQUlELjk5OS40LzEvMjAyNS4uLlVTRC5IAQAAAN62AQACAAAAAi03AQgAAAAFAAAAATEBAAAACy0xOTU4MjgxMDk1AwAAAAMxNjACAAAABDIwNDQEAAAAATAHAAAACDQvMS8yMDI1CAAAAAoxMi8zMS8yMDIzCQAAAAEwH07aY8Fz3QiWSsKUxHPdCDRDSVEuTllTRTpJQk0uSVFfU1RfREVCVF9SRVBBSUQuMTAwMC40LzEvMjAyNS4uLlVTRC5IAQAAAN62AQADAAAAAAAfTtpjwXPdCAmV2JTEc90INENJUS5OWVNFOklCTS5JUV9TVF9ERUJUX1JFUEFJRC4yMDAwLjQvMS8yMDI1Li4uVVNELkgBAAAA3rYBAAMAAAAAAB9O2mPBc90IhzDAlMRz3QgzQ0lRLk5ZU0U6SUJNLklRX1NUX0RFQlRfUkVQQUlELjk5Mi40LzEvMjAyNS4uLlVTRC5IAQAAAN62AQADAAAA</t>
  </si>
  <si>
    <t>AAAfTtpjwXPdCAmV2JTEc90IM0NJUS5OWVNFOklCTS5JUV9TVF9ERUJUX1JFUEFJRC45OTMuNC8xLzIwMjUuLi5VU0QuSAEAAADetgEAAwAAAAAAH07aY8Fz3QjcTNiUxHPdCDNDSVEuTllTRTpJQk0uSVFfU1RfREVCVF9SRVBBSUQuOTk0LjQvMS8yMDI1Li4uVVNELkgBAAAA3rYBAAMAAAAAAB9O2mPBc90I3EzYlMRz3QgzQ0lRLk5ZU0U6SUJNLklRX1NUX0RFQlRfUkVQQUlELjk5NS40LzEvMjAyNS4uLlVTRC5IAQAAAN62AQACAAAABS0yNTk3AQgAAAAFAAAAATEBAAAACy0yMTEwNzY5MzU1AwAAAAMxNjACAAAABDIwNDQEAAAAATAHAAAACDQvMS8yMDI1CAAAAAoxMi8zMS8yMDE5CQAAAAEwH07aY8Fz3QjcTNiUxHPdCDNDSVEuTllTRTpJQk0uSVFfU1RfREVCVF9SRVBBSUQuOTk2LjQvMS8yMDI1Li4uVVNELkgBAAAA3rYBAAIAAAAELTg1MwEIAAAABQAAAAExAQAAAAstMjA1OTA3MzIwMgMAAAADMTYwAgAAAAQyMDQ0BAAAAAEwBwAAAAg0LzEvMjAyNQgAAAAKMTIvMzEvMjAyMAkAAAABMB9O2mPBc90I3EzYlMRz3Qg2Q0lRLk5ZU0U6SUJNLklRX1RPVEFMX0RFQlRfSVNTVUVELjk5OS40LzEvMjAyNS4uLlVTRC5IAQAAAN62AQACAAAABDk1ODYBCAAAAAUAAAABMQEAAAALLTE5NTgyODEwOTUDAAAAAzE2MAIAAAAEMjE2MQQAAAABMAcAAAAINC8xLzIwMjUIAAAACjEyLzMxLzIwMjMJAAAAATAfTtpj</t>
  </si>
  <si>
    <t>wXPdCJZKwpTEc90IN0NJUS5OWVNFOklCTS5JUV9UT1RBTF9ERUJUX0lTU1VFRC4xMDAwLjQvMS8yMDI1Li4uVVNELkgBAAAA3rYBAAIAAAAENTczNQEIAAAABQAAAAExAQAAAAstMTk1ODI4MTA5NwMAAAADMTYwAgAAAAQyMTYxBAAAAAEwBwAAAAg0LzEvMjAyNQgAAAAKMTIvMzEvMjAyNAkAAAABMB9O2mPBc90I3EzYlMRz3Qg3Q0lRLk5ZU0U6SUJNLklRX1RPVEFMX0RFQlRfSVNTVUVELjIwMDAuNC8xLzIwMjUuLi5VU0QuSAEAAADetgEAAgAAAAQ1NzM1AQgAAAAFAAAAATEBAAAACy0xOTU4MjgwNjE1AwAAAAMxNjACAAAABDIxNjEEAAAAATAHAAAACDQvMS8yMDI1CAAAAAoxMi8zMS8yMDI0CQAAAAEwH07aY8Fz3QiHMMCUxHPdCDNDSVEuTllTRTpJQk0uSVFfU1RfREVCVF9SRVBBSUQuOTkwLjQvMS8yMDI1Li4uVVNELkgBAAAA3rYBAAIAAAAFLTE3NTMBCAAAAAUAAAABMQEAAAAKMTgyOTkxMTk2OAMAAAADMTYwAgAAAAQyMDQ0BAAAAAEwBwAAAAg0LzEvMjAyNQgAAAAKMTIvMzEvMjAxNAkAAAABMB9O2mPBc90I3EzYlMRz3QgzQ0lRLk5ZU0U6SUJNLklRX1NUX0RFQlRfUkVQQUlELjk5MS40LzEvMjAyNS4uLlVTRC5IAQAAAN62AQADAAAAAAAfTtpjwXPdCNxM2JTEc90INkNJUS5OWVNFOklCTS5JUV9UT1RBTF9ERUJUX0lTU1VFRC45OTQuNC8xLzIwMjUuLi5VU0QuSAEAAADetgEAAgAAAAQ4MjMy</t>
  </si>
  <si>
    <t>AQgAAAAFAAAAATEBAAAACjIwODE1MDU0MDEDAAAAAzE2MAIAAAAEMjE2MQQAAAABMAcAAAAINC8xLzIwMjUIAAAACjEyLzMxLzIwMTgJAAAAATAfTtpjwXPdCNxM2JTEc90INkNJUS5OWVNFOklCTS5JUV9UT1RBTF9ERUJUX0lTU1VFRC45OTUuNC8xLzIwMjUuLi5VU0QuSAEAAADetgEAAgAAAAUzMTgyNQEIAAAABQAAAAExAQAAAAstMjExMDc2OTM1NQMAAAADMTYwAgAAAAQyMTYxBAAAAAEwBwAAAAg0LzEvMjAyNQgAAAAKMTIvMzEvMjAxOQkAAAABMB9O2mPBc90I3EzYlMRz3Qg2Q0lRLk5ZU0U6SUJNLklRX1RPVEFMX0RFQlRfSVNTVUVELjk5Ni40LzEvMjAyNS4uLlVTRC5IAQAAAN62AQACAAAABTEwNTA0AQgAAAAFAAAAATEBAAAACy0yMDU5MDczMjAyAwAAAAMxNjACAAAABDIxNjEEAAAAATAHAAAACDQvMS8yMDI1CAAAAAoxMi8zMS8yMDIwCQAAAAEwH07aY8Fz3QjcTNiUxHPdCDZDSVEuTllTRTpJQk0uSVFfVE9UQUxfREVCVF9JU1NVRUQuOTk3LjQvMS8yMDI1Li4uVVNELkgBAAAA3rYBAAIAAAADNTIyAQgAAAAFAAAAATEBAAAACy0yMDA4NjQ3MTk4AwAAAAMxNjACAAAABDIxNjEEAAAAATAHAAAACDQvMS8yMDI1CAAAAAoxMi8zMS8yMDIxCQAAAAEwH07aY8Fz3QjcTNiUxHPdCDZDSVEuTllTRTpJQk0uSVFfVE9UQUxfREVCVF9JU1NVRUQuOTk4LjQvMS8yMDI1Li4uVVNELkgBAAAA3rYBAAIA</t>
  </si>
  <si>
    <t>AAAEODAyMQEIAAAABQAAAAExAQAAAAstMTk1ODI4MTA5NgMAAAADMTYwAgAAAAQyMTYxBAAAAAEwBwAAAAg0LzEvMjAyNQgAAAAKMTIvMzEvMjAyMgkAAAABMB9O2mPBc90I3EzYlMRz3Qg0Q0lRLk5ZU0U6SUJNLklRX0xUX0RFQlRfSVNTVUVELjIwMDAuNC8xLzIwMjUuLi5VU0QuSAEAAADetgEAAgAAAAQ1NzA1AQgAAAAFAAAAATEBAAAACy0xOTU4MjgwNjE1AwAAAAMxNjACAAAABDIwMzQEAAAAATAHAAAACDQvMS8yMDI1CAAAAAoxMi8zMS8yMDI0CQAAAAEwH07aY8Fz3QiHMMCUxHPdCDZDSVEuTllTRTpJQk0uSVFfVE9UQUxfREVCVF9JU1NVRUQuOTkwLjQvMS8yMDI1Li4uVVNELkgBAAAA3rYBAAIAAAAEODE4MAEIAAAABQAAAAExAQAAAAoxODI5OTExOTY4AwAAAAMxNjACAAAABDIxNjEEAAAAATAHAAAACDQvMS8yMDI1CAAAAAoxMi8zMS8yMDE0CQAAAAEwH07aY8Fz3QjcTNiUxHPdCDZDSVEuTllTRTpJQk0uSVFfVE9UQUxfREVCVF9JU1NVRUQuOTkxLjQvMS8yMDI1Li4uVVNELkgBAAAA3rYBAAIAAAAENTY0MQEIAAAABQAAAAExAQAAAAoxODc2NDMyODcyAwAAAAMxNjACAAAABDIxNjEEAAAAATAHAAAACDQvMS8yMDI1CAAAAAoxMi8zMS8yMDE1CQAAAAEwH07aY8Fz3QjcTNiUxHPdCDZDSVEuTllTRTpJQk0uSVFfVE9UQUxfREVCVF9JU1NVRUQuOTkyLjQvMS8yMDI1Li4uVVNELkgBAAAA3rYB</t>
  </si>
  <si>
    <t>AAIAAAAEOTE1OAEIAAAABQAAAAExAQAAAAoxOTQ3MTc5NTgzAwAAAAMxNjACAAAABDIxNjEEAAAAATAHAAAACDQvMS8yMDI1CAAAAAoxMi8zMS8yMDE2CQAAAAEwH07aY8Fz3QjcTNiUxHPdCDZDSVEuTllTRTpJQk0uSVFfVE9UQUxfREVCVF9JU1NVRUQuOTkzLjQvMS8yMDI1Li4uVVNELkgBAAAA3rYBAAIAAAAFMTAyNjMBCAAAAAUAAAABMQEAAAAKMjAxNzE2NDI0NAMAAAADMTYwAgAAAAQyMTYxBAAAAAEwBwAAAAg0LzEvMjAyNQgAAAAKMTIvMzEvMjAxNwkAAAABMB9O2mPBc90I3EzYlMRz3QgzQ0lRLk5ZU0U6SUJNLklRX0xUX0RFQlRfSVNTVUVELjk5Ni40LzEvMjAyNS4uLlVTRC5IAQAAAN62AQACAAAABTEwNTA0AQgAAAAFAAAAATEBAAAACy0yMDU5MDczMjAyAwAAAAMxNjACAAAABDIwMzQEAAAAATAHAAAACDQvMS8yMDI1CAAAAAoxMi8zMS8yMDIwCQAAAAEwH07aY8Fz3QjcTNiUxHPdCDNDSVEuTllTRTpJQk0uSVFfTFRfREVCVF9JU1NVRUQuOTk3LjQvMS8yMDI1Li4uVVNELkgBAAAA3rYBAAIAAAADNTIyAQgAAAAFAAAAATEBAAAACy0yMDA4NjQ3MTk4AwAAAAMxNjACAAAABDIwMzQEAAAAATAHAAAACDQvMS8yMDI1CAAAAAoxMi8zMS8yMDIxCQAAAAEwH07aY8Fz3QjcTNiUxHPdCDNDSVEuTllTRTpJQk0uSVFfTFRfREVCVF9JU1NVRUQuOTk4LjQvMS8yMDI1Li4uVVNELkgBAAAA3rYBAAIA</t>
  </si>
  <si>
    <t>AAAENzgwNAEIAAAABQAAAAExAQAAAAstMTk1ODI4MTA5NgMAAAADMTYwAgAAAAQyMDM0BAAAAAEwBwAAAAg0LzEvMjAyNQgAAAAKMTIvMzEvMjAyMgkAAAABMB9O2mPBc90I3EzYlMRz3QgzQ0lRLk5ZU0U6SUJNLklRX0xUX0RFQlRfSVNTVUVELjk5OS40LzEvMjAyNS4uLlVTRC5IAQAAAN62AQACAAAABDk1ODYBCAAAAAUAAAABMQEAAAALLTE5NTgyODEwOTUDAAAAAzE2MAIAAAAEMjAzNAQAAAABMAcAAAAINC8xLzIwMjUIAAAACjEyLzMxLzIwMjMJAAAAATAfTtpjwXPdCJZKwpTEc90INENJUS5OWVNFOklCTS5JUV9MVF9ERUJUX0lTU1VFRC4xMDAwLjQvMS8yMDI1Li4uVVNELkgBAAAA3rYBAAIAAAAENTcwNQEIAAAABQAAAAExAQAAAAstMTk1ODI4MTA5NwMAAAADMTYwAgAAAAQyMDM0BAAAAAEwBwAAAAg0LzEvMjAyNQgAAAAKMTIvMzEvMjAyNAkAAAABMB9O2mPBc90I3EzYlMRz3QgzQ0lRLk5ZU0U6SUJNLklRX0xUX0RFQlRfSVNTVUVELjk5MS40LzEvMjAyNS4uLlVTRC5IAQAAAN62AQACAAAABDU1NDABCAAAAAUAAAABMQEAAAAKMTg3NjQzMjg3MgMAAAADMTYwAgAAAAQyMDM0BAAAAAEwBwAAAAg0LzEvMjAyNQgAAAAKMTIvMzEvMjAxNQkAAAABMB9O2mPBc90I3EzYlMRz3QgzQ0lRLk5ZU0U6SUJNLklRX0xUX0RFQlRfSVNTVUVELjk5Mi40LzEvMjAyNS4uLlVTRC5IAQAAAN62AQACAAAABDkx</t>
  </si>
  <si>
    <t>MzIBCAAAAAUAAAABMQEAAAAKMTk0NzE3OTU4MwMAAAADMTYwAgAAAAQyMDM0BAAAAAEwBwAAAAg0LzEvMjAyNQgAAAAKMTIvMzEvMjAxNgkAAAABMB9O2mPBc90I3EzYlMRz3QgzQ0lRLk5ZU0U6SUJNLklRX0xUX0RFQlRfSVNTVUVELjk5My40LzEvMjAyNS4uLlVTRC5IAQAAAN62AQACAAAABDk2NDMBCAAAAAUAAAABMQEAAAAKMjAxNzE2NDI0NAMAAAADMTYwAgAAAAQyMDM0BAAAAAEwBwAAAAg0LzEvMjAyNQgAAAAKMTIvMzEvMjAxNwkAAAABMB9O2mPBc90I3EzYlMRz3QgzQ0lRLk5ZU0U6SUJNLklRX0xUX0RFQlRfSVNTVUVELjk5NC40LzEvMjAyNS4uLlVTRC5IAQAAAN62AQACAAAABDY4OTEBCAAAAAUAAAABMQEAAAAKMjA4MTUwNTQwMQMAAAADMTYwAgAAAAQyMDM0BAAAAAEwBwAAAAg0LzEvMjAyNQgAAAAKMTIvMzEvMjAxOAkAAAABMB9O2mPBc90I3EzYlMRz3QgzQ0lRLk5ZU0U6SUJNLklRX0xUX0RFQlRfSVNTVUVELjk5NS40LzEvMjAyNS4uLlVTRC5IAQAAAN62AQACAAAABTMxODI1AQgAAAAFAAAAATEBAAAACy0yMTEwNzY5MzU1AwAAAAMxNjACAAAABDIwMzQEAAAAATAHAAAACDQvMS8yMDI1CAAAAAoxMi8zMS8yMDE5CQAAAAEwH07aY8Fz3QjcTNiUxHPdCDNDSVEuTllTRTpJQk0uSVFfU1RfREVCVF9JU1NVRUQuOTk4LjQvMS8yMDI1Li4uVVNELkgBAAAA3rYBAAIAAAADMjE3AQgAAAAF</t>
  </si>
  <si>
    <t>AAAAATEBAAAACy0xOTU4MjgxMDk2AwAAAAMxNjACAAAABDIwNDMEAAAAATAHAAAACDQvMS8yMDI1CAAAAAoxMi8zMS8yMDIyCQAAAAEwH07aY8Fz3QjcTNiUxHPdCDNDSVEuTllTRTpJQk0uSVFfU1RfREVCVF9JU1NVRUQuOTk5LjQvMS8yMDI1Li4uVVNELkgBAAAA3rYBAAMAAAAAAB9O2mPBc90IlkrClMRz3Qg0Q0lRLk5ZU0U6SUJNLklRX1NUX0RFQlRfSVNTVUVELjEwMDAuNC8xLzIwMjUuLi5VU0QuSAEAAADetgEAAgAAAAIzMAEIAAAABQAAAAExAQAAAAstMTk1ODI4MTA5NwMAAAADMTYwAgAAAAQyMDQzBAAAAAEwBwAAAAg0LzEvMjAyNQgAAAAKMTIvMzEvMjAyNAkAAAABMB9O2mPBc90I3EzYlMRz3Qg0Q0lRLk5ZU0U6SUJNLklRX1NUX0RFQlRfSVNTVUVELjIwMDAuNC8xLzIwMjUuLi5VU0QuSAEAAADetgEAAgAAAAIzMAEIAAAABQAAAAExAQAAAAstMTk1ODI4MDYxNQMAAAADMTYwAgAAAAQyMDQzBAAAAAEwBwAAAAg0LzEvMjAyNQgAAAAKMTIvMzEvMjAyNAkAAAABMB9O2mPBc90IhzDAlMRz3QgzQ0lRLk5ZU0U6SUJNLklRX0xUX0RFQlRfSVNTVUVELjk5MC40LzEvMjAyNS4uLlVTRC5IAQAAAN62AQACAAAABDgxODABCAAAAAUAAAABMQEAAAAKMTgyOTkxMTk2OAMAAAADMTYwAgAAAAQyMDM0BAAAAAEwBwAAAAg0LzEvMjAyNQgAAAAKMTIvMzEvMjAxNAkAAAABMB9O2mPBc90I3EzYlMRz3Qgz</t>
  </si>
  <si>
    <t>Q0lRLk5ZU0U6SUJNLklRX1NUX0RFQlRfSVNTVUVELjk5My40LzEvMjAyNS4uLlVTRC5IAQAAAN62AQACAAAAAzYyMAEIAAAABQAAAAExAQAAAAoyMDE3MTY0MjQ0AwAAAAMxNjACAAAABDIwNDMEAAAAATAHAAAACDQvMS8yMDI1CAAAAAoxMi8zMS8yMDE3CQAAAAEwH07aY8Fz3QjcTNiUxHPdCDNDSVEuTllTRTpJQk0uSVFfU1RfREVCVF9JU1NVRUQuOTk0LjQvMS8yMDI1Li4uVVNELkgBAAAA3rYBAAIAAAAEMTM0MQEIAAAABQAAAAExAQAAAAoyMDgxNTA1NDAxAwAAAAMxNjACAAAABDIwNDMEAAAAATAHAAAACDQvMS8yMDI1CAAAAAoxMi8zMS8yMDE4CQAAAAEwH07aY8Fz3QjcTNiUxHPdCDNDSVEuTllTRTpJQk0uSVFfU1RfREVCVF9JU1NVRUQuOTk1LjQvMS8yMDI1Li4uVVNELkgBAAAA3rYBAAMAAAAAAB9O2mPBc90Ikv7XlMRz3QgzQ0lRLk5ZU0U6SUJNLklRX1NUX0RFQlRfSVNTVUVELjk5Ni40LzEvMjAyNS4uLlVTRC5IAQAAAN62AQADAAAAAAAfTtpjwXPdCJL+15TEc90IM0NJUS5OWVNFOklCTS5JUV9TVF9ERUJUX0lTU1VFRC45OTcuNC8xLzIwMjUuLi5VU0QuSAEAAADetgEAAwAAAAAAH07aY8Fz3QiS/teUxHPdCDFDSVEuTllTRTpJQk0uSVFfQ0FTSF9JTlZFU1QuMTAwMC40LzEvMjAyNS4uLlVTRC5IAQAAAN62AQACAAAABS00OTM3AQgAAAAFAAAAATEBAAAACy0xOTU4MjgxMDk3AwAAAAMx</t>
  </si>
  <si>
    <t>NjACAAAABDIwMDUEAAAAATAHAAAACDQvMS8yMDI1CAAAAAoxMi8zMS8yMDI0CQAAAAEwH07aY8Fz3QiS/teUxHPdCDFDSVEuTllTRTpJQk0uSVFfQ0FTSF9JTlZFU1QuMjAwMC40LzEvMjAyNS4uLlVTRC5IAQAAAN62AQACAAAABS00OTM3AQgAAAAFAAAAATEBAAAACy0xOTU4MjgwNjE1AwAAAAMxNjACAAAABDIwMDUEAAAAATAHAAAACDQvMS8yMDI1CAAAAAoxMi8zMS8yMDI0CQAAAAEwH07aY8Fz3QiHMMCUxHPdCDNDSVEuTllTRTpJQk0uSVFfU1RfREVCVF9JU1NVRUQuOTkwLjQvMS8yMDI1Li4uVVNELkgBAAAA3rYBAAMAAAAAAB9O2mPBc90Ikv7XlMRz3QgzQ0lRLk5ZU0U6SUJNLklRX1NUX0RFQlRfSVNTVUVELjk5MS40LzEvMjAyNS4uLlVTRC5IAQAAAN62AQACAAAAAzEwMQEIAAAABQAAAAExAQAAAAoxODc2NDMyODcyAwAAAAMxNjACAAAABDIwNDMEAAAAATAHAAAACDQvMS8yMDI1CAAAAAoxMi8zMS8yMDE1CQAAAAEwH07aY8Fz3QiS/teUxHPdCDNDSVEuTllTRTpJQk0uSVFfU1RfREVCVF9JU1NVRUQuOTkyLjQvMS8yMDI1Li4uVVNELkgBAAAA3rYBAAIAAAACMjYBCAAAAAUAAAABMQEAAAAKMTk0NzE3OTU4MwMAAAADMTYwAgAAAAQyMDQzBAAAAAEwBwAAAAg0LzEvMjAyNQgAAAAKMTIvMzEvMjAxNgkAAAABMB9O2mPBc90Ikv7XlMRz3QgwQ0lRLk5ZU0U6SUJNLklRX0NBU0hfSU5WRVNULjk5</t>
  </si>
  <si>
    <t>NS40LzEvMjAyNS4uLlVTRC5IAQAAAN62AQACAAAABi0yNjkzNgEIAAAABQAAAAExAQAAAAstMjExMDc2OTM1NQMAAAADMTYwAgAAAAQyMDA1BAAAAAEwBwAAAAg0LzEvMjAyNQgAAAAKMTIvMzEvMjAxOQkAAAABMB9O2mPBc90Ikv7XlMRz3QgwQ0lRLk5ZU0U6SUJNLklRX0NBU0hfSU5WRVNULjk5Ni40LzEvMjAyNS4uLlVTRC5IAQAAAN62AQACAAAABS0zMDI4AQgAAAAFAAAAATEBAAAACy0yMDU5MDczMjAyAwAAAAMxNjACAAAABDIwMDUEAAAAATAHAAAACDQvMS8yMDI1CAAAAAoxMi8zMS8yMDIwCQAAAAEwH07aY8Fz3QiS/teUxHPdCDBDSVEuTllTRTpJQk0uSVFfQ0FTSF9JTlZFU1QuOTk3LjQvMS8yMDI1Li4uVVNELkgBAAAA3rYBAAIAAAAFLTU5NzUBCAAAAAUAAAABMQEAAAALLTIwMDg2NDcxOTgDAAAAAzE2MAIAAAAEMjAwNQQAAAABMAcAAAAINC8xLzIwMjUIAAAACjEyLzMxLzIwMjEJAAAAATAfTtpjwXPdCJL+15TEc90IMENJUS5OWVNFOklCTS5JUV9DQVNIX0lOVkVTVC45OTguNC8xLzIwMjUuLi5VU0QuSAEAAADetgEAAgAAAAUtNDIwMgEIAAAABQAAAAExAQAAAAstMTk1ODI4MTA5NgMAAAADMTYwAgAAAAQyMDA1BAAAAAEwBwAAAAg0LzEvMjAyNQgAAAAKMTIvMzEvMjAyMgkAAAABMB9O2mPBc90Ikv7XlMRz3QgwQ0lRLk5ZU0U6SUJNLklRX0NBU0hfSU5WRVNULjk5OS40LzEvMjAyNS4u</t>
  </si>
  <si>
    <t>LlVTRC5IAQAAAN62AQACAAAABS03MDcwAQgAAAAFAAAAATEBAAAACy0xOTU4MjgxMDk1AwAAAAMxNjACAAAABDIwMDUEAAAAATAHAAAACDQvMS8yMDI1CAAAAAoxMi8zMS8yMDIzCQAAAAEwH07aY8Fz3QiWSsKUxHPdCDBDSVEuTllTRTpJQk0uSVFfQ0FTSF9JTlZFU1QuOTkwLjQvMS8yMDI1Li4uVVNELkgBAAAA3rYBAAIAAAAFLTMwMDEBCAAAAAUAAAABMQEAAAAKMTgyOTkxMTk2OAMAAAADMTYwAgAAAAQyMDA1BAAAAAEwBwAAAAg0LzEvMjAyNQgAAAAKMTIvMzEvMjAxNAkAAAABMB9O2mPBc90Ikv7XlMRz3QgwQ0lRLk5ZU0U6SUJNLklRX0NBU0hfSU5WRVNULjk5MS40LzEvMjAyNS4uLlVTRC5IAQAAAN62AQACAAAABS04MTU5AQgAAAAFAAAAATEBAAAACjE4NzY0MzI4NzIDAAAAAzE2MAIAAAAEMjAwNQQAAAABMAcAAAAINC8xLzIwMjUIAAAACjEyLzMxLzIwMTUJAAAAATAfTtpjwXPdCJL+15TEc90IMENJUS5OWVNFOklCTS5JUV9DQVNIX0lOVkVTVC45OTIuNC8xLzIwMjUuLi5VU0QuSAEAAADetgEAAgAAAAYtMTA5MjgBCAAAAAUAAAABMQEAAAAKMTk0NzE3OTU4MwMAAAADMTYwAgAAAAQyMDA1BAAAAAEwBwAAAAg0LzEvMjAyNQgAAAAKMTIvMzEvMjAxNgkAAAABMB9O2mPBc90Ikv7XlMRz3QgwQ0lRLk5ZU0U6SUJNLklRX0NBU0hfSU5WRVNULjk5My40LzEvMjAyNS4uLlVTRC5IAQAAAN62AQAC</t>
  </si>
  <si>
    <t>AAAABS03MDgxAQgAAAAFAAAAATEBAAAACjIwMTcxNjQyNDQDAAAAAzE2MAIAAAAEMjAwNQQAAAABMAcAAAAINC8xLzIwMjUIAAAACjEyLzMxLzIwMTcJAAAAATAfTtpjwXPdCJL+15TEc90IMENJUS5OWVNFOklCTS5JUV9DQVNIX0lOVkVTVC45OTQuNC8xLzIwMjUuLi5VU0QuSAEAAADetgEAAgAAAAUtNDkxMwEIAAAABQAAAAExAQAAAAoyMDgxNTA1NDAxAwAAAAMxNjACAAAABDIwMDUEAAAAATAHAAAACDQvMS8yMDI1CAAAAAoxMi8zMS8yMDE4CQAAAAEwH07aY8Fz3QiS/teUxHPdCDtDSVEuTllTRTpJQk0uSVFfT1RIRVJfSU5WRVNUX0FDVF9TVVBQTC45OTcuNC8xLzIwMjUuLi5VU0QuSAEAAADetgEAAgAAAAItMQEIAAAABQAAAAExAQAAAAstMjAwODY0NzE5OAMAAAADMTYwAgAAAAQyMDUxBAAAAAEwBwAAAAg0LzEvMjAyNQgAAAAKMTIvMzEvMjAyMQkAAAABMB9O2mPBc90Ikv7XlMRz3Qg7Q0lRLk5ZU0U6SUJNLklRX09USEVSX0lOVkVTVF9BQ1RfU1VQUEwuOTk4LjQvMS8yMDI1Li4uVVNELkgBAAAA3rYBAAMAAAAAAB9O2mPBc90Ikv7XlMRz3Qg7Q0lRLk5ZU0U6SUJNLklRX09USEVSX0lOVkVTVF9BQ1RfU1VQUEwuOTk5LjQvMS8yMDI1Li4uVVNELkgBAAAA3rYBAAIAAAABMQEIAAAABQAAAAExAQAAAAstMTk1ODI4MTA5NQMAAAADMTYwAgAAAAQyMDUxBAAAAAEwBwAAAAg0LzEvMjAyNQgAAAAK</t>
  </si>
  <si>
    <t>MTIvMzEvMjAyMwkAAAABMB9O2mPBc90I9JjClMRz3Qg8Q0lRLk5ZU0U6SUJNLklRX09USEVSX0lOVkVTVF9BQ1RfU1VQUEwuMTAwMC40LzEvMjAyNS4uLlVTRC5IAQAAAN62AQADAAAAAAAfTtpjwXPdCJL+15TEc90IPENJUS5OWVNFOklCTS5JUV9PVEhFUl9JTlZFU1RfQUNUX1NVUFBMLjIwMDAuNC8xLzIwMjUuLi5VU0QuSAEAAADetgEAAwAAAAAAH07aY8Fz3Qgn4r+UxHPdCDtDSVEuTllTRTpJQk0uSVFfT1RIRVJfSU5WRVNUX0FDVF9TVVBQTC45OTIuNC8xLzIwMjUuLi5VU0QuSAEAAADetgEAAwAAAAAAH07aY8Fz3QiS/teUxHPdCDtDSVEuTllTRTpJQk0uSVFfT1RIRVJfSU5WRVNUX0FDVF9TVVBQTC45OTMuNC8xLzIwMjUuLi5VU0QuSAEAAADetgEAAwAAAAAAH07aY8Fz3QiS/teUxHPdCDtDSVEuTllTRTpJQk0uSVFfT1RIRVJfSU5WRVNUX0FDVF9TVVBQTC45OTQuNC8xLzIwMjUuLi5VU0QuSAEAAADetgEAAgAAAAItMQEIAAAABQAAAAExAQAAAAoyMDgxNTA1NDAxAwAAAAMxNjACAAAABDIwNTEEAAAAATAHAAAACDQvMS8yMDI1CAAAAAoxMi8zMS8yMDE4CQAAAAEwH07aY8Fz3QiS/teUxHPdCDtDSVEuTllTRTpJQk0uSVFfT1RIRVJfSU5WRVNUX0FDVF9TVVBQTC45OTUuNC8xLzIwMjUuLi5VU0QuSAEAAADetgEAAwAAAAAAH07aY8Fz3QiS/teUxHPdCDtDSVEuTllTRTpJQk0uSVFfT1RIRVJf</t>
  </si>
  <si>
    <t>SU5WRVNUX0FDVF9TVVBQTC45OTYuNC8xLzIwMjUuLi5VU0QuSAEAAADetgEAAwAAAAAAH07aY8Fz3QiS/teUxHPdCDRDSVEuTllTRTpJQk0uSVFfSU5WRVNUX0xPQU5TX0NGLjk5OS40LzEvMjAyNS4uLlVTRC5IAQAAAN62AQADAAAAAAAfTtpjwXPdCJZKwpTEc90INUNJUS5OWVNFOklCTS5JUV9JTlZFU1RfTE9BTlNfQ0YuMTAwMC40LzEvMjAyNS4uLlVTRC5IAQAAAN62AQADAAAAAAAfTtpjwXPdCJL+15TEc90INUNJUS5OWVNFOklCTS5JUV9JTlZFU1RfTE9BTlNfQ0YuMjAwMC40LzEvMjAyNS4uLlVTRC5IAQAAAN62AQADAAAAAAAfTtpjwXPdCCfiv5TEc90IO0NJUS5OWVNFOklCTS5JUV9PVEhFUl9JTlZFU1RfQUNUX1NVUFBMLjk5MC40LzEvMjAyNS4uLlVTRC5IAQAAAN62AQADAAAAAAAfTtpjwXPdCJL+15TEc90IO0NJUS5OWVNFOklCTS5JUV9PVEhFUl9JTlZFU1RfQUNUX1NVUFBMLjk5MS40LzEvMjAyNS4uLlVTRC5IAQAAAN62AQACAAAAATEBCAAAAAUAAAABMQEAAAAKMTg3NjQzMjg3MgMAAAADMTYwAgAAAAQyMDUxBAAAAAEwBwAAAAg0LzEvMjAyNQgAAAAKMTIvMzEvMjAxNQkAAAABMB9O2mPBc90Ikv7XlMRz3Qg0Q0lRLk5ZU0U6SUJNLklRX0lOVkVTVF9MT0FOU19DRi45OTQuNC8xLzIwMjUuLi5VU0QuSAEAAADetgEAAgAAAAQtNTAzAQgAAAAFAAAAATEBAAAACjIwODE1MDU0MDEDAAAA</t>
  </si>
  <si>
    <t>AzE2MAIAAAAEMjAzMgQAAAABMAcAAAAINC8xLzIwMjUIAAAACjEyLzMxLzIwMTgJAAAAATAfTtpjwXPdCJL+15TEc90INENJUS5OWVNFOklCTS5JUV9JTlZFU1RfTE9BTlNfQ0YuOTk1LjQvMS8yMDI1Li4uVVNELkgBAAAA3rYBAAIAAAAENjcyMAEIAAAABQAAAAExAQAAAAstMjExMDc2OTM1NQMAAAADMTYwAgAAAAQyMDMyBAAAAAEwBwAAAAg0LzEvMjAyNQgAAAAKMTIvMzEvMjAxOQkAAAABMB9O2mPBc90Ikv7XlMRz3Qg0Q0lRLk5ZU0U6SUJNLklRX0lOVkVTVF9MT0FOU19DRi45OTYuNC8xLzIwMjUuLi5VU0QuSAEAAADetgEAAgAAAAM0NzUBCAAAAAUAAAABMQEAAAALLTIwNTkwNzMyMDIDAAAAAzE2MAIAAAAEMjAzMgQAAAABMAcAAAAINC8xLzIwMjUIAAAACjEyLzMxLzIwMjAJAAAAATAfTtpjwXPdCJL+15TEc90INENJUS5OWVNFOklCTS5JUV9JTlZFU1RfTE9BTlNfQ0YuOTk3LjQvMS8yMDI1Li4uVVNELkgBAAAA3rYBAAMAAAAAAB9O2mPBc90Ikv7XlMRz3Qg0Q0lRLk5ZU0U6SUJNLklRX0lOVkVTVF9MT0FOU19DRi45OTguNC8xLzIwMjUuLi5VU0QuSAEAAADetgEAAwAAAAAAH07aY8Fz3QiS/teUxHPdCDhDSVEuTllTRTpJQk0uSVFfSU5WRVNUX1NFQ1VSSVRZX0NGLjIwMDAuNC8xLzIwMjUuLi5VU0QuSAEAAADetgEAAgAAAAUtMTIxOAEIAAAABQAAAAExAQAAAAstMTk1ODI4MDYxNQMAAAAD</t>
  </si>
  <si>
    <t>MTYwAgAAAAQyMDI3BAAAAAEwBwAAAAg0LzEvMjAyNQgAAAAKMTIvMzEvMjAyNAkAAAABMB9O2mPBc90IJ+K/lMRz3Qg0Q0lRLk5ZU0U6SUJNLklRX0lOVkVTVF9MT0FOU19DRi45OTAuNC8xLzIwMjUuLi5VU0QuSAEAAADetgEAAgAAAAUtMTA3OAEIAAAABQAAAAExAQAAAAoxODI5OTExOTY4AwAAAAMxNjACAAAABDIwMzIEAAAAATAHAAAACDQvMS8yMDI1CAAAAAoxMi8zMS8yMDE0CQAAAAEwH07aY8Fz3QiS/teUxHPdCDRDSVEuTllTRTpJQk0uSVFfSU5WRVNUX0xPQU5TX0NGLjk5MS40LzEvMjAyNS4uLlVTRC5IAQAAAN62AQACAAAABC0zOTgBCAAAAAUAAAABMQEAAAAKMTg3NjQzMjg3MgMAAAADMTYwAgAAAAQyMDMyBAAAAAEwBwAAAAg0LzEvMjAyNQgAAAAKMTIvMzEvMjAxNQkAAAABMB9O2mPBc90Ikv7XlMRz3Qg0Q0lRLk5ZU0U6SUJNLklRX0lOVkVTVF9MT0FOU19DRi45OTIuNC8xLzIwMjUuLi5VU0QuSAEAAADetgEAAgAAAAQtODkxAQgAAAAFAAAAATEBAAAACjE5NDcxNzk1ODMDAAAAAzE2MAIAAAAEMjAzMgQAAAABMAcAAAAINC8xLzIwMjUIAAAACjEyLzMxLzIwMTYJAAAAATAfTtpjwXPdCJL+15TEc90INENJUS5OWVNFOklCTS5JUV9JTlZFU1RfTE9BTlNfQ0YuOTkzLjQvMS8yMDI1Li4uVVNELkgBAAAA3rYBAAIAAAAFLTIwMjgBCAAAAAUAAAABMQEAAAAKMjAxNzE2NDI0NAMAAAADMTYw</t>
  </si>
  <si>
    <t>AgAAAAQyMDMyBAAAAAEwBwAAAAg0LzEvMjAyNQgAAAAKMTIvMzEvMjAxNwkAAAABMB9O2mPBc90IO7DXlMRz3Qg3Q0lRLk5ZU0U6SUJNLklRX0lOVkVTVF9TRUNVUklUWV9DRi45OTYuNC8xLzIwMjUuLi5VU0QuSAEAAADetgEAAgAAAAQtNjI4AQgAAAAFAAAAATEBAAAACy0yMDU5MDczMjAyAwAAAAMxNjACAAAABDIwMjcEAAAAATAHAAAACDQvMS8yMDI1CAAAAAoxMi8zMS8yMDIwCQAAAAEwH07aY8Fz3Qg7sNeUxHPdCDdDSVEuTllTRTpJQk0uSVFfSU5WRVNUX1NFQ1VSSVRZX0NGLjk5Ny40LzEvMjAyNS4uLlVTRC5IAQAAAN62AQACAAAABC00MTQBCAAAAAUAAAABMQEAAAALLTIwMDg2NDcxOTgDAAAAAzE2MAIAAAAEMjAyNwQAAAABMAcAAAAINC8xLzIwMjUIAAAACjEyLzMxLzIwMjEJAAAAATAfTtpjwXPdCDuw15TEc90IN0NJUS5OWVNFOklCTS5JUV9JTlZFU1RfU0VDVVJJVFlfQ0YuOTk4LjQvMS8yMDI1Li4uVVNELkgBAAAA3rYBAAIAAAAFLTEyNjUBCAAAAAUAAAABMQEAAAALLTE5NTgyODEwOTYDAAAAAzE2MAIAAAAEMjAyNwQAAAABMAcAAAAINC8xLzIwMjUIAAAACjEyLzMxLzIwMjIJAAAAATAfTtpjwXPdCDuw15TEc90IN0NJUS5OWVNFOklCTS5JUV9JTlZFU1RfU0VDVVJJVFlfQ0YuOTk5LjQvMS8yMDI1Li4uVVNELkgBAAAA3rYBAAIAAAAELTQ5NgEIAAAABQAAAAExAQAAAAstMTk1ODI4</t>
  </si>
  <si>
    <t>MTA5NQMAAAADMTYwAgAAAAQyMDI3BAAAAAEwBwAAAAg0LzEvMjAyNQgAAAAKMTIvMzEvMjAyMwkAAAABMB9O2mPBc90IlkrClMRz3Qg4Q0lRLk5ZU0U6SUJNLklRX0lOVkVTVF9TRUNVUklUWV9DRi4xMDAwLjQvMS8yMDI1Li4uVVNELkgBAAAA3rYBAAIAAAAFLTEyMTgBCAAAAAUAAAABMQEAAAALLTE5NTgyODEwOTcDAAAAAzE2MAIAAAAEMjAyNwQAAAABMAcAAAAINC8xLzIwMjUIAAAACjEyLzMxLzIwMjQJAAAAATAfTtpjwXPdCDuw15TEc90IN0NJUS5OWVNFOklCTS5JUV9JTlZFU1RfU0VDVVJJVFlfQ0YuOTkxLjQvMS8yMDI1Li4uVVNELkgBAAAA3rYBAAIAAAAELTIzMQEIAAAABQAAAAExAQAAAAoxODc2NDMyODcyAwAAAAMxNjACAAAABDIwMjcEAAAAATAHAAAACDQvMS8yMDI1CAAAAAoxMi8zMS8yMDE1CQAAAAEwH07aY8Fz3Qg7sNeUxHPdCDdDSVEuTllTRTpJQk0uSVFfSU5WRVNUX1NFQ1VSSVRZX0NGLjk5Mi40LzEvMjAyNS4uLlVTRC5IAQAAAN62AQACAAAABC0xNjEBCAAAAAUAAAABMQEAAAAKMTk0NzE3OTU4MwMAAAADMTYwAgAAAAQyMDI3BAAAAAEwBwAAAAg0LzEvMjAyNQgAAAAKMTIvMzEvMjAxNgkAAAABMB9O2mPBc90IO7DXlMRz3Qg3Q0lRLk5ZU0U6SUJNLklRX0lOVkVTVF9TRUNVUklUWV9DRi45OTMuNC8xLzIwMjUuLi5VU0QuSAEAAADetgEAAgAAAAUtMTAzOQEIAAAABQAAAAEx</t>
  </si>
  <si>
    <t>AQAAAAoyMDE3MTY0MjQ0AwAAAAMxNjACAAAABDIwMjcEAAAAATAHAAAACDQvMS8yMDI1CAAAAAoxMi8zMS8yMDE3CQAAAAEwH07aY8Fz3Qg7sNeUxHPdCDdDSVEuTllTRTpJQk0uSVFfSU5WRVNUX1NFQ1VSSVRZX0NGLjk5NC40LzEvMjAyNS4uLlVTRC5IAQAAAN62AQACAAAABC01NTQBCAAAAAUAAAABMQEAAAAKMjA4MTUwNTQwMQMAAAADMTYwAgAAAAQyMDI3BAAAAAEwBwAAAAg0LzEvMjAyNQgAAAAKMTIvMzEvMjAxOAkAAAABMB9O2mPBc90IO7DXlMRz3Qg3Q0lRLk5ZU0U6SUJNLklRX0lOVkVTVF9TRUNVUklUWV9DRi45OTUuNC8xLzIwMjUuLi5VU0QuSAEAAADetgEAAgAAAAMyNjgBCAAAAAUAAAABMQEAAAALLTIxMTA3NjkzNTUDAAAAAzE2MAIAAAAEMjAyNwQAAAABMAcAAAAINC8xLzIwMjUIAAAACjEyLzMxLzIwMTkJAAAAATAfTtpjwXPdCDuw15TEc90IMkNJUS5OWVNFOklCTS5JUV9TQUxFX0lOVEFOX0NGLjk5OC40LzEvMjAyNS4uLlVTRC5IAQAAAN62AQACAAAABC02MjYBCAAAAAUAAAABMQEAAAALLTE5NTgyODEwOTYDAAAAAzE2MAIAAAAEMjAyOQQAAAABMAcAAAAINC8xLzIwMjUIAAAACjEyLzMxLzIwMjIJAAAAATAfTtpjwXPdCDuw15TEc90IMkNJUS5OWVNFOklCTS5JUV9TQUxFX0lOVEFOX0NGLjk5OS40LzEvMjAyNS4uLlVTRC5IAQAAAN62AQACAAAABC01NjUBCAAAAAUAAAABMQEA</t>
  </si>
  <si>
    <t>AAALLTE5NTgyODEwOTUDAAAAAzE2MAIAAAAEMjAyOQQAAAABMAcAAAAINC8xLzIwMjUIAAAACjEyLzMxLzIwMjMJAAAAATAfTtpjwXPdCJZKwpTEc90IM0NJUS5OWVNFOklCTS5JUV9TQUxFX0lOVEFOX0NGLjEwMDAuNC8xLzIwMjUuLi5VU0QuSAEAAADetgEAAgAAAAQtNjM3AQgAAAAFAAAAATEBAAAACy0xOTU4MjgxMDk3AwAAAAMxNjACAAAABDIwMjkEAAAAATAHAAAACDQvMS8yMDI1CAAAAAoxMi8zMS8yMDI0CQAAAAEwH07aY8Fz3Qg7sNeUxHPdCDNDSVEuTllTRTpJQk0uSVFfU0FMRV9JTlRBTl9DRi4yMDAwLjQvMS8yMDI1Li4uVVNELkgBAAAA3rYBAAIAAAAELTYzNwEIAAAABQAAAAExAQAAAAstMTk1ODI4MDYxNQMAAAADMTYwAgAAAAQyMDI5BAAAAAEwBwAAAAg0LzEvMjAyNQgAAAAKMTIvMzEvMjAyNAkAAAABMB9O2mPBc90IJ+K/lMRz3Qg3Q0lRLk5ZU0U6SUJNLklRX0lOVkVTVF9TRUNVUklUWV9DRi45OTAuNC8xLzIwMjUuLi5VU0QuSAEAAADetgEAAgAAAAMxNTUBCAAAAAUAAAABMQEAAAAKMTgyOTkxMTk2OAMAAAADMTYwAgAAAAQyMDI3BAAAAAEwBwAAAAg0LzEvMjAyNQgAAAAKMTIvMzEvMjAxNAkAAAABMB9O2mPBc90IO7DXlMRz3QgyQ0lRLk5ZU0U6SUJNLklRX1NBTEVfSU5UQU5fQ0YuOTkzLjQvMS8yMDI1Li4uVVNELkgBAAAA3rYBAAIAAAAELTU0NAEIAAAABQAAAAExAQAAAAoy</t>
  </si>
  <si>
    <t>MDE3MTY0MjQ0AwAAAAMxNjACAAAABDIwMjkEAAAAATAHAAAACDQvMS8yMDI1CAAAAAoxMi8zMS8yMDE3CQAAAAEwH07aY8Fz3Qg7sNeUxHPdCDJDSVEuTllTRTpJQk0uSVFfU0FMRV9JTlRBTl9DRi45OTQuNC8xLzIwMjUuLi5VU0QuSAEAAADetgEAAgAAAAQtNTY5AQgAAAAFAAAAATEBAAAACjIwODE1MDU0MDEDAAAAAzE2MAIAAAAEMjAyOQQAAAABMAcAAAAINC8xLzIwMjUIAAAACjEyLzMxLzIwMTgJAAAAATAfTtpjwXPdCDuw15TEc90IMkNJUS5OWVNFOklCTS5JUV9TQUxFX0lOVEFOX0NGLjk5NS40LzEvMjAyNS4uLlVTRC5IAQAAAN62AQACAAAABC02MjEBCAAAAAUAAAABMQEAAAALLTIxMTA3NjkzNTUDAAAAAzE2MAIAAAAEMjAyOQQAAAABMAcAAAAINC8xLzIwMjUIAAAACjEyLzMxLzIwMTkJAAAAATAfTtpjwXPdCDuw15TEc90IMkNJUS5OWVNFOklCTS5JUV9TQUxFX0lOVEFOX0NGLjk5Ni40LzEvMjAyNS4uLlVTRC5IAQAAAN62AQACAAAABC02MTIBCAAAAAUAAAABMQEAAAALLTIwNTkwNzMyMDIDAAAAAzE2MAIAAAAEMjAyOQQAAAABMAcAAAAINC8xLzIwMjUIAAAACjEyLzMxLzIwMjAJAAAAATAfTtpjwXPdCDuw15TEc90IMkNJUS5OWVNFOklCTS5JUV9TQUxFX0lOVEFOX0NGLjk5Ny40LzEvMjAyNS4uLlVTRC5IAQAAAN62AQACAAAABC03MDYBCAAAAAUAAAABMQEAAAALLTIwMDg2NDcxOTgD</t>
  </si>
  <si>
    <t>AAAAAzE2MAIAAAAEMjAyOQQAAAABMAcAAAAINC8xLzIwMjUIAAAACjEyLzMxLzIwMjEJAAAAATAfTtpjwXPdCDuw15TEc90IOUNJUS5OWVNFOklCTS5JUV9TQUxFX1JFQUxfRVNUQVRFX0NGLjEwMDAuNC8xLzIwMjUuLi5VU0QuSAEAAADetgEAAwAAAAAAH07aY8Fz3Qg7sNeUxHPdCDlDSVEuTllTRTpJQk0uSVFfU0FMRV9SRUFMX0VTVEFURV9DRi4yMDAwLjQvMS8yMDI1Li4uVVNELkgBAAAA3rYBAAMAAAAAAB9O2mPBc90IJ+K/lMRz3QgyQ0lRLk5ZU0U6SUJNLklRX1NBTEVfSU5UQU5fQ0YuOTkwLjQvMS8yMDI1Li4uVVNELkgBAAAA3rYBAAIAAAAELTQ0MwEIAAAABQAAAAExAQAAAAoxODI5OTExOTY4AwAAAAMxNjACAAAABDIwMjkEAAAAATAHAAAACDQvMS8yMDI1CAAAAAoxMi8zMS8yMDE0CQAAAAEwH07aY8Fz3Qg7sNeUxHPdCDJDSVEuTllTRTpJQk0uSVFfU0FMRV9JTlRBTl9DRi45OTEuNC8xLzIwMjUuLi5VU0QuSAEAAADetgEAAgAAAAQtNTcyAQgAAAAFAAAAATEBAAAACjE4NzY0MzI4NzIDAAAAAzE2MAIAAAAEMjAyOQQAAAABMAcAAAAINC8xLzIwMjUIAAAACjEyLzMxLzIwMTUJAAAAATAfTtpjwXPdCDuw15TEc90IMkNJUS5OWVNFOklCTS5JUV9TQUxFX0lOVEFOX0NGLjk5Mi40LzEvMjAyNS4uLlVTRC5IAQAAAN62AQACAAAABC01ODMBCAAAAAUAAAABMQEAAAAKMTk0NzE3OTU4MwMAAAAD</t>
  </si>
  <si>
    <t>MTYwAgAAAAQyMDI5BAAAAAEwBwAAAAg0LzEvMjAyNQgAAAAKMTIvMzEvMjAxNgkAAAABMB9O2mPBc90IO7DXlMRz3Qg4Q0lRLk5ZU0U6SUJNLklRX1NBTEVfUkVBTF9FU1RBVEVfQ0YuOTk1LjQvMS8yMDI1Li4uVVNELkgBAAAA3rYBAAMAAAAAAB9O2mPBc90IO7DXlMRz3Qg4Q0lRLk5ZU0U6SUJNLklRX1NBTEVfUkVBTF9FU1RBVEVfQ0YuOTk2LjQvMS8yMDI1Li4uVVNELkgBAAAA3rYBAAMAAAAAAB9O2mPBc90IO7DXlMRz3Qg4Q0lRLk5ZU0U6SUJNLklRX1NBTEVfUkVBTF9FU1RBVEVfQ0YuOTk3LjQvMS8yMDI1Li4uVVNELkgBAAAA3rYBAAMAAAAAAB9O2mPBc90IO7DXlMRz3Qg4Q0lRLk5ZU0U6SUJNLklRX1NBTEVfUkVBTF9FU1RBVEVfQ0YuOTk4LjQvMS8yMDI1Li4uVVNELkgBAAAA3rYBAAMAAAAAAB9O2mPBc90IO7DXlMRz3Qg4Q0lRLk5ZU0U6SUJNLklRX1NBTEVfUkVBTF9FU1RBVEVfQ0YuOTk5LjQvMS8yMDI1Li4uVVNELkgBAAAA3rYBAAMAAAAAAB9O2mPBc90IlkrClMRz3Qg4Q0lRLk5ZU0U6SUJNLklRX1NBTEVfUkVBTF9FU1RBVEVfQ0YuOTkwLjQvMS8yMDI1Li4uVVNELkgBAAAA3rYBAAMAAAAAAB9O2mPBc90IO7DXlMRz3Qg4Q0lRLk5ZU0U6SUJNLklRX1NBTEVfUkVBTF9FU1RBVEVfQ0YuOTkxLjQvMS8yMDI1Li4uVVNELkgBAAAA3rYBAAMAAAAAAB9O2mPBc90IO7DXlMRz3Qg4Q0lR</t>
  </si>
  <si>
    <t>Lk5ZU0U6SUJNLklRX1NBTEVfUkVBTF9FU1RBVEVfQ0YuOTkyLjQvMS8yMDI1Li4uVVNELkgBAAAA3rYBAAMAAAAAAB9O2mPBc90IO7DXlMRz3Qg4Q0lRLk5ZU0U6SUJNLklRX1NBTEVfUkVBTF9FU1RBVEVfQ0YuOTkzLjQvMS8yMDI1Li4uVVNELkgBAAAA3rYBAAMAAAAAAB9O2mPBc90IO7DXlMRz3Qg4Q0lRLk5ZU0U6SUJNLklRX1NBTEVfUkVBTF9FU1RBVEVfQ0YuOTk0LjQvMS8yMDI1Li4uVVNELkgBAAAA3rYBAAMAAAAAAB9O2mPBc90IO7DXlMRz3QguQ0lRLk5ZU0U6SUJNLklRX0RJVkVTVF9DRi45OTcuNC8xLzIwMjUuLi5VU0QuSAEAAADetgEAAgAAAAMxMTQBCAAAAAUAAAABMQEAAAALLTIwMDg2NDcxOTgDAAAAAzE2MAIAAAAEMjA3NwQAAAABMAcAAAAINC8xLzIwMjUIAAAACjEyLzMxLzIwMjEJAAAAATAfTtpjwXPdCDuw15TEc90ILkNJUS5OWVNFOklCTS5JUV9ESVZFU1RfQ0YuOTk4LjQvMS8yMDI1Li4uVVNELkgBAAAA3rYBAAIAAAAEMTI3MgEIAAAABQAAAAExAQAAAAstMTk1ODI4MTA5NgMAAAADMTYwAgAAAAQyMDc3BAAAAAEwBwAAAAg0LzEvMjAyNQgAAAAKMTIvMzEvMjAyMgkAAAABMB9O2mPBc90IO7DXlMRz3QguQ0lRLk5ZU0U6SUJNLklRX0RJVkVTVF9DRi45OTkuNC8xLzIwMjUuLi5VU0QuSAEAAADetgEAAgAAAAItNAEIAAAABQAAAAExAQAAAAstMTk1ODI4MTA5NQMAAAADMTYw</t>
  </si>
  <si>
    <t>AgAAAAQyMDc3BAAAAAEwBwAAAAg0LzEvMjAyNQgAAAAKMTIvMzEvMjAyMwkAAAABMB9O2mPBc90IlkrClMRz3QgvQ0lRLk5ZU0U6SUJNLklRX0RJVkVTVF9DRi4xMDAwLjQvMS8yMDI1Li4uVVNELkgBAAAA3rYBAAIAAAADNjk4AQgAAAAFAAAAATEBAAAACy0xOTU4MjgxMDk3AwAAAAMxNjACAAAABDIwNzcEAAAAATAHAAAACDQvMS8yMDI1CAAAAAoxMi8zMS8yMDI0CQAAAAEwH07aY8Fz3Qg7sNeUxHPdCC9DSVEuTllTRTpJQk0uSVFfRElWRVNUX0NGLjIwMDAuNC8xLzIwMjUuLi5VU0QuSAEAAADetgEAAgAAAAM2OTgBCAAAAAUAAAABMQEAAAALLTE5NTgyODA2MTUDAAAAAzE2MAIAAAAEMjA3NwQAAAABMAcAAAAINC8xLzIwMjUIAAAACjEyLzMxLzIwMjQJAAAAATAfTtpjwXPdCCfiv5TEc90ILkNJUS5OWVNFOklCTS5JUV9ESVZFU1RfQ0YuOTkyLjQvMS8yMDI1Li4uVVNELkgBAAAA3rYBAAIAAAAELTQ1NAEIAAAABQAAAAExAQAAAAoxOTQ3MTc5NTgzAwAAAAMxNjACAAAABDIwNzcEAAAAATAHAAAACDQvMS8yMDI1CAAAAAoxMi8zMS8yMDE2CQAAAAEwH07aY8Fz3Qg7sNeUxHPdCC5DSVEuTllTRTpJQk0uSVFfRElWRVNUX0NGLjk5My40LzEvMjAyNS4uLlVTRC5IAQAAAN62AQACAAAABC0yMDUBCAAAAAUAAAABMQEAAAAKMjAxNzE2NDI0NAMAAAADMTYwAgAAAAQyMDc3BAAAAAEwBwAAAAg0LzEvMjAy</t>
  </si>
  <si>
    <t>NQgAAAAKMTIvMzEvMjAxNwkAAAABMB9O2mPBc90IO7DXlMRz3QguQ0lRLk5ZU0U6SUJNLklRX0RJVkVTVF9DRi45OTQuNC8xLzIwMjUuLi5VU0QuSAEAAADetgEAAwAAAAAAH07aY8Fz3Qg7sNeUxHPdCC5DSVEuTllTRTpJQk0uSVFfRElWRVNUX0NGLjk5NS40LzEvMjAyNS4uLlVTRC5IAQAAAN62AQACAAAABDEwNzYBCAAAAAUAAAABMQEAAAALLTIxMTA3NjkzNTUDAAAAAzE2MAIAAAAEMjA3NwQAAAABMAcAAAAINC8xLzIwMjUIAAAACjEyLzMxLzIwMTkJAAAAATAfTtpjwXPdCDuw15TEc90ILkNJUS5OWVNFOklCTS5JUV9ESVZFU1RfQ0YuOTk2LjQvMS8yMDI1Li4uVVNELkgBAAAA3rYBAAIAAAADNTAzAQgAAAAFAAAAATEBAAAACy0yMDU5MDczMjAyAwAAAAMxNjACAAAABDIwNzcEAAAAATAHAAAACDQvMS8yMDI1CAAAAAoxMi8zMS8yMDIwCQAAAAEwH07aY8Fz3Qg7sNeUxHPdCDRDSVEuTllTRTpJQk0uSVFfQ0FTSF9BQ1FVSVJFX0NGLjk5OS40LzEvMjAyNS4uLlVTRC5IAQAAAN62AQACAAAABS01MDgyAQgAAAAFAAAAATEBAAAACy0xOTU4MjgxMDk1AwAAAAMxNjACAAAABDIwNTcEAAAAATAHAAAACDQvMS8yMDI1CAAAAAoxMi8zMS8yMDIzCQAAAAEwH07aY8Fz3Qj0mMKUxHPdCDVDSVEuTllTRTpJQk0uSVFfQ0FTSF9BQ1FVSVJFX0NGLjEwMDAuNC8xLzIwMjUuLi5VU0QuSAEAAADetgEAAgAAAAUt</t>
  </si>
  <si>
    <t>MzI4OQEIAAAABQAAAAExAQAAAAstMTk1ODI4MTA5NwMAAAADMTYwAgAAAAQyMDU3BAAAAAEwBwAAAAg0LzEvMjAyNQgAAAAKMTIvMzEvMjAyNAkAAAABMB9O2mPBc90IO7DXlMRz3Qg1Q0lRLk5ZU0U6SUJNLklRX0NBU0hfQUNRVUlSRV9DRi4yMDAwLjQvMS8yMDI1Li4uVVNELkgBAAAA3rYBAAIAAAAFLTMyODkBCAAAAAUAAAABMQEAAAALLTE5NTgyODA2MTUDAAAAAzE2MAIAAAAEMjA1NwQAAAABMAcAAAAINC8xLzIwMjUIAAAACjEyLzMxLzIwMjQJAAAAATAfTtpjwXPdCCfiv5TEc90ILkNJUS5OWVNFOklCTS5JUV9ESVZFU1RfQ0YuOTkwLjQvMS8yMDI1Li4uVVNELkgBAAAA3rYBAAIAAAAEMjM1NwEIAAAABQAAAAExAQAAAAoxODI5OTExOTY4AwAAAAMxNjACAAAABDIwNzcEAAAAATAHAAAACDQvMS8yMDI1CAAAAAoxMi8zMS8yMDE0CQAAAAEwH07aY8Fz3QjwYdeUxHPdCC5DSVEuTllTRTpJQk0uSVFfRElWRVNUX0NGLjk5MS40LzEvMjAyNS4uLlVTRC5IAQAAAN62AQACAAAABC00MDEBCAAAAAUAAAABMQEAAAAKMTg3NjQzMjg3MgMAAAADMTYwAgAAAAQyMDc3BAAAAAEwBwAAAAg0LzEvMjAyNQgAAAAKMTIvMzEvMjAxNQkAAAABMB9O2mPBc90I8GHXlMRz3Qg0Q0lRLk5ZU0U6SUJNLklRX0NBU0hfQUNRVUlSRV9DRi45OTQuNC8xLzIwMjUuLi5VU0QuSAEAAADetgEAAgAAAAQtMTM5AQgAAAAFAAAA</t>
  </si>
  <si>
    <t>ATEBAAAACjIwODE1MDU0MDEDAAAAAzE2MAIAAAAEMjA1NwQAAAABMAcAAAAINC8xLzIwMjUIAAAACjEyLzMxLzIwMTgJAAAAATAfTtpjwXPdCPBh15TEc90INENJUS5OWVNFOklCTS5JUV9DQVNIX0FDUVVJUkVfQ0YuOTk1LjQvMS8yMDI1Li4uVVNELkgBAAAA3rYBAAIAAAAGLTMyNjMwAQgAAAAFAAAAATEBAAAACy0yMTEwNzY5MzU1AwAAAAMxNjACAAAABDIwNTcEAAAAATAHAAAACDQvMS8yMDI1CAAAAAoxMi8zMS8yMDE5CQAAAAEwH07aY8Fz3QjwYdeUxHPdCDRDSVEuTllTRTpJQk0uSVFfQ0FTSF9BQ1FVSVJFX0NGLjk5Ni40LzEvMjAyNS4uLlVTRC5IAQAAAN62AQACAAAABC0zMzYBCAAAAAUAAAABMQEAAAALLTIwNTkwNzMyMDIDAAAAAzE2MAIAAAAEMjA1NwQAAAABMAcAAAAINC8xLzIwMjUIAAAACjEyLzMxLzIwMjAJAAAAATAfTtpjwXPdCPBh15TEc90INENJUS5OWVNFOklCTS5JUV9DQVNIX0FDUVVJUkVfQ0YuOTk3LjQvMS8yMDI1Li4uVVNELkgBAAAA3rYBAAIAAAAFLTMyOTMBCAAAAAUAAAABMQEAAAALLTIwMDg2NDcxOTgDAAAAAzE2MAIAAAAEMjA1NwQAAAABMAcAAAAINC8xLzIwMjUIAAAACjEyLzMxLzIwMjEJAAAAATAfTtpjwXPdCPBh15TEc90INENJUS5OWVNFOklCTS5JUV9DQVNIX0FDUVVJUkVfQ0YuOTk4LjQvMS8yMDI1Li4uVVNELkgBAAAA3rYBAAIAAAAFLTIzNDgBCAAAAAUA</t>
  </si>
  <si>
    <t>AAABMQEAAAALLTE5NTgyODEwOTYDAAAAAzE2MAIAAAAEMjA1NwQAAAABMAcAAAAINC8xLzIwMjUIAAAACjEyLzMxLzIwMjIJAAAAATAfTtpjwXPdCPBh15TEc90IMUNJUS5OWVNFOklCTS5JUV9TQUxFX1BQRV9DRi4yMDAwLjQvMS8yMDI1Li4uVVNELkgBAAAA3rYBAAIAAAADNTU3AQgAAAAFAAAAATEBAAAACy0xOTU4MjgwNjE1AwAAAAMxNjACAAAABDIwNDIEAAAAATAHAAAACDQvMS8yMDI1CAAAAAoxMi8zMS8yMDI0CQAAAAEwH07aY8Fz3Qgn4r+UxHPdCDRDSVEuTllTRTpJQk0uSVFfQ0FTSF9BQ1FVSVJFX0NGLjk5MC40LzEvMjAyNS4uLlVTRC5IAQAAAN62AQACAAAABC02NTYBCAAAAAUAAAABMQEAAAAKMTgyOTkxMTk2OAMAAAADMTYwAgAAAAQyMDU3BAAAAAEwBwAAAAg0LzEvMjAyNQgAAAAKMTIvMzEvMjAxNAkAAAABMB9O2mPBc90I8GHXlMRz3Qg0Q0lRLk5ZU0U6SUJNLklRX0NBU0hfQUNRVUlSRV9DRi45OTEuNC8xLzIwMjUuLi5VU0QuSAEAAADetgEAAgAAAAUtMzM0OQEIAAAABQAAAAExAQAAAAoxODc2NDMyODcyAwAAAAMxNjACAAAABDIwNTcEAAAAATAHAAAACDQvMS8yMDI1CAAAAAoxMi8zMS8yMDE1CQAAAAEwH07aY8Fz3QjwYdeUxHPdCDRDSVEuTllTRTpJQk0uSVFfQ0FTSF9BQ1FVSVJFX0NGLjk5Mi40LzEvMjAyNS4uLlVTRC5IAQAAAN62AQACAAAABS01Njk2AQgAAAAFAAAAATEB</t>
  </si>
  <si>
    <t>AAAACjE5NDcxNzk1ODMDAAAAAzE2MAIAAAAEMjA1NwQAAAABMAcAAAAINC8xLzIwMjUIAAAACjEyLzMxLzIwMTYJAAAAATAfTtpjwXPdCPBh15TEc90INENJUS5OWVNFOklCTS5JUV9DQVNIX0FDUVVJUkVfQ0YuOTkzLjQvMS8yMDI1Li4uVVNELkgBAAAA3rYBAAIAAAAELTQ5NgEIAAAABQAAAAExAQAAAAoyMDE3MTY0MjQ0AwAAAAMxNjACAAAABDIwNTcEAAAAATAHAAAACDQvMS8yMDI1CAAAAAoxMi8zMS8yMDE3CQAAAAEwH07aY8Fz3QjwYdeUxHPdCDBDSVEuTllTRTpJQk0uSVFfU0FMRV9QUEVfQ0YuOTk2LjQvMS8yMDI1Li4uVVNELkgBAAAA3rYBAAIAAAADMTg4AQgAAAAFAAAAATEBAAAACy0yMDU5MDczMjAyAwAAAAMxNjACAAAABDIwNDIEAAAAATAHAAAACDQvMS8yMDI1CAAAAAoxMi8zMS8yMDIwCQAAAAEwH07aY8Fz3QjwYdeUxHPdCDBDSVEuTllTRTpJQk0uSVFfU0FMRV9QUEVfQ0YuOTk3LjQvMS8yMDI1Li4uVVNELkgBAAAA3rYBAAIAAAADMzg3AQgAAAAFAAAAATEBAAAACy0yMDA4NjQ3MTk4AwAAAAMxNjACAAAABDIwNDIEAAAAATAHAAAACDQvMS8yMDI1CAAAAAoxMi8zMS8yMDIxCQAAAAEwH07aY8Fz3QjwYdeUxHPdCDBDSVEuTllTRTpJQk0uSVFfU0FMRV9QUEVfQ0YuOTk4LjQvMS8yMDI1Li4uVVNELkgBAAAA3rYBAAIAAAADMTExAQgAAAAFAAAAATEBAAAACy0xOTU4MjgxMDk2AwAA</t>
  </si>
  <si>
    <t>AAMxNjACAAAABDIwNDIEAAAAATAHAAAACDQvMS8yMDI1CAAAAAoxMi8zMS8yMDIyCQAAAAEwH07aY8Fz3QjwYdeUxHPdCDBDSVEuTllTRTpJQk0uSVFfU0FMRV9QUEVfQ0YuOTk5LjQvMS8yMDI1Li4uVVNELkgBAAAA3rYBAAIAAAADMzIxAQgAAAAFAAAAATEBAAAACy0xOTU4MjgxMDk1AwAAAAMxNjACAAAABDIwNDIEAAAAATAHAAAACDQvMS8yMDI1CAAAAAoxMi8zMS8yMDIzCQAAAAEwH07aY8Fz3Qj0mMKUxHPdCDFDSVEuTllTRTpJQk0uSVFfU0FMRV9QUEVfQ0YuMTAwMC40LzEvMjAyNS4uLlVTRC5IAQAAAN62AQACAAAAAzU1NwEIAAAABQAAAAExAQAAAAstMTk1ODI4MTA5NwMAAAADMTYwAgAAAAQyMDQyBAAAAAEwBwAAAAg0LzEvMjAyNQgAAAAKMTIvMzEvMjAyNAkAAAABMB9O2mPBc90I8GHXlMRz3QgwQ0lRLk5ZU0U6SUJNLklRX1NBTEVfUFBFX0NGLjk5MS40LzEvMjAyNS4uLlVTRC5IAQAAAN62AQACAAAAAzM3MAEIAAAABQAAAAExAQAAAAoxODc2NDMyODcyAwAAAAMxNjACAAAABDIwNDIEAAAAATAHAAAACDQvMS8yMDI1CAAAAAoxMi8zMS8yMDE1CQAAAAEwH07aY8Fz3QjwYdeUxHPdCDBDSVEuTllTRTpJQk0uSVFfU0FMRV9QUEVfQ0YuOTkyLjQvMS8yMDI1Li4uVVNELkgBAAAA3rYBAAIAAAADNDI0AQgAAAAFAAAAATEBAAAACjE5NDcxNzk1ODMDAAAAAzE2MAIAAAAEMjA0MgQAAAABMAcA</t>
  </si>
  <si>
    <t>AAAINC8xLzIwMjUIAAAACjEyLzMxLzIwMTYJAAAAATAfTtpjwXPdCPBh15TEc90IMENJUS5OWVNFOklCTS5JUV9TQUxFX1BQRV9DRi45OTMuNC8xLzIwMjUuLi5VU0QuSAEAAADetgEAAgAAAAM0NjABCAAAAAUAAAABMQEAAAAKMjAxNzE2NDI0NAMAAAADMTYwAgAAAAQyMDQyBAAAAAEwBwAAAAg0LzEvMjAyNQgAAAAKMTIvMzEvMjAxNwkAAAABMB9O2mPBc90I8GHXlMRz3QgwQ0lRLk5ZU0U6SUJNLklRX1NBTEVfUFBFX0NGLjk5NC40LzEvMjAyNS4uLlVTRC5IAQAAAN62AQACAAAAAzI0OAEIAAAABQAAAAExAQAAAAoyMDgxNTA1NDAxAwAAAAMxNjACAAAABDIwNDIEAAAAATAHAAAACDQvMS8yMDI1CAAAAAoxMi8zMS8yMDE4CQAAAAEwH07aY8Fz3QjwYdeUxHPdCDBDSVEuTllTRTpJQk0uSVFfU0FMRV9QUEVfQ0YuOTk1LjQvMS8yMDI1Li4uVVNELkgBAAAA3rYBAAIAAAADNTM3AQgAAAAFAAAAATEBAAAACy0yMTEwNzY5MzU1AwAAAAMxNjACAAAABDIwNDIEAAAAATAHAAAACDQvMS8yMDI1CAAAAAoxMi8zMS8yMDE5CQAAAAEwH07aY8Fz3QjwYdeUxHPdCCpDSVEuTllTRTpJQk0uSVFfQ0FQRVguOTk4LjQvMS8yMDI1Li4uVVNELkgBAAAA3rYBAAIAAAAFLTEzNDYBCAAAAAUAAAABMQEAAAALLTE5NTgyODEwOTYDAAAAAzE2MAIAAAAEMjAyMQQAAAABMAcAAAAINC8xLzIwMjUIAAAACjEyLzMxLzIwMjIJ</t>
  </si>
  <si>
    <t>AAAAATAfTtpjwXPdCPBh15TEc90IKkNJUS5OWVNFOklCTS5JUV9DQVBFWC45OTkuNC8xLzIwMjUuLi5VU0QuSAEAAADetgEAAgAAAAUtMTI0NQEIAAAABQAAAAExAQAAAAstMTk1ODI4MTA5NQMAAAADMTYwAgAAAAQyMDIxBAAAAAEwBwAAAAg0LzEvMjAyNQgAAAAKMTIvMzEvMjAyMwkAAAABMB9O2mPBc90I9JjClMRz3QgrQ0lRLk5ZU0U6SUJNLklRX0NBUEVYLjEwMDAuNC8xLzIwMjUuLi5VU0QuSAEAAADetgEAAgAAAAUtMTA0OAEIAAAABQAAAAExAQAAAAstMTk1ODI4MTA5NwMAAAADMTYwAgAAAAQyMDIxBAAAAAEwBwAAAAg0LzEvMjAyNQgAAAAKMTIvMzEvMjAyNAkAAAABMB9O2mPBc90I8GHXlMRz3QgrQ0lRLk5ZU0U6SUJNLklRX0NBUEVYLjIwMDAuNC8xLzIwMjUuLi5VU0QuSAEAAADetgEAAgAAAAUtMTA0OAEIAAAABQAAAAExAQAAAAstMTk1ODI4MDYxNQMAAAADMTYwAgAAAAQyMDIxBAAAAAEwBwAAAAg0LzEvMjAyNQgAAAAKMTIvMzEvMjAyNAkAAAABMB9O2mPBc90IJ+K/lMRz3QgwQ0lRLk5ZU0U6SUJNLklRX1NBTEVfUFBFX0NGLjk5MC40LzEvMjAyNS4uLlVTRC5IAQAAAN62AQACAAAAAzQwNAEIAAAABQAAAAExAQAAAAoxODI5OTExOTY4AwAAAAMxNjACAAAABDIwNDIEAAAAATAHAAAACDQvMS8yMDI1CAAAAAoxMi8zMS8yMDE0CQAAAAEwH07aY8Fz3QjwYdeUxHPdCCpDSVEuTllTRTpJ</t>
  </si>
  <si>
    <t>Qk0uSVFfQ0FQRVguOTkzLjQvMS8yMDI1Li4uVVNELkgBAAAA3rYBAAIAAAAFLTMyMjkBCAAAAAUAAAABMQEAAAAKMjAxNzE2NDI0NAMAAAADMTYwAgAAAAQyMDIxBAAAAAEwBwAAAAg0LzEvMjAyNQgAAAAKMTIvMzEvMjAxNwkAAAABMB9O2mPBc90I8GHXlMRz3QgqQ0lRLk5ZU0U6SUJNLklRX0NBUEVYLjk5NC40LzEvMjAyNS4uLlVTRC5IAQAAAN62AQACAAAABS0zMzk1AQgAAAAFAAAAATEBAAAACjIwODE1MDU0MDEDAAAAAzE2MAIAAAAEMjAyMQQAAAABMAcAAAAINC8xLzIwMjUIAAAACjEyLzMxLzIwMTgJAAAAATAfTtpjwXPdCPBh15TEc90IKkNJUS5OWVNFOklCTS5JUV9DQVBFWC45OTUuNC8xLzIwMjUuLi5VU0QuSAEAAADetgEAAgAAAAUtMjI4NgEIAAAABQAAAAExAQAAAAstMjExMDc2OTM1NQMAAAADMTYwAgAAAAQyMDIxBAAAAAEwBwAAAAg0LzEvMjAyNQgAAAAKMTIvMzEvMjAxOQkAAAABMB9O2mPBc90I8GHXlMRz3QgqQ0lRLk5ZU0U6SUJNLklRX0NBUEVYLjk5Ni40LzEvMjAyNS4uLlVTRC5IAQAAAN62AQACAAAABS0yNjE4AQgAAAAFAAAAATEBAAAACy0yMDU5MDczMjAyAwAAAAMxNjACAAAABDIwMjEEAAAAATAHAAAACDQvMS8yMDI1CAAAAAoxMi8zMS8yMDIwCQAAAAEwH07aY8Fz3QjwYdeUxHPdCCpDSVEuTllTRTpJQk0uSVFfQ0FQRVguOTk3LjQvMS8yMDI1Li4uVVNELkgBAAAA3rYB</t>
  </si>
  <si>
    <t>AAIAAAAFLTIwNjIBCAAAAAUAAAABMQEAAAALLTIwMDg2NDcxOTgDAAAAAzE2MAIAAAAEMjAyMQQAAAABMAcAAAAINC8xLzIwMjUIAAAACjEyLzMxLzIwMjEJAAAAATAfTtpjwXPdCPBh15TEc90IL0NJUS5OWVNFOklCTS5JUV9DQVNIX09QRVIuMTAwMC40LzEvMjAyNS4uLlVTRC5IAQAAAN62AQACAAAABTEzNDQ1AQgAAAAFAAAAATEBAAAACy0xOTU4MjgxMDk3AwAAAAMxNjACAAAABDIwMDYEAAAAATAHAAAACDQvMS8yMDI1CAAAAAoxMi8zMS8yMDI0CQAAAAEwH07aY8Fz3QjwYdeUxHPdCC9DSVEuTllTRTpJQk0uSVFfQ0FTSF9PUEVSLjIwMDAuNC8xLzIwMjUuLi5VU0QuSAEAAADetgEAAgAAAAUxMzQ0NQEIAAAABQAAAAExAQAAAAstMTk1ODI4MDYxNQMAAAADMTYwAgAAAAQyMDA2BAAAAAEwBwAAAAg0LzEvMjAyNQgAAAAKMTIvMzEvMjAyNAkAAAABMB9O2mPBc90IJ+K/lMRz3QgqQ0lRLk5ZU0U6SUJNLklRX0NBUEVYLjk5MC40LzEvMjAyNS4uLlVTRC5IAQAAAN62AQACAAAABS0zNzQwAQgAAAAFAAAAATEBAAAACjE4Mjk5MTE5NjgDAAAAAzE2MAIAAAAEMjAyMQQAAAABMAcAAAAINC8xLzIwMjUIAAAACjEyLzMxLzIwMTQJAAAAATAfTtpjwXPdCPBh15TEc90IKkNJUS5OWVNFOklCTS5JUV9DQVBFWC45OTEuNC8xLzIwMjUuLi5VU0QuSAEAAADetgEAAgAAAAUtMzU3OQEIAAAABQAAAAExAQAAAAox</t>
  </si>
  <si>
    <t>ODc2NDMyODcyAwAAAAMxNjACAAAABDIwMjEEAAAAATAHAAAACDQvMS8yMDI1CAAAAAoxMi8zMS8yMDE1CQAAAAEwH07aY8Fz3QjwYdeUxHPdCCpDSVEuTllTRTpJQk0uSVFfQ0FQRVguOTkyLjQvMS8yMDI1Li4uVVNELkgBAAAA3rYBAAIAAAAFLTM1NjcBCAAAAAUAAAABMQEAAAAKMTk0NzE3OTU4MwMAAAADMTYwAgAAAAQyMDIxBAAAAAEwBwAAAAg0LzEvMjAyNQgAAAAKMTIvMzEvMjAxNgkAAAABMB9O2mPBc90I8GHXlMRz3QguQ0lRLk5ZU0U6SUJNLklRX0NBU0hfT1BFUi45OTUuNC8xLzIwMjUuLi5VU0QuSAEAAADetgEAAgAAAAUxNDc3MAEIAAAABQAAAAExAQAAAAstMjExMDc2OTM1NQMAAAADMTYwAgAAAAQyMDA2BAAAAAEwBwAAAAg0LzEvMjAyNQgAAAAKMTIvMzEvMjAxOQkAAAABMB9O2mPBc90I8GHXlMRz3QguQ0lRLk5ZU0U6SUJNLklRX0NBU0hfT1BFUi45OTYuNC8xLzIwMjUuLi5VU0QuSAEAAADetgEAAgAAAAUxODE5NwEIAAAABQAAAAExAQAAAAstMjA1OTA3MzIwMgMAAAADMTYwAgAAAAQyMDA2BAAAAAEwBwAAAAg0LzEvMjAyNQgAAAAKMTIvMzEvMjAyMAkAAAABMB9O2mPBc90I8GHXlMRz3QguQ0lRLk5ZU0U6SUJNLklRX0NBU0hfT1BFUi45OTcuNC8xLzIwMjUuLi5VU0QuSAEAAADetgEAAgAAAAUxMjc5NgEIAAAABQAAAAExAQAAAAstMjAwODY0NzE5OAMAAAADMTYwAgAAAAQyMDA2</t>
  </si>
  <si>
    <t>BAAAAAEwBwAAAAg0LzEvMjAyNQgAAAAKMTIvMzEvMjAyMQkAAAABMB9O2mPBc90I8GHXlMRz3QguQ0lRLk5ZU0U6SUJNLklRX0NBU0hfT1BFUi45OTguNC8xLzIwMjUuLi5VU0QuSAEAAADetgEAAgAAAAUxMDQzNQEIAAAABQAAAAExAQAAAAstMTk1ODI4MTA5NgMAAAADMTYwAgAAAAQyMDA2BAAAAAEwBwAAAAg0LzEvMjAyNQgAAAAKMTIvMzEvMjAyMgkAAAABMB9O2mPBc90I8GHXlMRz3QguQ0lRLk5ZU0U6SUJNLklRX0NBU0hfT1BFUi45OTkuNC8xLzIwMjUuLi5VU0QuSAEAAADetgEAAgAAAAUxMzkzMQEIAAAABQAAAAExAQAAAAstMTk1ODI4MTA5NQMAAAADMTYwAgAAAAQyMDA2BAAAAAEwBwAAAAg0LzEvMjAyNQgAAAAKMTIvMzEvMjAyMwkAAAABMB9O2mPBc90I9JjClMRz3QguQ0lRLk5ZU0U6SUJNLklRX0NBU0hfT1BFUi45OTAuNC8xLzIwMjUuLi5VU0QuSAEAAADetgEAAgAAAAUxNjg2OAEIAAAABQAAAAExAQAAAAoxODI5OTExOTY4AwAAAAMxNjACAAAABDIwMDYEAAAAATAHAAAACDQvMS8yMDI1CAAAAAoxMi8zMS8yMDE0CQAAAAEwH07aY8Fz3QiQE9eUxHPdCC5DSVEuTllTRTpJQk0uSVFfQ0FTSF9PUEVSLjk5MS40LzEvMjAyNS4uLlVTRC5IAQAAAN62AQACAAAABTE3MjU1AQgAAAAFAAAAATEBAAAACjE4NzY0MzI4NzIDAAAAAzE2MAIAAAAEMjAwNgQAAAABMAcAAAAINC8xLzIwMjUIAAAA</t>
  </si>
  <si>
    <t>CjEyLzMxLzIwMTUJAAAAATAfTtpjwXPdCJAT15TEc90ILkNJUS5OWVNFOklCTS5JUV9DQVNIX09QRVIuOTkyLjQvMS8yMDI1Li4uVVNELkgBAAAA3rYBAAIAAAAFMTcwODQBCAAAAAUAAAABMQEAAAAKMTk0NzE3OTU4MwMAAAADMTYwAgAAAAQyMDA2BAAAAAEwBwAAAAg0LzEvMjAyNQgAAAAKMTIvMzEvMjAxNgkAAAABMB9O2mPBc90IkBPXlMRz3QguQ0lRLk5ZU0U6SUJNLklRX0NBU0hfT1BFUi45OTMuNC8xLzIwMjUuLi5VU0QuSAEAAADetgEAAgAAAAUxNjcyNAEIAAAABQAAAAExAQAAAAoyMDE3MTY0MjQ0AwAAAAMxNjACAAAABDIwMDYEAAAAATAHAAAACDQvMS8yMDI1CAAAAAoxMi8zMS8yMDE3CQAAAAEwH07aY8Fz3QiQE9eUxHPdCC5DSVEuTllTRTpJQk0uSVFfQ0FTSF9PUEVSLjk5NC40LzEvMjAyNS4uLlVTRC5IAQAAAN62AQACAAAABTE1MjQ3AQgAAAAFAAAAATEBAAAACjIwODE1MDU0MDEDAAAAAzE2MAIAAAAEMjAwNgQAAAABMAcAAAAINC8xLzIwMjUIAAAACjEyLzMxLzIwMTgJAAAAATAfTtpjwXPdCJAT15TEc90IQUNJUS5OWVNFOklCTS5JUV9DSEFOR0VfT1RIRVJfTkVUX09QRVJfQVNTRVRTLjk5Ny40LzEvMjAyNS4uLlVTRC5IAQAAAN62AQACAAAAAzE5NgEIAAAABQAAAAExAQAAAAstMjAwODY0NzE5OAMAAAADMTYwAgAAAAQyMDQ1BAAAAAEwBwAAAAg0LzEvMjAyNQgAAAAKMTIvMzEv</t>
  </si>
  <si>
    <t>MjAyMQkAAAABMB9O2mPBc90IkBPXlMRz3QhBQ0lRLk5ZU0U6SUJNLklRX0NIQU5HRV9PVEhFUl9ORVRfT1BFUl9BU1NFVFMuOTk4LjQvMS8yMDI1Li4uVVNELkgBAAAA3rYBAAIAAAADNDU3AQgAAAAFAAAAATEBAAAACy0xOTU4MjgxMDk2AwAAAAMxNjACAAAABDIwNDUEAAAAATAHAAAACDQvMS8yMDI1CAAAAAoxMi8zMS8yMDIyCQAAAAEwH07aY8Fz3QiQE9eUxHPdCEFDSVEuTllTRTpJQk0uSVFfQ0hBTkdFX09USEVSX05FVF9PUEVSX0FTU0VUUy45OTkuNC8xLzIwMjUuLi5VU0QuSAEAAADetgEAAgAAAAQxMDA0AQgAAAAFAAAAATEBAAAACy0xOTU4MjgxMDk1AwAAAAMxNjACAAAABDIwNDUEAAAAATAHAAAACDQvMS8yMDI1CAAAAAoxMi8zMS8yMDIzCQAAAAEwH07aY8Fz3Qj0mMKUxHPdCEJDSVEuTllTRTpJQk0uSVFfQ0hBTkdFX09USEVSX05FVF9PUEVSX0FTU0VUUy4xMDAwLjQvMS8yMDI1Li4uVVNELkgBAAAA3rYBAAIAAAAEMTg2NgEIAAAABQAAAAExAQAAAAstMTk1ODI4MTA5NwMAAAADMTYwAgAAAAQyMDQ1BAAAAAEwBwAAAAg0LzEvMjAyNQgAAAAKMTIvMzEvMjAyNAkAAAABMB9O2mPBc90IkBPXlMRz3QhCQ0lRLk5ZU0U6SUJNLklRX0NIQU5HRV9PVEhFUl9ORVRfT1BFUl9BU1NFVFMuMjAwMC40LzEvMjAyNS4uLlVTRC5IAQAAAN62AQACAAAABDE4NjYBCAAAAAUAAAABMQEAAAALLTE5NTgy</t>
  </si>
  <si>
    <t>ODA2MTUDAAAAAzE2MAIAAAAEMjA0NQQAAAABMAcAAAAINC8xLzIwMjUIAAAACjEyLzMxLzIwMjQJAAAAATAfTtpjwXPdCCfiv5TEc90IQUNJUS5OWVNFOklCTS5JUV9DSEFOR0VfT1RIRVJfTkVUX09QRVJfQVNTRVRTLjk5Mi40LzEvMjAyNS4uLlVTRC5IAQAAAN62AQACAAAAAzQ2MgEIAAAABQAAAAExAQAAAAoxOTQ3MTc5NTgzAwAAAAMxNjACAAAABDIwNDUEAAAAATAHAAAACDQvMS8yMDI1CAAAAAoxMi8zMS8yMDE2CQAAAAEwH07aY8Fz3QiQE9eUxHPdCEFDSVEuTllTRTpJQk0uSVFfQ0hBTkdFX09USEVSX05FVF9PUEVSX0FTU0VUUy45OTMuNC8xLzIwMjUuLi5VU0QuSAEAAADetgEAAgAAAAQ1NDUxAQgAAAAFAAAAATEBAAAACjIwMTcxNjQyNDQDAAAAAzE2MAIAAAAEMjA0NQQAAAABMAcAAAAINC8xLzIwMjUIAAAACjEyLzMxLzIwMTcJAAAAATAfTtpjwXPdCJAT15TEc90IQUNJUS5OWVNFOklCTS5JUV9DSEFOR0VfT1RIRVJfTkVUX09QRVJfQVNTRVRTLjk5NC40LzEvMjAyNS4uLlVTRC5IAQAAAN62AQACAAAABC00NTEBCAAAAAUAAAABMQEAAAAKMjA4MTUwNTQwMQMAAAADMTYwAgAAAAQyMDQ1BAAAAAEwBwAAAAg0LzEvMjAyNQgAAAAKMTIvMzEvMjAxOAkAAAABMB9O2mPBc90IkBPXlMRz3QhBQ0lRLk5ZU0U6SUJNLklRX0NIQU5HRV9PVEhFUl9ORVRfT1BFUl9BU1NFVFMuOTk1LjQvMS8yMDI1</t>
  </si>
  <si>
    <t>Li4uVVNELkgBAAAA3rYBAAIAAAAEMTE1OQEIAAAABQAAAAExAQAAAAstMjExMDc2OTM1NQMAAAADMTYwAgAAAAQyMDQ1BAAAAAEwBwAAAAg0LzEvMjAyNQgAAAAKMTIvMzEvMjAxOQkAAAABMB9O2mPBc90IkBPXlMRz3QhBQ0lRLk5ZU0U6SUJNLklRX0NIQU5HRV9PVEhFUl9ORVRfT1BFUl9BU1NFVFMuOTk2LjQvMS8yMDI1Li4uVVNELkgBAAAA3rYBAAIAAAAEMzAyMwEIAAAABQAAAAExAQAAAAstMjA1OTA3MzIwMgMAAAADMTYwAgAAAAQyMDQ1BAAAAAEwBwAAAAg0LzEvMjAyNQgAAAAKMTIvMzEvMjAyMAkAAAABMB9O2mPBc90IkBPXlMRz3QgzQ0lRLk5ZU0U6SUJNLklRX0NIQU5HRV9ERUZfVEFYLjk5OS40LzEvMjAyNS4uLlVTRC5IAQAAAN62AQADAAAAAAAfTtpjwXPdCPSYwpTEc90INENJUS5OWVNFOklCTS5JUV9DSEFOR0VfREVGX1RBWC4xMDAwLjQvMS8yMDI1Li4uVVNELkgBAAAA3rYBAAMAAAAAAB9O2mPBc90IkBPXlMRz3Qg0Q0lRLk5ZU0U6SUJNLklRX0NIQU5HRV9ERUZfVEFYLjIwMDAuNC8xLzIwMjUuLi5VU0QuSAEAAADetgEAAwAAAAAAH07aY8Fz3Qgn4r+UxHPdCEFDSVEuTllTRTpJQk0uSVFfQ0hBTkdFX09USEVSX05FVF9PUEVSX0FTU0VUUy45OTAuNC8xLzIwMjUuLi5VU0QuSAEAAADetgEAAgAAAAUtMjU0MQEIAAAABQAAAAExAQAAAAoxODI5OTExOTY4AwAAAAMxNjACAAAABDIw</t>
  </si>
  <si>
    <t>NDUEAAAAATAHAAAACDQvMS8yMDI1CAAAAAoxMi8zMS8yMDE0CQAAAAEwH07aY8Fz3QiQE9eUxHPdCEFDSVEuTllTRTpJQk0uSVFfQ0hBTkdFX09USEVSX05FVF9PUEVSX0FTU0VUUy45OTEuNC8xLzIwMjUuLi5VU0QuSAEAAADetgEAAgAAAAUtMzIyMgEIAAAABQAAAAExAQAAAAoxODc2NDMyODcyAwAAAAMxNjACAAAABDIwNDUEAAAAATAHAAAACDQvMS8yMDI1CAAAAAoxMi8zMS8yMDE1CQAAAAEwH07aY8Fz3QiQE9eUxHPdCDNDSVEuTllTRTpJQk0uSVFfQ0hBTkdFX0RFRl9UQVguOTk0LjQvMS8yMDI1Li4uVVNELkgBAAAA3rYBAAMAAAAAAB9O2mPBc90IkBPXlMRz3QgzQ0lRLk5ZU0U6SUJNLklRX0NIQU5HRV9ERUZfVEFYLjk5NS40LzEvMjAyNS4uLlVTRC5IAQAAAN62AQADAAAAAAAfTtpjwXPdCJAT15TEc90IM0NJUS5OWVNFOklCTS5JUV9DSEFOR0VfREVGX1RBWC45OTYuNC8xLzIwMjUuLi5VU0QuSAEAAADetgEAAwAAAAAAH07aY8Fz3QiQE9eUxHPdCDNDSVEuTllTRTpJQk0uSVFfQ0hBTkdFX0RFRl9UQVguOTk3LjQvMS8yMDI1Li4uVVNELkgBAAAA3rYBAAMAAAAAAB9O2mPBc90IkBPXlMRz3QgzQ0lRLk5ZU0U6SUJNLklRX0NIQU5HRV9ERUZfVEFYLjk5OC40LzEvMjAyNS4uLlVTRC5IAQAAAN62AQADAAAAAAAfTtpjwXPdCJAT15TEc90INENJUS5OWVNFOklCTS5JUV9DSEFOR0VfSU5DX1RB</t>
  </si>
  <si>
    <t>WC4yMDAwLjQvMS8yMDI1Li4uVVNELkgBAAAA3rYBAAMAAAAAAB9O2mPBc90IJ+K/lMRz3QgzQ0lRLk5ZU0U6SUJNLklRX0NIQU5HRV9ERUZfVEFYLjk5MC40LzEvMjAyNS4uLlVTRC5IAQAAAN62AQADAAAAAAAfTtpjwXPdCJAT15TEc90IM0NJUS5OWVNFOklCTS5JUV9DSEFOR0VfREVGX1RBWC45OTEuNC8xLzIwMjUuLi5VU0QuSAEAAADetgEAAwAAAAAAH07aY8Fz3QiQE9eUxHPdCDNDSVEuTllTRTpJQk0uSVFfQ0hBTkdFX0RFRl9UQVguOTkyLjQvMS8yMDI1Li4uVVNELkgBAAAA3rYBAAMAAAAAAB9O2mPBc90IkBPXlMRz3QgzQ0lRLk5ZU0U6SUJNLklRX0NIQU5HRV9ERUZfVEFYLjk5My40LzEvMjAyNS4uLlVTRC5IAQAAAN62AQADAAAAAAAfTtpjwXPdCJAT15TEc90IM0NJUS5OWVNFOklCTS5JUV9DSEFOR0VfSU5DX1RBWC45OTYuNC8xLzIwMjUuLi5VU0QuSAEAAADetgEAAwAAAAAAH07aY8Fz3QiQE9eUxHPdCDNDSVEuTllTRTpJQk0uSVFfQ0hBTkdFX0lOQ19UQVguOTk3LjQvMS8yMDI1Li4uVVNELkgBAAAA3rYBAAMAAAAAAB9O2mPBc90IkBPXlMRz3QgzQ0lRLk5ZU0U6SUJNLklRX0NIQU5HRV9JTkNfVEFYLjk5OC40LzEvMjAyNS4uLlVTRC5IAQAAAN62AQADAAAAAAAfTtpjwXPdCJAT15TEc90IM0NJUS5OWVNFOklCTS5JUV9DSEFOR0VfSU5DX1RBWC45OTkuNC8xLzIwMjUuLi5VU0QuSAEA</t>
  </si>
  <si>
    <t>AADetgEAAwAAAAAAH07aY8Fz3Qj0mMKUxHPdCDRDSVEuTllTRTpJQk0uSVFfQ0hBTkdFX0lOQ19UQVguMTAwMC40LzEvMjAyNS4uLlVTRC5IAQAAAN62AQADAAAAAAAfTtpjwXPdCJAT15TEc90IM0NJUS5OWVNFOklCTS5JUV9DSEFOR0VfSU5DX1RBWC45OTEuNC8xLzIwMjUuLi5VU0QuSAEAAADetgEAAwAAAAAAH07aY8Fz3QiQE9eUxHPdCDNDSVEuTllTRTpJQk0uSVFfQ0hBTkdFX0lOQ19UQVguOTkyLjQvMS8yMDI1Li4uVVNELkgBAAAA3rYBAAMAAAAAAB9O2mPBc90IkBPXlMRz3QgzQ0lRLk5ZU0U6SUJNLklRX0NIQU5HRV9JTkNfVEFYLjk5My40LzEvMjAyNS4uLlVTRC5IAQAAAN62AQADAAAAAAAfTtpjwXPdCJAT15TEc90IM0NJUS5OWVNFOklCTS5JUV9DSEFOR0VfSU5DX1RBWC45OTQuNC8xLzIwMjUuLi5VU0QuSAEAAADetgEAAwAAAAAAH07aY8Fz3QiQE9eUxHPdCDNDSVEuTllTRTpJQk0uSVFfQ0hBTkdFX0lOQ19UQVguOTk1LjQvMS8yMDI1Li4uVVNELkgBAAAA3rYBAAMAAAAAAB9O2mPBc90IkBPXlMRz3Qg2Q0lRLk5ZU0U6SUJNLklRX0NIQU5HRV9VTkVBUk5fUkVWLjk5OC40LzEvMjAyNS4uLlVTRC5IAQAAAN62AQADAAAAAAAfTtpjwXPdCJAT15TEc90INkNJUS5OWVNFOklCTS5JUV9DSEFOR0VfVU5FQVJOX1JFVi45OTkuNC8xLzIwMjUuLi5VU0QuSAEAAADetgEAAwAAAAAAH07aY8Fz</t>
  </si>
  <si>
    <t>3Qj0mMKUxHPdCDdDSVEuTllTRTpJQk0uSVFfQ0hBTkdFX1VORUFSTl9SRVYuMTAwMC40LzEvMjAyNS4uLlVTRC5IAQAAAN62AQADAAAAAAAfTtpjwXPdCDXF1pTEc90IN0NJUS5OWVNFOklCTS5JUV9DSEFOR0VfVU5FQVJOX1JFVi4yMDAwLjQvMS8yMDI1Li4uVVNELkgBAAAA3rYBAAMAAAAAAB9O2mPBc90IJ+K/lMRz3QgzQ0lRLk5ZU0U6SUJNLklRX0NIQU5HRV9JTkNfVEFYLjk5MC40LzEvMjAyNS4uLlVTRC5IAQAAAN62AQADAAAAAAAfTtpjwXPdCDXF1pTEc90INkNJUS5OWVNFOklCTS5JUV9DSEFOR0VfVU5FQVJOX1JFVi45OTMuNC8xLzIwMjUuLi5VU0QuSAEAAADetgEAAwAAAAAAH07aY8Fz3QiQE9eUxHPdCDZDSVEuTllTRTpJQk0uSVFfQ0hBTkdFX1VORUFSTl9SRVYuOTk0LjQvMS8yMDI1Li4uVVNELkgBAAAA3rYBAAMAAAAAAB9O2mPBc90IkBPXlMRz3Qg2Q0lRLk5ZU0U6SUJNLklRX0NIQU5HRV9VTkVBUk5fUkVWLjk5NS40LzEvMjAyNS4uLlVTRC5IAQAAAN62AQADAAAAAAAfTtpjwXPdCDXF1pTEc90INkNJUS5OWVNFOklCTS5JUV9DSEFOR0VfVU5FQVJOX1JFVi45OTYuNC8xLzIwMjUuLi5VU0QuSAEAAADetgEAAwAAAAAAH07aY8Fz3Qg1xdaUxHPdCDZDSVEuTllTRTpJQk0uSVFfQ0hBTkdFX1VORUFSTl9SRVYuOTk3LjQvMS8yMDI1Li4uVVNELkgBAAAA3rYBAAMAAAAAAB9O2mPBc90I</t>
  </si>
  <si>
    <t>NcXWlMRz3QgvQ0lRLk5ZU0U6SUJNLklRX0NIQU5HRV9BUC4xMDAwLjQvMS8yMDI1Li4uVVNELkgBAAAA3rYBAAIAAAADLTEzAQgAAAAFAAAAATEBAAAACy0xOTU4MjgxMDk3AwAAAAMxNjACAAAABDIwMTcEAAAAATAHAAAACDQvMS8yMDI1CAAAAAoxMi8zMS8yMDI0CQAAAAEwH07aY8Fz3Qg1xdaUxHPdCC9DSVEuTllTRTpJQk0uSVFfQ0hBTkdFX0FQLjIwMDAuNC8xLzIwMjUuLi5VU0QuSAEAAADetgEAAgAAAAMtMTMBCAAAAAUAAAABMQEAAAALLTE5NTgyODA2MTUDAAAAAzE2MAIAAAAEMjAxNwQAAAABMAcAAAAINC8xLzIwMjUIAAAACjEyLzMxLzIwMjQJAAAAATAfTtpjwXPdCCfiv5TEc90INkNJUS5OWVNFOklCTS5JUV9DSEFOR0VfVU5FQVJOX1JFVi45OTAuNC8xLzIwMjUuLi5VU0QuSAEAAADetgEAAwAAAAAAH07aY8Fz3Qg1xdaUxHPdCDZDSVEuTllTRTpJQk0uSVFfQ0hBTkdFX1VORUFSTl9SRVYuOTkxLjQvMS8yMDI1Li4uVVNELkgBAAAA3rYBAAMAAAAAAB9O2mPBc90INcXWlMRz3Qg2Q0lRLk5ZU0U6SUJNLklRX0NIQU5HRV9VTkVBUk5fUkVWLjk5Mi40LzEvMjAyNS4uLlVTRC5IAQAAAN62AQADAAAAAAAfTtpjwXPdCDXF1pTEc90ILkNJUS5OWVNFOklCTS5JUV9DSEFOR0VfQVAuOTk1LjQvMS8yMDI1Li4uVVNELkgBAAAA3rYBAAIAAAAELTUwMwEIAAAABQAAAAExAQAAAAstMjExMDc2OTM1</t>
  </si>
  <si>
    <t>NQMAAAADMTYwAgAAAAQyMDE3BAAAAAEwBwAAAAg0LzEvMjAyNQgAAAAKMTIvMzEvMjAxOQkAAAABMB9O2mPBc90INcXWlMRz3QguQ0lRLk5ZU0U6SUJNLklRX0NIQU5HRV9BUC45OTYuNC8xLzIwMjUuLi5VU0QuSAEAAADetgEAAgAAAAMxMzgBCAAAAAUAAAABMQEAAAALLTIwNTkwNzMyMDIDAAAAAzE2MAIAAAAEMjAxNwQAAAABMAcAAAAINC8xLzIwMjUIAAAACjEyLzMxLzIwMjAJAAAAATAfTtpjwXPdCDXF1pTEc90ILkNJUS5OWVNFOklCTS5JUV9DSEFOR0VfQVAuOTk3LjQvMS8yMDI1Li4uVVNELkgBAAAA3rYBAAIAAAACODUBCAAAAAUAAAABMQEAAAALLTIwMDg2NDcxOTgDAAAAAzE2MAIAAAAEMjAxNwQAAAABMAcAAAAINC8xLzIwMjUIAAAACjEyLzMxLzIwMjEJAAAAATAfTtpjwXPdCDXF1pTEc90ILkNJUS5OWVNFOklCTS5JUV9DSEFOR0VfQVAuOTk4LjQvMS8yMDI1Li4uVVNELkgBAAAA3rYBAAIAAAADMjEzAQgAAAAFAAAAATEBAAAACy0xOTU4MjgxMDk2AwAAAAMxNjACAAAABDIwMTcEAAAAATAHAAAACDQvMS8yMDI1CAAAAAoxMi8zMS8yMDIyCQAAAAEwH07aY8Fz3Qg1xdaUxHPdCC5DSVEuTllTRTpJQk0uSVFfQ0hBTkdFX0FQLjk5OS40LzEvMjAyNS4uLlVTRC5IAQAAAN62AQACAAAAAjY1AQgAAAAFAAAAATEBAAAACy0xOTU4MjgxMDk1AwAAAAMxNjACAAAABDIwMTcEAAAAATAHAAAACDQv</t>
  </si>
  <si>
    <t>MS8yMDI1CAAAAAoxMi8zMS8yMDIzCQAAAAEwH07aY8Fz3Qj0mMKUxHPdCC5DSVEuTllTRTpJQk0uSVFfQ0hBTkdFX0FQLjk5MC40LzEvMjAyNS4uLlVTRC5IAQAAAN62AQACAAAABC00NTYBCAAAAAUAAAABMQEAAAAKMTgyOTkxMTk2OAMAAAADMTYwAgAAAAQyMDE3BAAAAAEwBwAAAAg0LzEvMjAyNQgAAAAKMTIvMzEvMjAxNAkAAAABMB9O2mPBc90INcXWlMRz3QguQ0lRLk5ZU0U6SUJNLklRX0NIQU5HRV9BUC45OTEuNC8xLzIwMjUuLi5VU0QuSAEAAADetgEAAgAAAAI4MQEIAAAABQAAAAExAQAAAAoxODc2NDMyODcyAwAAAAMxNjACAAAABDIwMTcEAAAAATAHAAAACDQvMS8yMDI1CAAAAAoxMi8zMS8yMDE1CQAAAAEwH07aY8Fz3Qg1xdaUxHPdCC5DSVEuTllTRTpJQk0uSVFfQ0hBTkdFX0FQLjk5Mi40LzEvMjAyNS4uLlVTRC5IAQAAAN62AQACAAAAAzE5NwEIAAAABQAAAAExAQAAAAoxOTQ3MTc5NTgzAwAAAAMxNjACAAAABDIwMTcEAAAAATAHAAAACDQvMS8yMDI1CAAAAAoxMi8zMS8yMDE2CQAAAAEwH07aY8Fz3Qg1xdaUxHPdCC5DSVEuTllTRTpJQk0uSVFfQ0hBTkdFX0FQLjk5My40LzEvMjAyNS4uLlVTRC5IAQAAAN62AQACAAAAAjQ3AQgAAAAFAAAAATEBAAAACjIwMTcxNjQyNDQDAAAAAzE2MAIAAAAEMjAxNwQAAAABMAcAAAAINC8xLzIwMjUIAAAACjEyLzMxLzIwMTcJAAAAATAfTtpjwXPd</t>
  </si>
  <si>
    <t>CDXF1pTEc90ILkNJUS5OWVNFOklCTS5JUV9DSEFOR0VfQVAuOTk0LjQvMS8yMDI1Li4uVVNELkgBAAAA3rYBAAIAAAADMTI2AQgAAAAFAAAAATEBAAAACjIwODE1MDU0MDEDAAAAAzE2MAIAAAAEMjAxNwQAAAABMAcAAAAINC8xLzIwMjUIAAAACjEyLzMxLzIwMTgJAAAAATAfTtpjwXPdCDXF1pTEc90INUNJUS5OWVNFOklCTS5JUV9DSEFOR0VfSU5WRU5UT1JZLjk5Ny40LzEvMjAyNS4uLlVTRC5IAQAAAN62AQACAAAAAzEzOAEIAAAABQAAAAExAQAAAAstMjAwODY0NzE5OAMAAAADMTYwAgAAAAQyMDk5BAAAAAEwBwAAAAg0LzEvMjAyNQgAAAAKMTIvMzEvMjAyMQkAAAABMB9O2mPBc90INcXWlMRz3Qg1Q0lRLk5ZU0U6SUJNLklRX0NIQU5HRV9JTlZFTlRPUlkuOTk4LjQvMS8yMDI1Li4uVVNELkgBAAAA3rYBAAIAAAACNzEBCAAAAAUAAAABMQEAAAALLTE5NTgyODEwOTYDAAAAAzE2MAIAAAAEMjA5OQQAAAABMAcAAAAINC8xLzIwMjUIAAAACjEyLzMxLzIwMjIJAAAAATAfTtpjwXPdCDXF1pTEc90INUNJUS5OWVNFOklCTS5JUV9DSEFOR0VfSU5WRU5UT1JZLjk5OS40LzEvMjAyNS4uLlVTRC5IAQAAAN62AQACAAAAAzM5MAEIAAAABQAAAAExAQAAAAstMTk1ODI4MTA5NQMAAAADMTYwAgAAAAQyMDk5BAAAAAEwBwAAAAg0LzEvMjAyNQgAAAAKMTIvMzEvMjAyMwkAAAABMB9O2mPBc90I9JjClMRz3Qg2</t>
  </si>
  <si>
    <t>Q0lRLk5ZU0U6SUJNLklRX0NIQU5HRV9JTlZFTlRPUlkuMTAwMC40LzEvMjAyNS4uLlVTRC5IAQAAAN62AQACAAAABC0xNjYBCAAAAAUAAAABMQEAAAALLTE5NTgyODEwOTcDAAAAAzE2MAIAAAAEMjA5OQQAAAABMAcAAAAINC8xLzIwMjUIAAAACjEyLzMxLzIwMjQJAAAAATAfTtpjwXPdCDXF1pTEc90INkNJUS5OWVNFOklCTS5JUV9DSEFOR0VfSU5WRU5UT1JZLjIwMDAuNC8xLzIwMjUuLi5VU0QuSAEAAADetgEAAgAAAAQtMTY2AQgAAAAFAAAAATEBAAAACy0xOTU4MjgwNjE1AwAAAAMxNjACAAAABDIwOTkEAAAAATAHAAAACDQvMS8yMDI1CAAAAAoxMi8zMS8yMDI0CQAAAAEwH07aY8Fz3Qgn4r+UxHPdCDVDSVEuTllTRTpJQk0uSVFfQ0hBTkdFX0lOVkVOVE9SWS45OTIuNC8xLzIwMjUuLi5VU0QuSAEAAADetgEAAgAAAAMtMTQBCAAAAAUAAAABMQEAAAAKMTk0NzE3OTU4MwMAAAADMTYwAgAAAAQyMDk5BAAAAAEwBwAAAAg0LzEvMjAyNQgAAAAKMTIvMzEvMjAxNgkAAAABMB9O2mPBc90INcXWlMRz3Qg1Q0lRLk5ZU0U6SUJNLklRX0NIQU5HRV9JTlZFTlRPUlkuOTkzLjQvMS8yMDI1Li4uVVNELkgBAAAA3rYBAAIAAAACMTgBCAAAAAUAAAABMQEAAAAKMjAxNzE2NDI0NAMAAAADMTYwAgAAAAQyMDk5BAAAAAEwBwAAAAg0LzEvMjAyNQgAAAAKMTIvMzEvMjAxNwkAAAABMB9O2mPBc90INcXWlMRz3Qg1</t>
  </si>
  <si>
    <t>Q0lRLk5ZU0U6SUJNLklRX0NIQU5HRV9JTlZFTlRPUlkuOTk0LjQvMS8yMDI1Li4uVVNELkgBAAAA3rYBAAIAAAAELTEyNwEIAAAABQAAAAExAQAAAAoyMDgxNTA1NDAxAwAAAAMxNjACAAAABDIwOTkEAAAAATAHAAAACDQvMS8yMDI1CAAAAAoxMi8zMS8yMDE4CQAAAAEwH07aY8Fz3Qg1xdaUxHPdCDVDSVEuTllTRTpJQk0uSVFfQ0hBTkdFX0lOVkVOVE9SWS45OTUuNC8xLzIwMjUuLi5VU0QuSAEAAADetgEAAgAAAAI2NwEIAAAABQAAAAExAQAAAAstMjExMDc2OTM1NQMAAAADMTYwAgAAAAQyMDk5BAAAAAEwBwAAAAg0LzEvMjAyNQgAAAAKMTIvMzEvMjAxOQkAAAABMB9O2mPBc90INcXWlMRz3Qg1Q0lRLk5ZU0U6SUJNLklRX0NIQU5HRV9JTlZFTlRPUlkuOTk2LjQvMS8yMDI1Li4uVVNELkgBAAAA3rYBAAIAAAAELTIwOQEIAAAABQAAAAExAQAAAAstMjA1OTA3MzIwMgMAAAADMTYwAgAAAAQyMDk5BAAAAAEwBwAAAAg0LzEvMjAyNQgAAAAKMTIvMzEvMjAyMAkAAAABMB9O2mPBc90INcXWlMRz3QguQ0lRLk5ZU0U6SUJNLklRX0NIQU5HRV9BUi45OTkuNC8xLzIwMjUuLi5VU0QuSAEAAADetgEAAgAAAAM3MjUBCAAAAAUAAAABMQEAAAALLTE5NTgyODEwOTUDAAAAAzE2MAIAAAAEMjAxOAQAAAABMAcAAAAINC8xLzIwMjUIAAAACjEyLzMxLzIwMjMJAAAAATAfTtpjwXPdCPSYwpTEc90IL0NJUS5OWVNF</t>
  </si>
  <si>
    <t>OklCTS5JUV9DSEFOR0VfQVIuMTAwMC40LzEvMjAyNS4uLlVTRC5IAQAAAN62AQACAAAABC0zNzQBCAAAAAUAAAABMQEAAAALLTE5NTgyODEwOTcDAAAAAzE2MAIAAAAEMjAxOAQAAAABMAcAAAAINC8xLzIwMjUIAAAACjEyLzMxLzIwMjQJAAAAATAfTtpjwXPdCDXF1pTEc90IL0NJUS5OWVNFOklCTS5JUV9DSEFOR0VfQVIuMjAwMC40LzEvMjAyNS4uLlVTRC5IAQAAAN62AQACAAAABC0zNzQBCAAAAAUAAAABMQEAAAALLTE5NTgyODA2MTUDAAAAAzE2MAIAAAAEMjAxOAQAAAABMAcAAAAINC8xLzIwMjUIAAAACjEyLzMxLzIwMjQJAAAAATAfTtpjwXPdCCfiv5TEc90INUNJUS5OWVNFOklCTS5JUV9DSEFOR0VfSU5WRU5UT1JZLjk5MC40LzEvMjAyNS4uLlVTRC5IAQAAAN62AQACAAAAAy0zOQEIAAAABQAAAAExAQAAAAoxODI5OTExOTY4AwAAAAMxNjACAAAABDIwOTkEAAAAATAHAAAACDQvMS8yMDI1CAAAAAoxMi8zMS8yMDE0CQAAAAEwH07aY8Fz3Qg1xdaUxHPdCDVDSVEuTllTRTpJQk0uSVFfQ0hBTkdFX0lOVkVOVE9SWS45OTEuNC8xLzIwMjUuLi5VU0QuSAEAAADetgEAAgAAAAMxMzMBCAAAAAUAAAABMQEAAAAKMTg3NjQzMjg3MgMAAAADMTYwAgAAAAQyMDk5BAAAAAEwBwAAAAg0LzEvMjAyNQgAAAAKMTIvMzEvMjAxNQkAAAABMB9O2mPBc90INcXWlMRz3QguQ0lRLk5ZU0U6SUJNLklRX0NIQU5H</t>
  </si>
  <si>
    <t>RV9BUi45OTQuNC8xLzIwMjUuLi5VU0QuSAEAAADetgEAAgAAAAQxMDA2AQgAAAAFAAAAATEBAAAACjIwODE1MDU0MDEDAAAAAzE2MAIAAAAEMjAxOAQAAAABMAcAAAAINC8xLzIwMjUIAAAACjEyLzMxLzIwMTgJAAAAATAfTtpjwXPdCDXF1pTEc90ILkNJUS5OWVNFOklCTS5JUV9DSEFOR0VfQVIuOTk1LjQvMS8yMDI1Li4uVVNELkgBAAAA3rYBAAIAAAADNTAyAQgAAAAFAAAAATEBAAAACy0yMTEwNzY5MzU1AwAAAAMxNjACAAAABDIwMTgEAAAAATAHAAAACDQvMS8yMDI1CAAAAAoxMi8zMS8yMDE5CQAAAAEwH07aY8Fz3Qg1xdaUxHPdCC5DSVEuTllTRTpJQk0uSVFfQ0hBTkdFX0FSLjk5Ni40LzEvMjAyNS4uLlVTRC5IAQAAAN62AQACAAAABDUyOTcBCAAAAAUAAAABMQEAAAALLTIwNTkwNzMyMDIDAAAAAzE2MAIAAAAEMjAxOAQAAAABMAcAAAAINC8xLzIwMjUIAAAACjEyLzMxLzIwMjAJAAAAATAfTtpjwXPdCDXF1pTEc90ILkNJUS5OWVNFOklCTS5JUV9DSEFOR0VfQVIuOTk3LjQvMS8yMDI1Li4uVVNELkgBAAAA3rYBAAIAAAAEMTM3MgEIAAAABQAAAAExAQAAAAstMjAwODY0NzE5OAMAAAADMTYwAgAAAAQyMDE4BAAAAAEwBwAAAAg0LzEvMjAyNQgAAAAKMTIvMzEvMjAyMQkAAAABMB9O2mPBc90INcXWlMRz3QguQ0lRLk5ZU0U6SUJNLklRX0NIQU5HRV9BUi45OTguNC8xLzIwMjUuLi5VU0QuSAEA</t>
  </si>
  <si>
    <t>AADetgEAAgAAAAQtNTM5AQgAAAAFAAAAATEBAAAACy0xOTU4MjgxMDk2AwAAAAMxNjACAAAABDIwMTgEAAAAATAHAAAACDQvMS8yMDI1CAAAAAoxMi8zMS8yMDIyCQAAAAEwH07aY8Fz3Qg1xdaUxHPdCDtDSVEuTllTRTpJQk0uSVFfQ0hBTkdFX1RSQURJTkdfQVNTRVRTLjIwMDAuNC8xLzIwMjUuLi5VU0QuSAEAAADetgEAAwAAAAAAH07aY8Fz3Qgn4r+UxHPdCC5DSVEuTllTRTpJQk0uSVFfQ0hBTkdFX0FSLjk5MC40LzEvMjAyNS4uLlVTRC5IAQAAAN62AQACAAAABDEyNzABCAAAAAUAAAABMQEAAAAKMTgyOTkxMTk2OAMAAAADMTYwAgAAAAQyMDE4BAAAAAEwBwAAAAg0LzEvMjAyNQgAAAAKMTIvMzEvMjAxNAkAAAABMB9O2mPBc90INcXWlMRz3QguQ0lRLk5ZU0U6SUJNLklRX0NIQU5HRV9BUi45OTEuNC8xLzIwMjUuLi5VU0QuSAEAAADetgEAAgAAAAM4MTIBCAAAAAUAAAABMQEAAAAKMTg3NjQzMjg3MgMAAAADMTYwAgAAAAQyMDE4BAAAAAEwBwAAAAg0LzEvMjAyNQgAAAAKMTIvMzEvMjAxNQkAAAABMB9O2mPBc90INcXWlMRz3QguQ0lRLk5ZU0U6SUJNLklRX0NIQU5HRV9BUi45OTIuNC8xLzIwMjUuLi5VU0QuSAEAAADetgEAAgAAAAM3MTIBCAAAAAUAAAABMQEAAAAKMTk0NzE3OTU4MwMAAAADMTYwAgAAAAQyMDE4BAAAAAEwBwAAAAg0LzEvMjAyNQgAAAAKMTIvMzEvMjAxNgkAAAABMB9O2mPB</t>
  </si>
  <si>
    <t>c90INcXWlMRz3QguQ0lRLk5ZU0U6SUJNLklRX0NIQU5HRV9BUi45OTMuNC8xLzIwMjUuLi5VU0QuSAEAAADetgEAAgAAAAQxMjk3AQgAAAAFAAAAATEBAAAACjIwMTcxNjQyNDQDAAAAAzE2MAIAAAAEMjAxOAQAAAABMAcAAAAINC8xLzIwMjUIAAAACjEyLzMxLzIwMTcJAAAAATAfTtpjwXPdCL921pTEc90IOkNJUS5OWVNFOklCTS5JUV9DSEFOR0VfVFJBRElOR19BU1NFVFMuOTk2LjQvMS8yMDI1Li4uVVNELkgBAAAA3rYBAAMAAAAAAB9O2mPBc90Iv3bWlMRz3Qg6Q0lRLk5ZU0U6SUJNLklRX0NIQU5HRV9UUkFESU5HX0FTU0VUUy45OTcuNC8xLzIwMjUuLi5VU0QuSAEAAADetgEAAwAAAAAAH07aY8Fz3Qi/dtaUxHPdCDpDSVEuTllTRTpJQk0uSVFfQ0hBTkdFX1RSQURJTkdfQVNTRVRTLjk5OC40LzEvMjAyNS4uLlVTRC5IAQAAAN62AQADAAAAAAAfTtpjwXPdCDXF1pTEc90IOkNJUS5OWVNFOklCTS5JUV9DSEFOR0VfVFJBRElOR19BU1NFVFMuOTk5LjQvMS8yMDI1Li4uVVNELkgBAAAA3rYBAAMAAAAAAB9O2mPBc90I9JjClMRz3Qg7Q0lRLk5ZU0U6SUJNLklRX0NIQU5HRV9UUkFESU5HX0FTU0VUUy4xMDAwLjQvMS8yMDI1Li4uVVNELkgBAAAA3rYBAAMAAAAAAB9O2mPBc90INcXWlMRz3Qg6Q0lRLk5ZU0U6SUJNLklRX0NIQU5HRV9UUkFESU5HX0FTU0VUUy45OTEuNC8xLzIwMjUuLi5VU0QuSAEA</t>
  </si>
  <si>
    <t>AADetgEAAwAAAAAAH07aY8Fz3Qi/dtaUxHPdCDpDSVEuTllTRTpJQk0uSVFfQ0hBTkdFX1RSQURJTkdfQVNTRVRTLjk5Mi40LzEvMjAyNS4uLlVTRC5IAQAAAN62AQADAAAAAAAfTtpjwXPdCL921pTEc90IOkNJUS5OWVNFOklCTS5JUV9DSEFOR0VfVFJBRElOR19BU1NFVFMuOTkzLjQvMS8yMDI1Li4uVVNELkgBAAAA3rYBAAMAAAAAAB9O2mPBc90Iv3bWlMRz3Qg6Q0lRLk5ZU0U6SUJNLklRX0NIQU5HRV9UUkFESU5HX0FTU0VUUy45OTQuNC8xLzIwMjUuLi5VU0QuSAEAAADetgEAAwAAAAAAH07aY8Fz3Qi/dtaUxHPdCDpDSVEuTllTRTpJQk0uSVFfQ0hBTkdFX1RSQURJTkdfQVNTRVRTLjk5NS40LzEvMjAyNS4uLlVTRC5IAQAAAN62AQADAAAAAAAfTtpjwXPdCL921pTEc90IM0NJUS5OWVNFOklCTS5JUV9PVEhFUl9PUEVSX0FDVC45OTguNC8xLzIwMjUuLi5VU0QuSAEAAADetgEAAgAAAAQzMTY4AQgAAAAFAAAAATEBAAAACy0xOTU4MjgxMDk2AwAAAAMxNjACAAAABDIwNDcEAAAAATAHAAAACDQvMS8yMDI1CAAAAAoxMi8zMS8yMDIyCQAAAAEwH07aY8Fz3Qi/dtaUxHPdCDNDSVEuTllTRTpJQk0uSVFfT1RIRVJfT1BFUl9BQ1QuOTk5LjQvMS8yMDI1Li4uVVNELkgBAAAA3rYBAAIAAAAFLTExMTQBCAAAAAUAAAABMQEAAAALLTE5NTgyODEwOTUDAAAAAzE2MAIAAAAEMjA0NwQAAAABMAcAAAAINC8x</t>
  </si>
  <si>
    <t>LzIwMjUIAAAACjEyLzMxLzIwMjMJAAAAATAfTtpjwXPdCPSYwpTEc90INENJUS5OWVNFOklCTS5JUV9PVEhFUl9PUEVSX0FDVC4xMDAwLjQvMS8yMDI1Li4uVVNELkgBAAAA3rYBAAIAAAADNzgzAQgAAAAFAAAAATEBAAAACy0xOTU4MjgxMDk3AwAAAAMxNjACAAAABDIwNDcEAAAAATAHAAAACDQvMS8yMDI1CAAAAAoxMi8zMS8yMDI0CQAAAAEwH07aY8Fz3Qi/dtaUxHPdCDRDSVEuTllTRTpJQk0uSVFfT1RIRVJfT1BFUl9BQ1QuMjAwMC40LzEvMjAyNS4uLlVTRC5IAQAAAN62AQACAAAAAzc4MwEIAAAABQAAAAExAQAAAAstMTk1ODI4MDYxNQMAAAADMTYwAgAAAAQyMDQ3BAAAAAEwBwAAAAg0LzEvMjAyNQgAAAAKMTIvMzEvMjAyNAkAAAABMB9O2mPBc90IJ+K/lMRz3Qg6Q0lRLk5ZU0U6SUJNLklRX0NIQU5HRV9UUkFESU5HX0FTU0VUUy45OTAuNC8xLzIwMjUuLi5VU0QuSAEAAADetgEAAwAAAAAAH07aY8Fz3Qi/dtaUxHPdCDNDSVEuTllTRTpJQk0uSVFfT1RIRVJfT1BFUl9BQ1QuOTkzLjQvMS8yMDI1Li4uVVNELkgBAAAA3rYBAAIAAAAELTkzMQEIAAAABQAAAAExAQAAAAoyMDE3MTY0MjQ0AwAAAAMxNjACAAAABDIwNDcEAAAAATAHAAAACDQvMS8yMDI1CAAAAAoxMi8zMS8yMDE3CQAAAAEwH07aY8Fz3Qi/dtaUxHPdCDNDSVEuTllTRTpJQk0uSVFfT1RIRVJfT1BFUl9BQ1QuOTk0LjQvMS8yMDI1</t>
  </si>
  <si>
    <t>Li4uVVNELkgBAAAA3rYBAAIAAAADODUyAQgAAAAFAAAAATEBAAAACjIwODE1MDU0MDEDAAAAAzE2MAIAAAAEMjA0NwQAAAABMAcAAAAINC8xLzIwMjUIAAAACjEyLzMxLzIwMTgJAAAAATAfTtpjwXPdCL921pTEc90IM0NJUS5OWVNFOklCTS5JUV9PVEhFUl9PUEVSX0FDVC45OTUuNC8xLzIwMjUuLi5VU0QuSAEAAADetgEAAgAAAAUtMTUyOAEIAAAABQAAAAExAQAAAAstMjExMDc2OTM1NQMAAAADMTYwAgAAAAQyMDQ3BAAAAAEwBwAAAAg0LzEvMjAyNQgAAAAKMTIvMzEvMjAxOQkAAAABMB9O2mPBc90Iv3bWlMRz3QgzQ0lRLk5ZU0U6SUJNLklRX09USEVSX09QRVJfQUNULjk5Ni40LzEvMjAyNS4uLlVTRC5IAQAAAN62AQACAAAABS0zMjA0AQgAAAAFAAAAATEBAAAACy0yMDU5MDczMjAyAwAAAAMxNjACAAAABDIwNDcEAAAAATAHAAAACDQvMS8yMDI1CAAAAAoxMi8zMS8yMDIwCQAAAAEwH07aY8Fz3Qi/dtaUxHPdCDNDSVEuTllTRTpJQk0uSVFfT1RIRVJfT1BFUl9BQ1QuOTk3LjQvMS8yMDI1Li4uVVNELkgBAAAA3rYBAAIAAAAFLTIwMDEBCAAAAAUAAAABMQEAAAALLTIwMDg2NDcxOTgDAAAAAzE2MAIAAAAEMjA0NwQAAAABMAcAAAAINC8xLzIwMjUIAAAACjEyLzMxLzIwMjEJAAAAATAfTtpjwXPdCL921pTEc90IK0NJUS5OWVNFOklCTS5JUV9ET19DRi4xMDAwLjQvMS8yMDI1Li4uVVNELkgBAAAA</t>
  </si>
  <si>
    <t>3rYBAAMAAAAAAB9O2mPBc90Iv3bWlMRz3QgrQ0lRLk5ZU0U6SUJNLklRX0RPX0NGLjIwMDAuNC8xLzIwMjUuLi5VU0QuSAEAAADetgEAAwAAAAAAH07aY8Fz3Qgn4r+UxHPdCDNDSVEuTllTRTpJQk0uSVFfT1RIRVJfT1BFUl9BQ1QuOTkwLjQvMS8yMDI1Li4uVVNELkgBAAAA3rYBAAIAAAAELTIzOAEIAAAABQAAAAExAQAAAAoxODI5OTExOTY4AwAAAAMxNjACAAAABDIwNDcEAAAAATAHAAAACDQvMS8yMDI1CAAAAAoxMi8zMS8yMDE0CQAAAAEwH07aY8Fz3Qi/dtaUxHPdCDNDSVEuTllTRTpJQk0uSVFfT1RIRVJfT1BFUl9BQ1QuOTkxLjQvMS8yMDI1Li4uVVNELkgBAAAA3rYBAAIAAAAEMTM4NgEIAAAABQAAAAExAQAAAAoxODc2NDMyODcyAwAAAAMxNjACAAAABDIwNDcEAAAAATAHAAAACDQvMS8yMDI1CAAAAAoxMi8zMS8yMDE1CQAAAAEwH07aY8Fz3Qi/dtaUxHPdCDNDSVEuTllTRTpJQk0uSVFfT1RIRVJfT1BFUl9BQ1QuOTkyLjQvMS8yMDI1Li4uVVNELkgBAAAA3rYBAAIAAAAFLTExMzIBCAAAAAUAAAABMQEAAAAKMTk0NzE3OTU4MwMAAAADMTYwAgAAAAQyMDQ3BAAAAAEwBwAAAAg0LzEvMjAyNQgAAAAKMTIvMzEvMjAxNgkAAAABMB9O2mPBc90Iv3bWlMRz3QgqQ0lRLk5ZU0U6SUJNLklRX0RPX0NGLjk5NS40LzEvMjAyNS4uLlVTRC5IAQAAAN62AQADAAAAAAAfTtpjwXPdCL921pTEc90IKkNJ</t>
  </si>
  <si>
    <t>US5OWVNFOklCTS5JUV9ET19DRi45OTYuNC8xLzIwMjUuLi5VU0QuSAEAAADetgEAAwAAAAAAH07aY8Fz3Qi/dtaUxHPdCCpDSVEuTllTRTpJQk0uSVFfRE9fQ0YuOTk3LjQvMS8yMDI1Li4uVVNELkgBAAAA3rYBAAMAAAAAAB9O2mPBc90Iv3bWlMRz3QgqQ0lRLk5ZU0U6SUJNLklRX0RPX0NGLjk5OC40LzEvMjAyNS4uLlVTRC5IAQAAAN62AQADAAAAAAAfTtpjwXPdCL921pTEc90IKkNJUS5OWVNFOklCTS5JUV9ET19DRi45OTkuNC8xLzIwMjUuLi5VU0QuSAEAAADetgEAAwAAAAAAH07aY8Fz3Qj0mMKUxHPdCCpDSVEuTllTRTpJQk0uSVFfRE9fQ0YuOTkwLjQvMS8yMDI1Li4uVVNELkgBAAAA3rYBAAIAAAAEMzM4MQEIAAAABQAAAAExAQAAAAoxODI5OTExOTY4AwAAAAMxNjACAAAABDIwODEEAAAAATAHAAAACDQvMS8yMDI1CAAAAAoxMi8zMS8yMDE0CQAAAAEwH07aY8Fz3Qi/dtaUxHPdCCpDSVEuTllTRTpJQk0uSVFfRE9fQ0YuOTkxLjQvMS8yMDI1Li4uVVNELkgBAAAA3rYBAAIAAAACNzEBCAAAAAUAAAABMQEAAAAKMTg3NjQzMjg3MgMAAAADMTYwAgAAAAQyMDgxBAAAAAEwBwAAAAg0LzEvMjAyNQgAAAAKMTIvMzEvMjAxNQkAAAABMB9O2mPBc90Iv3bWlMRz3QgqQ0lRLk5ZU0U6SUJNLklRX0RPX0NGLjk5Mi40LzEvMjAyNS4uLlVTRC5IAQAAAN62AQADAAAAAAAfTtpjwXPdCL921pTEc90IKkNJ</t>
  </si>
  <si>
    <t>US5OWVNFOklCTS5JUV9ET19DRi45OTMuNC8xLzIwMjUuLi5VU0QuSAEAAADetgEAAwAAAAAAH07aY8Fz3Qi/dtaUxHPdCCpDSVEuTllTRTpJQk0uSVFfRE9fQ0YuOTk0LjQvMS8yMDI1Li4uVVNELkgBAAAA3rYBAAMAAAAAAB9O2mPBc90Iv3bWlMRz3Qg2Q0lRLk5ZU0U6SUJNLklRX1BST1ZfQkFEX0RFQlRTX0NGLjk5Ny40LzEvMjAyNS4uLlVTRC5IAQAAAN62AQADAAAAAAAfTtpjwXPdCL921pTEc90INkNJUS5OWVNFOklCTS5JUV9QUk9WX0JBRF9ERUJUU19DRi45OTguNC8xLzIwMjUuLi5VU0QuSAEAAADetgEAAwAAAAAAH07aY8Fz3Qi/dtaUxHPdCDZDSVEuTllTRTpJQk0uSVFfUFJPVl9CQURfREVCVFNfQ0YuOTk5LjQvMS8yMDI1Li4uVVNELkgBAAAA3rYBAAMAAAAAAB9O2mPBc90I9JjClMRz3Qg3Q0lRLk5ZU0U6SUJNLklRX1BST1ZfQkFEX0RFQlRTX0NGLjEwMDAuNC8xLzIwMjUuLi5VU0QuSAEAAADetgEAAwAAAAAAH07aY8Fz3Qi/dtaUxHPdCDdDSVEuTllTRTpJQk0uSVFfUFJPVl9CQURfREVCVFNfQ0YuMjAwMC40LzEvMjAyNS4uLlVTRC5IAQAAAN62AQADAAAAAAAfTtpjwXPdCCfiv5TEc90INkNJUS5OWVNFOklCTS5JUV9QUk9WX0JBRF9ERUJUU19DRi45OTIuNC8xLzIwMjUuLi5VU0QuSAEAAADetgEAAwAAAAAAH07aY8Fz3Qi/dtaUxHPdCDZDSVEuTllTRTpJQk0uSVFfUFJPVl9CQURf</t>
  </si>
  <si>
    <t>REVCVFNfQ0YuOTkzLjQvMS8yMDI1Li4uVVNELkgBAAAA3rYBAAMAAAAAAB9O2mPBc90ItvDVlMRz3Qg2Q0lRLk5ZU0U6SUJNLklRX1BST1ZfQkFEX0RFQlRTX0NGLjk5NC40LzEvMjAyNS4uLlVTRC5IAQAAAN62AQADAAAAAAAfTtpjwXPdCLbw1ZTEc90INkNJUS5OWVNFOklCTS5JUV9QUk9WX0JBRF9ERUJUU19DRi45OTUuNC8xLzIwMjUuLi5VU0QuSAEAAADetgEAAwAAAAAAH07aY8Fz3Qi28NWUxHPdCDZDSVEuTllTRTpJQk0uSVFfUFJPVl9CQURfREVCVFNfQ0YuOTk2LjQvMS8yMDI1Li4uVVNELkgBAAAA3rYBAAMAAAAAAB9O2mPBc90ItvDVlMRz3Qg4Q0lRLk5ZU0U6SUJNLklRX1RBWF9CRU5FRklUX09QVElPTlMuOTk5LjQvMS8yMDI1Li4uVVNELkgBAAAA3rYBAAMAAAAAAB9O2mPBc90I9JjClMRz3Qg5Q0lRLk5ZU0U6SUJNLklRX1RBWF9CRU5FRklUX09QVElPTlMuMTAwMC40LzEvMjAyNS4uLlVTRC5IAQAAAN62AQADAAAAAAAfTtpjwXPdCLbw1ZTEc90IOUNJUS5OWVNFOklCTS5JUV9UQVhfQkVORUZJVF9PUFRJT05TLjIwMDAuNC8xLzIwMjUuLi5VU0QuSAEAAADetgEAAwAAAAAAH07aY8Fz3Qgn4r+UxHPdCDZDSVEuTllTRTpJQk0uSVFfUFJPVl9CQURfREVCVFNfQ0YuOTkwLjQvMS8yMDI1Li4uVVNELkgBAAAA3rYBAAMAAAAAAB9O2mPBc90ItvDVlMRz3Qg2Q0lRLk5ZU0U6SUJNLklRX1BS</t>
  </si>
  <si>
    <t>T1ZfQkFEX0RFQlRTX0NGLjk5MS40LzEvMjAyNS4uLlVTRC5IAQAAAN62AQADAAAAAAAfTtpjwXPdCLbw1ZTEc90IOENJUS5OWVNFOklCTS5JUV9UQVhfQkVORUZJVF9PUFRJT05TLjk5NC40LzEvMjAyNS4uLlVTRC5IAQAAAN62AQADAAAAAAAfTtpjwXPdCLbw1ZTEc90IOENJUS5OWVNFOklCTS5JUV9UQVhfQkVORUZJVF9PUFRJT05TLjk5NS40LzEvMjAyNS4uLlVTRC5IAQAAAN62AQADAAAAAAAfTtpjwXPdCLbw1ZTEc90IOENJUS5OWVNFOklCTS5JUV9UQVhfQkVORUZJVF9PUFRJT05TLjk5Ni40LzEvMjAyNS4uLlVTRC5IAQAAAN62AQADAAAAAAAfTtpjwXPdCLbw1ZTEc90IOENJUS5OWVNFOklCTS5JUV9UQVhfQkVORUZJVF9PUFRJT05TLjk5Ny40LzEvMjAyNS4uLlVTRC5IAQAAAN62AQADAAAAAAAfTtpjwXPdCLbw1ZTEc90IOENJUS5OWVNFOklCTS5JUV9UQVhfQkVORUZJVF9PUFRJT05TLjk5OC40LzEvMjAyNS4uLlVTRC5IAQAAAN62AQADAAAAAAAfTtpjwXPdCLbw1ZTEc90INENJUS5OWVNFOklCTS5JUV9TVE9DS19CQVNFRF9DRi4yMDAwLjQvMS8yMDI1Li4uVVNELkgBAAAA3rYBAAIAAAAEMTMxMQEIAAAABQAAAAExAQAAAAstMTk1ODI4MDYxNQMAAAADMTYwAgAAAAQyMTI3BAAAAAEwBwAAAAg0LzEvMjAyNQgAAAAKMTIvMzEvMjAyNAkAAAABMB9O2mPBc90IJ+K/lMRz3Qg4Q0lRLk5ZU0U6</t>
  </si>
  <si>
    <t>SUJNLklRX1RBWF9CRU5FRklUX09QVElPTlMuOTkwLjQvMS8yMDI1Li4uVVNELkgBAAAA3rYBAAMAAAAAAB9O2mPBc90ItvDVlMRz3Qg4Q0lRLk5ZU0U6SUJNLklRX1RBWF9CRU5FRklUX09QVElPTlMuOTkxLjQvMS8yMDI1Li4uVVNELkgBAAAA3rYBAAMAAAAAAB9O2mPBc90ItvDVlMRz3Qg4Q0lRLk5ZU0U6SUJNLklRX1RBWF9CRU5FRklUX09QVElPTlMuOTkyLjQvMS8yMDI1Li4uVVNELkgBAAAA3rYBAAMAAAAAAB9O2mPBc90ItvDVlMRz3Qg4Q0lRLk5ZU0U6SUJNLklRX1RBWF9CRU5FRklUX09QVElPTlMuOTkzLjQvMS8yMDI1Li4uVVNELkgBAAAA3rYBAAMAAAAAAB9O2mPBc90ItvDVlMRz3QgzQ0lRLk5ZU0U6SUJNLklRX1NUT0NLX0JBU0VEX0NGLjk5Ni40LzEvMjAyNS4uLlVTRC5IAQAAAN62AQACAAAAAzkzNwEIAAAABQAAAAExAQAAAAstMjA1OTA3MzIwMgMAAAADMTYwAgAAAAQyMTI3BAAAAAEwBwAAAAg0LzEvMjAyNQgAAAAKMTIvMzEvMjAyMAkAAAABMB9O2mPBc90ItvDVlMRz3QgzQ0lRLk5ZU0U6SUJNLklRX1NUT0NLX0JBU0VEX0NGLjk5Ny40LzEvMjAyNS4uLlVTRC5IAQAAAN62AQACAAAAAzk4MgEIAAAABQAAAAExAQAAAAstMjAwODY0NzE5OAMAAAADMTYwAgAAAAQyMTI3BAAAAAEwBwAAAAg0LzEvMjAyNQgAAAAKMTIvMzEvMjAyMQkAAAABMB9O2mPBc90ItvDVlMRz3QgzQ0lRLk5Z</t>
  </si>
  <si>
    <t>U0U6SUJNLklRX1NUT0NLX0JBU0VEX0NGLjk5OC40LzEvMjAyNS4uLlVTRC5IAQAAAN62AQACAAAAAzk4NwEIAAAABQAAAAExAQAAAAstMTk1ODI4MTA5NgMAAAADMTYwAgAAAAQyMTI3BAAAAAEwBwAAAAg0LzEvMjAyNQgAAAAKMTIvMzEvMjAyMgkAAAABMB9O2mPBc90ItvDVlMRz3QgzQ0lRLk5ZU0U6SUJNLklRX1NUT0NLX0JBU0VEX0NGLjk5OS40LzEvMjAyNS4uLlVTRC5IAQAAAN62AQACAAAABDExMzMBCAAAAAUAAAABMQEAAAALLTE5NTgyODEwOTUDAAAAAzE2MAIAAAAEMjEyNwQAAAABMAcAAAAINC8xLzIwMjUIAAAACjEyLzMxLzIwMjMJAAAAATAfTtpjwXPdCPSYwpTEc90INENJUS5OWVNFOklCTS5JUV9TVE9DS19CQVNFRF9DRi4xMDAwLjQvMS8yMDI1Li4uVVNELkgBAAAA3rYBAAIAAAAEMTMxMQEIAAAABQAAAAExAQAAAAstMTk1ODI4MTA5NwMAAAADMTYwAgAAAAQyMTI3BAAAAAEwBwAAAAg0LzEvMjAyNQgAAAAKMTIvMzEvMjAyNAkAAAABMB9O2mPBc90ItvDVlMRz3QgzQ0lRLk5ZU0U6SUJNLklRX1NUT0NLX0JBU0VEX0NGLjk5MS40LzEvMjAyNS4uLlVTRC5IAQAAAN62AQACAAAAAzQ2OAEIAAAABQAAAAExAQAAAAoxODc2NDMyODcyAwAAAAMxNjACAAAABDIxMjcEAAAAATAHAAAACDQvMS8yMDI1CAAAAAoxMi8zMS8yMDE1CQAAAAEwH07aY8Fz3Qi28NWUxHPdCDNDSVEuTllTRTpJQk0u</t>
  </si>
  <si>
    <t>SVFfU1RPQ0tfQkFTRURfQ0YuOTkyLjQvMS8yMDI1Li4uVVNELkgBAAAA3rYBAAIAAAADNTQ0AQgAAAAFAAAAATEBAAAACjE5NDcxNzk1ODMDAAAAAzE2MAIAAAAEMjEyNwQAAAABMAcAAAAINC8xLzIwMjUIAAAACjEyLzMxLzIwMTYJAAAAATAfTtpjwXPdCLbw1ZTEc90IM0NJUS5OWVNFOklCTS5JUV9TVE9DS19CQVNFRF9DRi45OTMuNC8xLzIwMjUuLi5VU0QuSAEAAADetgEAAgAAAAM1MzQBCAAAAAUAAAABMQEAAAAKMjAxNzE2NDI0NAMAAAADMTYwAgAAAAQyMTI3BAAAAAEwBwAAAAg0LzEvMjAyNQgAAAAKMTIvMzEvMjAxNwkAAAABMB9O2mPBc90ItvDVlMRz3QgzQ0lRLk5ZU0U6SUJNLklRX1NUT0NLX0JBU0VEX0NGLjk5NC40LzEvMjAyNS4uLlVTRC5IAQAAAN62AQACAAAAAzUxMAEIAAAABQAAAAExAQAAAAoyMDgxNTA1NDAxAwAAAAMxNjACAAAABDIxMjcEAAAAATAHAAAACDQvMS8yMDI1CAAAAAoxMi8zMS8yMDE4CQAAAAEwH07aY8Fz3Qi28NWUxHPdCDNDSVEuTllTRTpJQk0uSVFfU1RPQ0tfQkFTRURfQ0YuOTk1LjQvMS8yMDI1Li4uVVNELkgBAAAA3rYBAAIAAAADNjc5AQgAAAAFAAAAATEBAAAACy0yMTEwNzY5MzU1AwAAAAMxNjACAAAABDIxMjcEAAAAATAHAAAACDQvMS8yMDI1CAAAAAoxMi8zMS8yMDE5CQAAAAEwH07aY8Fz3Qi28NWUxHPdCDJDSVEuTllTRTpJQk0uSVFfSU5DX0VRVUlU</t>
  </si>
  <si>
    <t>WV9DRi45OTguNC8xLzIwMjUuLi5VU0QuSAEAAADetgEAAwAAAAAAH07aY8Fz3Qi28NWUxHPdCDJDSVEuTllTRTpJQk0uSVFfSU5DX0VRVUlUWV9DRi45OTkuNC8xLzIwMjUuLi5VU0QuSAEAAADetgEAAwAAAAAAH07aY8Fz3Qj0mMKUxHPdCDNDSVEuTllTRTpJQk0uSVFfSU5DX0VRVUlUWV9DRi4xMDAwLjQvMS8yMDI1Li4uVVNELkgBAAAA3rYBAAMAAAAAAB9O2mPBc90ItvDVlMRz3QgzQ0lRLk5ZU0U6SUJNLklRX0lOQ19FUVVJVFlfQ0YuMjAwMC40LzEvMjAyNS4uLlVTRC5IAQAAAN62AQADAAAAAAAfTtpjwXPdCCfiv5TEc90IM0NJUS5OWVNFOklCTS5JUV9TVE9DS19CQVNFRF9DRi45OTAuNC8xLzIwMjUuLi5VU0QuSAEAAADetgEAAgAAAAM1MTIBCAAAAAUAAAABMQEAAAAKMTgyOTkxMTk2OAMAAAADMTYwAgAAAAQyMTI3BAAAAAEwBwAAAAg0LzEvMjAyNQgAAAAKMTIvMzEvMjAxNAkAAAABMB9O2mPBc90ItvDVlMRz3QgyQ0lRLk5ZU0U6SUJNLklRX0lOQ19FUVVJVFlfQ0YuOTkzLjQvMS8yMDI1Li4uVVNELkgBAAAA3rYBAAMAAAAAAB9O2mPBc90ItvDVlMRz3QgyQ0lRLk5ZU0U6SUJNLklRX0lOQ19FUVVJVFlfQ0YuOTk0LjQvMS8yMDI1Li4uVVNELkgBAAAA3rYBAAMAAAAAAB9O2mPBc90ItvDVlMRz3QgyQ0lRLk5ZU0U6SUJNLklRX0lOQ19FUVVJVFlfQ0YuOTk1LjQvMS8yMDI1Li4uVVNELkgB</t>
  </si>
  <si>
    <t>AAAA3rYBAAMAAAAAAB9O2mPBc90ItvDVlMRz3QgyQ0lRLk5ZU0U6SUJNLklRX0lOQ19FUVVJVFlfQ0YuOTk2LjQvMS8yMDI1Li4uVVNELkgBAAAA3rYBAAMAAAAAAB9O2mPBc90ItvDVlMRz3QgyQ0lRLk5ZU0U6SUJNLklRX0lOQ19FUVVJVFlfQ0YuOTk3LjQvMS8yMDI1Li4uVVNELkgBAAAA3rYBAAMAAAAAAB9O2mPBc90ItvDVlMRz3Qg0Q0lRLk5ZU0U6SUJNLklRX0NSRURJVF9MT1NTX0NGLjEwMDAuNC8xLzIwMjUuLi5VU0QuSAEAAADetgEAAwAAAAAAH07aY8Fz3Qi28NWUxHPdCDRDSVEuTllTRTpJQk0uSVFfQ1JFRElUX0xPU1NfQ0YuMjAwMC40LzEvMjAyNS4uLlVTRC5IAQAAAN62AQADAAAAAAAfTtpjwXPdCCfiv5TEc90IMkNJUS5OWVNFOklCTS5JUV9JTkNfRVFVSVRZX0NGLjk5MC40LzEvMjAyNS4uLlVTRC5IAQAAAN62AQADAAAAAAAfTtpjwXPdCLbw1ZTEc90IMkNJUS5OWVNFOklCTS5JUV9JTkNfRVFVSVRZX0NGLjk5MS40LzEvMjAyNS4uLlVTRC5IAQAAAN62AQADAAAAAAAfTtpjwXPdCLbw1ZTEc90IMkNJUS5OWVNFOklCTS5JUV9JTkNfRVFVSVRZX0NGLjk5Mi40LzEvMjAyNS4uLlVTRC5IAQAAAN62AQADAAAAAAAfTtpjwXPdCLbw1ZTEc90IM0NJUS5OWVNFOklCTS5JUV9DUkVESVRfTE9TU19DRi45OTUuNC8xLzIwMjUuLi5VU0QuSAEAAADetgEAAwAAAAAAH07aY8Fz3Qi28NWUxHPd</t>
  </si>
  <si>
    <t>CDNDSVEuTllTRTpJQk0uSVFfQ1JFRElUX0xPU1NfQ0YuOTk2LjQvMS8yMDI1Li4uVVNELkgBAAAA3rYBAAMAAAAAAB9O2mPBc90ItvDVlMRz3QgzQ0lRLk5ZU0U6SUJNLklRX0NSRURJVF9MT1NTX0NGLjk5Ny40LzEvMjAyNS4uLlVTRC5IAQAAAN62AQADAAAAAAAfTtpjwXPdCLbw1ZTEc90IM0NJUS5OWVNFOklCTS5JUV9DUkVESVRfTE9TU19DRi45OTguNC8xLzIwMjUuLi5VU0QuSAEAAADetgEAAwAAAAAAH07aY8Fz3Qi28NWUxHPdCDNDSVEuTllTRTpJQk0uSVFfQ1JFRElUX0xPU1NfQ0YuOTk5LjQvMS8yMDI1Li4uVVNELkgBAAAA3rYBAAMAAAAAAB9O2mPBc90I9JjClMRz3QgzQ0lRLk5ZU0U6SUJNLklRX0NSRURJVF9MT1NTX0NGLjk5MC40LzEvMjAyNS4uLlVTRC5IAQAAAN62AQADAAAAAAAfTtpjwXPdCLbw1ZTEc90IM0NJUS5OWVNFOklCTS5JUV9DUkVESVRfTE9TU19DRi45OTEuNC8xLzIwMjUuLi5VU0QuSAEAAADetgEAAwAAAAAAH07aY8Fz3Qi28NWUxHPdCDNDSVEuTllTRTpJQk0uSVFfQ1JFRElUX0xPU1NfQ0YuOTkyLjQvMS8yMDI1Li4uVVNELkgBAAAA3rYBAAMAAAAAAB9O2mPBc90ItvDVlMRz3QgzQ0lRLk5ZU0U6SUJNLklRX0NSRURJVF9MT1NTX0NGLjk5My40LzEvMjAyNS4uLlVTRC5IAQAAAN62AQADAAAAAAAfTtpjwXPdCLbw1ZTEc90IM0NJUS5OWVNFOklCTS5JUV9DUkVESVRf</t>
  </si>
  <si>
    <t>TE9TU19DRi45OTQuNC8xLzIwMjUuLi5VU0QuSAEAAADetgEAAwAAAAAAH07aY8Fz3Qi28NWUxHPdCC1DSVEuTllTRTpJQk0uSVFfTE9BTlNfQ0YuOTk3LjQvMS8yMDI1Li4uVVNELkgBAAAA3rYBAAMAAAAAAB9O2mPBc90ItvDVlMRz3QgtQ0lRLk5ZU0U6SUJNLklRX0xPQU5TX0NGLjk5OC40LzEvMjAyNS4uLlVTRC5IAQAAAN62AQADAAAAAAAfTtpjwXPdCLbw1ZTEc90ILUNJUS5OWVNFOklCTS5JUV9MT0FOU19DRi45OTkuNC8xLzIwMjUuLi5VU0QuSAEAAADetgEAAwAAAAAAH07aY8Fz3Qj0mMKUxHPdCC5DSVEuTllTRTpJQk0uSVFfTE9BTlNfQ0YuMTAwMC40LzEvMjAyNS4uLlVTRC5IAQAAAN62AQADAAAAAAAfTtpjwXPdCLbw1ZTEc90ILkNJUS5OWVNFOklCTS5JUV9MT0FOU19DRi4yMDAwLjQvMS8yMDI1Li4uVVNELkgBAAAA3rYBAAMAAAAAAB9O2mPBc90IJ+K/lMRz3QgtQ0lRLk5ZU0U6SUJNLklRX0xPQU5TX0NGLjk5Mi40LzEvMjAyNS4uLlVTRC5IAQAAAN62AQADAAAAAAAfTtpjwXPdCLbw1ZTEc90ILUNJUS5OWVNFOklCTS5JUV9MT0FOU19DRi45OTMuNC8xLzIwMjUuLi5VU0QuSAEAAADetgEAAwAAAAAAH07aY8Fz3QhkotWUxHPdCC1DSVEuTllTRTpJQk0uSVFfTE9BTlNfQ0YuOTk0LjQvMS8yMDI1Li4uVVNELkgBAAAA3rYBAAMAAAAAAB9O2mPBc90IZKLVlMRz3QgtQ0lRLk5ZU0U6SUJN</t>
  </si>
  <si>
    <t>LklRX0xPQU5TX0NGLjk5NS40LzEvMjAyNS4uLlVTRC5IAQAAAN62AQADAAAAAAAfTtpjwXPdCGSi1ZTEc90ILUNJUS5OWVNFOklCTS5JUV9MT0FOU19DRi45OTYuNC8xLzIwMjUuLi5VU0QuSAEAAADetgEAAwAAAAAAH07aY8Fz3Qi28NWUxHPdCDdDSVEuTllTRTpJQk0uSVFfQVNTRVRfV1JJVEVET1dOX0NGLjk5OS40LzEvMjAyNS4uLlVTRC5IAQAAAN62AQADAAAAAAAfTtpjwXPdCPSYwpTEc90IOENJUS5OWVNFOklCTS5JUV9BU1NFVF9XUklURURPV05fQ0YuMTAwMC40LzEvMjAyNS4uLlVTRC5IAQAAAN62AQADAAAAAAAfTtpjwXPdCLbw1ZTEc90IOENJUS5OWVNFOklCTS5JUV9BU1NFVF9XUklURURPV05fQ0YuMjAwMC40LzEvMjAyNS4uLlVTRC5IAQAAAN62AQADAAAAAAAfTtpjwXPdCCfiv5TEc90ILUNJUS5OWVNFOklCTS5JUV9MT0FOU19DRi45OTAuNC8xLzIwMjUuLi5VU0QuSAEAAADetgEAAwAAAAAAH07aY8Fz3QhkotWUxHPdCC1DSVEuTllTRTpJQk0uSVFfTE9BTlNfQ0YuOTkxLjQvMS8yMDI1Li4uVVNELkgBAAAA3rYBAAMAAAAAAB9O2mPBc90IZKLVlMRz3Qg3Q0lRLk5ZU0U6SUJNLklRX0FTU0VUX1dSSVRFRE9XTl9DRi45OTQuNC8xLzIwMjUuLi5VU0QuSAEAAADetgEAAwAAAAAAH07aY8Fz3QhkotWUxHPdCDdDSVEuTllTRTpJQk0uSVFfQVNTRVRfV1JJVEVET1dOX0NGLjk5NS40LzEv</t>
  </si>
  <si>
    <t>MjAyNS4uLlVTRC5IAQAAAN62AQADAAAAAAAfTtpjwXPdCGSi1ZTEc90IN0NJUS5OWVNFOklCTS5JUV9BU1NFVF9XUklURURPV05fQ0YuOTk2LjQvMS8yMDI1Li4uVVNELkgBAAAA3rYBAAMAAAAAAB9O2mPBc90IZKLVlMRz3Qg3Q0lRLk5ZU0U6SUJNLklRX0FTU0VUX1dSSVRFRE9XTl9DRi45OTcuNC8xLzIwMjUuLi5VU0QuSAEAAADetgEAAwAAAAAAH07aY8Fz3QhkotWUxHPdCDdDSVEuTllTRTpJQk0uSVFfQVNTRVRfV1JJVEVET1dOX0NGLjk5OC40LzEvMjAyNS4uLlVTRC5IAQAAAN62AQADAAAAAAAfTtpjwXPdCGSi1ZTEc90INENJUS5OWVNFOklCTS5JUV9HQUlOX0lOVkVTVF9DRi4yMDAwLjQvMS8yMDI1Li4uVVNELkgBAAAA3rYBAAMAAAAAAB9O2mPBc90IJ+K/lMRz3Qg3Q0lRLk5ZU0U6SUJNLklRX0FTU0VUX1dSSVRFRE9XTl9DRi45OTAuNC8xLzIwMjUuLi5VU0QuSAEAAADetgEAAwAAAAAAH07aY8Fz3QhkotWUxHPdCDdDSVEuTllTRTpJQk0uSVFfQVNTRVRfV1JJVEVET1dOX0NGLjk5MS40LzEvMjAyNS4uLlVTRC5IAQAAAN62AQADAAAAAAAfTtpjwXPdCGSi1ZTEc90IN0NJUS5OWVNFOklCTS5JUV9BU1NFVF9XUklURURPV05fQ0YuOTkyLjQvMS8yMDI1Li4uVVNELkgBAAAA3rYBAAMAAAAAAB9O2mPBc90IZKLVlMRz3Qg3Q0lRLk5ZU0U6SUJNLklRX0FTU0VUX1dSSVRFRE9XTl9DRi45OTMu</t>
  </si>
  <si>
    <t>NC8xLzIwMjUuLi5VU0QuSAEAAADetgEAAwAAAAAAH07aY8Fz3QhkotWUxHPdCDNDSVEuTllTRTpJQk0uSVFfR0FJTl9JTlZFU1RfQ0YuOTk2LjQvMS8yMDI1Li4uVVNELkgBAAAA3rYBAAMAAAAAAB9O2mPBc90IZKLVlMRz3QgzQ0lRLk5ZU0U6SUJNLklRX0dBSU5fSU5WRVNUX0NGLjk5Ny40LzEvMjAyNS4uLlVTRC5IAQAAAN62AQADAAAAAAAfTtpjwXPdCGSi1ZTEc90IM0NJUS5OWVNFOklCTS5JUV9HQUlOX0lOVkVTVF9DRi45OTguNC8xLzIwMjUuLi5VU0QuSAEAAADetgEAAwAAAAAAH07aY8Fz3QhkotWUxHPdCDNDSVEuTllTRTpJQk0uSVFfR0FJTl9JTlZFU1RfQ0YuOTk5LjQvMS8yMDI1Li4uVVNELkgBAAAA3rYBAAMAAAAAAB9O2mPBc90I9JjClMRz3Qg0Q0lRLk5ZU0U6SUJNLklRX0dBSU5fSU5WRVNUX0NGLjEwMDAuNC8xLzIwMjUuLi5VU0QuSAEAAADetgEAAwAAAAAAH07aY8Fz3QhkotWUxHPdCDNDSVEuTllTRTpJQk0uSVFfR0FJTl9JTlZFU1RfQ0YuOTkxLjQvMS8yMDI1Li4uVVNELkgBAAAA3rYBAAMAAAAAAB9O2mPBc90IZKLVlMRz3QgzQ0lRLk5ZU0U6SUJNLklRX0dBSU5fSU5WRVNUX0NGLjk5Mi40LzEvMjAyNS4uLlVTRC5IAQAAAN62AQADAAAAAAAfTtpjwXPdCGSi1ZTEc90IM0NJUS5OWVNFOklCTS5JUV9HQUlOX0lOVkVTVF9DRi45OTMuNC8xLzIwMjUuLi5VU0QuSAEAAADetgEA</t>
  </si>
  <si>
    <t>AwAAAAAAH07aY8Fz3QhkotWUxHPdCDNDSVEuTllTRTpJQk0uSVFfR0FJTl9JTlZFU1RfQ0YuOTk0LjQvMS8yMDI1Li4uVVNELkgBAAAA3rYBAAMAAAAAAB9O2mPBc90IZKLVlMRz3QgzQ0lRLk5ZU0U6SUJNLklRX0dBSU5fSU5WRVNUX0NGLjk5NS40LzEvMjAyNS4uLlVTRC5IAQAAAN62AQADAAAAAAAfTtpjwXPdCGSi1ZTEc90IM0NJUS5OWVNFOklCTS5JUV9HQUlOX0FTU0VUU19DRi45OTguNC8xLzIwMjUuLi5VU0QuSAEAAADetgEAAgAAAAQtMzYzAQgAAAAFAAAAATEBAAAACy0xOTU4MjgxMDk2AwAAAAMxNjACAAAABDIwMjYEAAAAATAHAAAACDQvMS8yMDI1CAAAAAoxMi8zMS8yMDIyCQAAAAEwH07aY8Fz3QhkotWUxHPdCDNDSVEuTllTRTpJQk0uSVFfR0FJTl9BU1NFVFNfQ0YuOTk5LjQvMS8yMDI1Li4uVVNELkgBAAAA3rYBAAIAAAAELTE3MAEIAAAABQAAAAExAQAAAAstMTk1ODI4MTA5NQMAAAADMTYwAgAAAAQyMDI2BAAAAAEwBwAAAAg0LzEvMjAyNQgAAAAKMTIvMzEvMjAyMwkAAAABMB9O2mPBc90I9JjClMRz3Qg0Q0lRLk5ZU0U6SUJNLklRX0dBSU5fQVNTRVRTX0NGLjEwMDAuNC8xLzIwMjUuLi5VU0QuSAEAAADetgEAAgAAAAQtNjUyAQgAAAAFAAAAATEBAAAACy0xOTU4MjgxMDk3AwAAAAMxNjACAAAABDIwMjYEAAAAATAHAAAACDQvMS8yMDI1CAAAAAoxMi8zMS8yMDI0CQAAAAEwH07a</t>
  </si>
  <si>
    <t>Y8Fz3QhkotWUxHPdCDRDSVEuTllTRTpJQk0uSVFfR0FJTl9BU1NFVFNfQ0YuMjAwMC40LzEvMjAyNS4uLlVTRC5IAQAAAN62AQACAAAABC02NTIBCAAAAAUAAAABMQEAAAALLTE5NTgyODA2MTUDAAAAAzE2MAIAAAAEMjAyNgQAAAABMAcAAAAINC8xLzIwMjUIAAAACjEyLzMxLzIwMjQJAAAAATAfTtpjwXPdCCfiv5TEc90IM0NJUS5OWVNFOklCTS5JUV9HQUlOX0lOVkVTVF9DRi45OTAuNC8xLzIwMjUuLi5VU0QuSAEAAADetgEAAwAAAAAAH07aY8Fz3QhkotWUxHPdCDNDSVEuTllTRTpJQk0uSVFfR0FJTl9BU1NFVFNfQ0YuOTkzLjQvMS8yMDI1Li4uVVNELkgBAAAA3rYBAAIAAAACMTQBCAAAAAUAAAABMQEAAAAKMjAxNzE2NDI0NAMAAAADMTYwAgAAAAQyMDI2BAAAAAEwBwAAAAg0LzEvMjAyNQgAAAAKMTIvMzEvMjAxNwkAAAABMB9O2mPBc90IZKLVlMRz3QgzQ0lRLk5ZU0U6SUJNLklRX0dBSU5fQVNTRVRTX0NGLjk5NC40LzEvMjAyNS4uLlVTRC5IAQAAAN62AQACAAAAAzEyMwEIAAAABQAAAAExAQAAAAoyMDgxNTA1NDAxAwAAAAMxNjACAAAABDIwMjYEAAAAATAHAAAACDQvMS8yMDI1CAAAAAoxMi8zMS8yMDE4CQAAAAEwH07aY8Fz3QhkotWUxHPdCDNDSVEuTllTRTpJQk0uSVFfR0FJTl9BU1NFVFNfQ0YuOTk1LjQvMS8yMDI1Li4uVVNELkgBAAAA3rYBAAIAAAAFLTEwOTYBCAAAAAUAAAABMQEA</t>
  </si>
  <si>
    <t>AAALLTIxMTA3NjkzNTUDAAAAAzE2MAIAAAAEMjAyNgQAAAABMAcAAAAINC8xLzIwMjUIAAAACjEyLzMxLzIwMTkJAAAAATAfTtpjwXPdCGSi1ZTEc90IM0NJUS5OWVNFOklCTS5JUV9HQUlOX0FTU0VUU19DRi45OTYuNC8xLzIwMjUuLi5VU0QuSAEAAADetgEAAgAAAAMtNzABCAAAAAUAAAABMQEAAAALLTIwNTkwNzMyMDIDAAAAAzE2MAIAAAAEMjAyNgQAAAABMAcAAAAINC8xLzIwMjUIAAAACjEyLzMxLzIwMjAJAAAAATAfTtpjwXPdCGSi1ZTEc90IM0NJUS5OWVNFOklCTS5JUV9HQUlOX0FTU0VUU19DRi45OTcuNC8xLzIwMjUuLi5VU0QuSAEAAADetgEAAgAAAAQtMTM2AQgAAAAFAAAAATEBAAAACy0yMDA4NjQ3MTk4AwAAAAMxNjACAAAABDIwMjYEAAAAATAHAAAACDQvMS8yMDI1CAAAAAoxMi8zMS8yMDIxCQAAAAEwH07aY8Fz3QhkotWUxHPdCDpDSVEuTllTRTpJQk0uSVFfTUlOT1JJVFlfSU5URVJFU1RfQ0YuMTAwMC40LzEvMjAyNS4uLlVTRC5IAQAAAN62AQADAAAAAAAfTtpjwXPdCGSi1ZTEc90IOkNJUS5OWVNFOklCTS5JUV9NSU5PUklUWV9JTlRFUkVTVF9DRi4yMDAwLjQvMS8yMDI1Li4uVVNELkgBAAAA3rYBAAMAAAAAAB9O2mPBc90IJ+K/lMRz3QgzQ0lRLk5ZU0U6SUJNLklRX0dBSU5fQVNTRVRTX0NGLjk5MC40LzEvMjAyNS4uLlVTRC5IAQAAAN62AQACAAAABS0xNTM1AQgAAAAFAAAA</t>
  </si>
  <si>
    <t>ATEBAAAACjE4Mjk5MTE5NjgDAAAAAzE2MAIAAAAEMjAyNgQAAAABMAcAAAAINC8xLzIwMjUIAAAACjEyLzMxLzIwMTQJAAAAATAfTtpjwXPdCGSi1ZTEc90IM0NJUS5OWVNFOklCTS5JUV9HQUlOX0FTU0VUU19DRi45OTEuNC8xLzIwMjUuLi5VU0QuSAEAAADetgEAAgAAAAM0ODEBCAAAAAUAAAABMQEAAAAKMTg3NjQzMjg3MgMAAAADMTYwAgAAAAQyMDI2BAAAAAEwBwAAAAg0LzEvMjAyNQgAAAAKMTIvMzEvMjAxNQkAAAABMB9O2mPBc90IFFTVlMRz3QgzQ0lRLk5ZU0U6SUJNLklRX0dBSU5fQVNTRVRTX0NGLjk5Mi40LzEvMjAyNS4uLlVTRC5IAQAAAN62AQACAAAAAjYyAQgAAAAFAAAAATEBAAAACjE5NDcxNzk1ODMDAAAAAzE2MAIAAAAEMjAyNgQAAAABMAcAAAAINC8xLzIwMjUIAAAACjEyLzMxLzIwMTYJAAAAATAfTtpjwXPdCGSi1ZTEc90IOUNJUS5OWVNFOklCTS5JUV9NSU5PUklUWV9JTlRFUkVTVF9DRi45OTUuNC8xLzIwMjUuLi5VU0QuSAEAAADetgEAAwAAAAAAH07aY8Fz3QhkotWUxHPdCDlDSVEuTllTRTpJQk0uSVFfTUlOT1JJVFlfSU5URVJFU1RfQ0YuOTk2LjQvMS8yMDI1Li4uVVNELkgBAAAA3rYBAAMAAAAAAB9O2mPBc90IZKLVlMRz3Qg5Q0lRLk5ZU0U6SUJNLklRX01JTk9SSVRZX0lOVEVSRVNUX0NGLjk5Ny40LzEvMjAyNS4uLlVTRC5IAQAAAN62AQADAAAAAAAfTtpjwXPdCGSi</t>
  </si>
  <si>
    <t>1ZTEc90IOUNJUS5OWVNFOklCTS5JUV9NSU5PUklUWV9JTlRFUkVTVF9DRi45OTguNC8xLzIwMjUuLi5VU0QuSAEAAADetgEAAwAAAAAAH07aY8Fz3QhkotWUxHPdCDlDSVEuTllTRTpJQk0uSVFfTUlOT1JJVFlfSU5URVJFU1RfQ0YuOTk5LjQvMS8yMDI1Li4uVVNELkgBAAAA3rYBAAMAAAAAAB9O2mPBc90I9JjClMRz3Qg5Q0lRLk5ZU0U6SUJNLklRX01JTk9SSVRZX0lOVEVSRVNUX0NGLjk5MC40LzEvMjAyNS4uLlVTRC5IAQAAAN62AQADAAAAAAAfTtpjwXPdCBRU1ZTEc90IOUNJUS5OWVNFOklCTS5JUV9NSU5PUklUWV9JTlRFUkVTVF9DRi45OTEuNC8xLzIwMjUuLi5VU0QuSAEAAADetgEAAwAAAAAAH07aY8Fz3QgUVNWUxHPdCDlDSVEuTllTRTpJQk0uSVFfTUlOT1JJVFlfSU5URVJFU1RfQ0YuOTkyLjQvMS8yMDI1Li4uVVNELkgBAAAA3rYBAAMAAAAAAB9O2mPBc90IFFTVlMRz3Qg5Q0lRLk5ZU0U6SUJNLklRX01JTk9SSVRZX0lOVEVSRVNUX0NGLjk5My40LzEvMjAyNS4uLlVTRC5IAQAAAN62AQADAAAAAAAfTtpjwXPdCBRU1ZTEc90IOUNJUS5OWVNFOklCTS5JUV9NSU5PUklUWV9JTlRFUkVTVF9DRi45OTQuNC8xLzIwMjUuLi5VU0QuSAEAAADetgEAAwAAAAAAH07aY8Fz3QgUVNWUxHPdCDBDSVEuTllTRTpJQk0uSVFfT1RIRVJfQU1PUlQuOTk3LjQvMS8yMDI1Li4uVVNELkgBAAAA3rYBAAMA</t>
  </si>
  <si>
    <t>AAAAAB9O2mPBc90IFFTVlMRz3QgwQ0lRLk5ZU0U6SUJNLklRX09USEVSX0FNT1JULjk5OC40LzEvMjAyNS4uLlVTRC5IAQAAAN62AQADAAAAAAAfTtpjwXPdCBRU1ZTEc90IMENJUS5OWVNFOklCTS5JUV9PVEhFUl9BTU9SVC45OTkuNC8xLzIwMjUuLi5VU0QuSAEAAADetgEAAwAAAAAAH07aY8Fz3Qj0mMKUxHPdCDFDSVEuTllTRTpJQk0uSVFfT1RIRVJfQU1PUlQuMTAwMC40LzEvMjAyNS4uLlVTRC5IAQAAAN62AQADAAAAAAAfTtpjwXPdCBRU1ZTEc90IMUNJUS5OWVNFOklCTS5JUV9PVEhFUl9BTU9SVC4yMDAwLjQvMS8yMDI1Li4uVVNELkgBAAAA3rYBAAMAAAAAAB9O2mPBc90IJ+K/lMRz3QgwQ0lRLk5ZU0U6SUJNLklRX09USEVSX0FNT1JULjk5Mi40LzEvMjAyNS4uLlVTRC5IAQAAAN62AQADAAAAAAAfTtpjwXPdCBRU1ZTEc90IMENJUS5OWVNFOklCTS5JUV9PVEhFUl9BTU9SVC45OTMuNC8xLzIwMjUuLi5VU0QuSAEAAADetgEAAwAAAAAAH07aY8Fz3QgUVNWUxHPdCDBDSVEuTllTRTpJQk0uSVFfT1RIRVJfQU1PUlQuOTk0LjQvMS8yMDI1Li4uVVNELkgBAAAA3rYBAAMAAAAAAB9O2mPBc90IFFTVlMRz3QgwQ0lRLk5ZU0U6SUJNLklRX09USEVSX0FNT1JULjk5NS40LzEvMjAyNS4uLlVTRC5IAQAAAN62AQADAAAAAAAfTtpjwXPdCBRU1ZTEc90IMENJUS5OWVNFOklCTS5JUV9PVEhFUl9BTU9S</t>
  </si>
  <si>
    <t>VC45OTYuNC8xLzIwMjUuLi5VU0QuSAEAAADetgEAAwAAAAAAH07aY8Fz3QgUVNWUxHPdCCpDSVEuTllTRTpJQk0uSVFfREFfQ0YuOTk5LjQvMS8yMDI1Li4uVVNELkgBAAAA3rYBAAIAAAAENDM5NgEIAAAABQAAAAExAQAAAAstMTk1ODI4MTA5NQMAAAADMTYwAgAAAAQyMTYwBAAAAAEwBwAAAAg0LzEvMjAyNQgAAAAKMTIvMzEvMjAyMwkAAAABMB9O2mPBc90I9JjClMRz3QgrQ0lRLk5ZU0U6SUJNLklRX0RBX0NGLjEwMDAuNC8xLzIwMjUuLi5VU0QuSAEAAADetgEAAgAAAAQ0NjY3AQgAAAAFAAAAATEBAAAACy0xOTU4MjgxMDk3AwAAAAMxNjACAAAABDIxNjAEAAAAATAHAAAACDQvMS8yMDI1CAAAAAoxMi8zMS8yMDI0CQAAAAEwH07aY8Fz3QgUVNWUxHPdCCtDSVEuTllTRTpJQk0uSVFfREFfQ0YuMjAwMC40LzEvMjAyNS4uLlVTRC5IAQAAAN62AQACAAAABDQ2NjcBCAAAAAUAAAABMQEAAAALLTE5NTgyODA2MTUDAAAAAzE2MAIAAAAEMjE2MAQAAAABMAcAAAAINC8xLzIwMjUIAAAACjEyLzMxLzIwMjQJAAAAATAfTtpjwXPdCCfiv5TEc90IMENJUS5OWVNFOklCTS5JUV9PVEhFUl9BTU9SVC45OTAuNC8xLzIwMjUuLi5VU0QuSAEAAADetgEAAwAAAAAAH07aY8Fz3QgUVNWUxHPdCDBDSVEuTllTRTpJQk0uSVFfT1RIRVJfQU1PUlQuOTkxLjQvMS8yMDI1Li4uVVNELkgBAAAA3rYBAAMAAAAAAB9O2mPB</t>
  </si>
  <si>
    <t>c90IFFTVlMRz3QgqQ0lRLk5ZU0U6SUJNLklRX0RBX0NGLjk5NC40LzEvMjAyNS4uLlVTRC5IAQAAAN62AQACAAAABDQ0ODABCAAAAAUAAAABMQEAAAAKMjA4MTUwNTQwMQMAAAADMTYwAgAAAAQyMTYwBAAAAAEwBwAAAAg0LzEvMjAyNQgAAAAKMTIvMzEvMjAxOAkAAAABMB9O2mPBc90IFFTVlMRz3QgqQ0lRLk5ZU0U6SUJNLklRX0RBX0NGLjk5NS40LzEvMjAyNS4uLlVTRC5IAQAAAN62AQACAAAABDYwNTkBCAAAAAUAAAABMQEAAAALLTIxMTA3NjkzNTUDAAAAAzE2MAIAAAAEMjE2MAQAAAABMAcAAAAINC8xLzIwMjUIAAAACjEyLzMxLzIwMTkJAAAAATAfTtpjwXPdCBRU1ZTEc90IKkNJUS5OWVNFOklCTS5JUV9EQV9DRi45OTYuNC8xLzIwMjUuLi5VU0QuSAEAAADetgEAAgAAAAQ2Njk1AQgAAAAFAAAAATEBAAAACy0yMDU5MDczMjAyAwAAAAMxNjACAAAABDIxNjAEAAAAATAHAAAACDQvMS8yMDI1CAAAAAoxMi8zMS8yMDIwCQAAAAEwH07aY8Fz3QgUVNWUxHPdCCpDSVEuTllTRTpJQk0uSVFfREFfQ0YuOTk3LjQvMS8yMDI1Li4uVVNELkgBAAAA3rYBAAIAAAAENjQxNwEIAAAABQAAAAExAQAAAAstMjAwODY0NzE5OAMAAAADMTYwAgAAAAQyMTYwBAAAAAEwBwAAAAg0LzEvMjAyNQgAAAAKMTIvMzEvMjAyMQkAAAABMB9O2mPBc90IFFTVlMRz3QgqQ0lRLk5ZU0U6SUJNLklRX0RBX0NGLjk5OC40LzEv</t>
  </si>
  <si>
    <t>MjAyNS4uLlVTRC5IAQAAAN62AQACAAAABDQ4MDIBCAAAAAUAAAABMQEAAAALLTE5NTgyODEwOTYDAAAAAzE2MAIAAAAEMjE2MAQAAAABMAcAAAAINC8xLzIwMjUIAAAACjEyLzMxLzIwMjIJAAAAATAfTtpjwXPdCBRU1ZTEc90IMENJUS5OWVNFOklCTS5JUV9PSUxfSU1QQUlSLjIwMDAuNC8xLzIwMjUuLi5VU0QuSAEAAADetgEAAwAAAAAAH07aY8Fz3Qgn4r+UxHPdCCpDSVEuTllTRTpJQk0uSVFfREFfQ0YuOTkwLjQvMS8yMDI1Li4uVVNELkgBAAAA3rYBAAIAAAAENDQ5MgEIAAAABQAAAAExAQAAAAoxODI5OTExOTY4AwAAAAMxNjACAAAABDIxNjAEAAAAATAHAAAACDQvMS8yMDI1CAAAAAoxMi8zMS8yMDE0CQAAAAEwH07aY8Fz3QgUVNWUxHPdCCpDSVEuTllTRTpJQk0uSVFfREFfQ0YuOTkxLjQvMS8yMDI1Li4uVVNELkgBAAAA3rYBAAIAAAAEMzg1NQEIAAAABQAAAAExAQAAAAoxODc2NDMyODcyAwAAAAMxNjACAAAABDIxNjAEAAAAATAHAAAACDQvMS8yMDI1CAAAAAoxMi8zMS8yMDE1CQAAAAEwH07aY8Fz3QgUVNWUxHPdCCpDSVEuTllTRTpJQk0uSVFfREFfQ0YuOTkyLjQvMS8yMDI1Li4uVVNELkgBAAAA3rYBAAIAAAAENDM4MQEIAAAABQAAAAExAQAAAAoxOTQ3MTc5NTgzAwAAAAMxNjACAAAABDIxNjAEAAAAATAHAAAACDQvMS8yMDI1CAAAAAoxMi8zMS8yMDE2CQAAAAEwH07aY8Fz3QgUVNWU</t>
  </si>
  <si>
    <t>xHPdCCpDSVEuTllTRTpJQk0uSVFfREFfQ0YuOTkzLjQvMS8yMDI1Li4uVVNELkgBAAAA3rYBAAIAAAAENDU0MQEIAAAABQAAAAExAQAAAAoyMDE3MTY0MjQ0AwAAAAMxNjACAAAABDIxNjAEAAAAATAHAAAACDQvMS8yMDI1CAAAAAoxMi8zMS8yMDE3CQAAAAEwH07aY8Fz3QgUVNWUxHPdCC9DSVEuTllTRTpJQk0uSVFfT0lMX0lNUEFJUi45OTYuNC8xLzIwMjUuLi5VU0QuSAEAAADetgEAAwAAAAAAH07aY8Fz3QgUVNWUxHPdCC9DSVEuTllTRTpJQk0uSVFfT0lMX0lNUEFJUi45OTcuNC8xLzIwMjUuLi5VU0QuSAEAAADetgEAAwAAAAAAH07aY8Fz3QgUVNWUxHPdCC9DSVEuTllTRTpJQk0uSVFfT0lMX0lNUEFJUi45OTguNC8xLzIwMjUuLi5VU0QuSAEAAADetgEAAwAAAAAAH07aY8Fz3QgUVNWUxHPdCC9DSVEuTllTRTpJQk0uSVFfT0lMX0lNUEFJUi45OTkuNC8xLzIwMjUuLi5VU0QuSAEAAADetgEAAwAAAAAAH07aY8Fz3Qj0mMKUxHPdCDBDSVEuTllTRTpJQk0uSVFfT0lMX0lNUEFJUi4xMDAwLjQvMS8yMDI1Li4uVVNELkgBAAAA3rYBAAMAAAAAAB9O2mPBc90IFFTVlMRz3QgvQ0lRLk5ZU0U6SUJNLklRX09JTF9JTVBBSVIuOTkxLjQvMS8yMDI1Li4uVVNELkgBAAAA3rYBAAMAAAAAAB9O2mPBc90IFFTVlMRz3QgvQ0lRLk5ZU0U6SUJNLklRX09JTF9JTVBBSVIuOTkyLjQvMS8yMDI1Li4uVVNELkgB</t>
  </si>
  <si>
    <t>AAAA3rYBAAMAAAAAAB9O2mPBc90IFFTVlMRz3QgvQ0lRLk5ZU0U6SUJNLklRX09JTF9JTVBBSVIuOTkzLjQvMS8yMDI1Li4uVVNELkgBAAAA3rYBAAMAAAAAAB9O2mPBc90IFFTVlMRz3QgvQ0lRLk5ZU0U6SUJNLklRX09JTF9JTVBBSVIuOTk0LjQvMS8yMDI1Li4uVVNELkgBAAAA3rYBAAMAAAAAAB9O2mPBc90IFFTVlMRz3QgvQ0lRLk5ZU0U6SUJNLklRX09JTF9JTVBBSVIuOTk1LjQvMS8yMDI1Li4uVVNELkgBAAAA3rYBAAMAAAAAAB9O2mPBc90IFFTVlMRz3Qg2Q0lRLk5ZU0U6SUJNLklRX0dXX0lOVEFOX0FNT1JUX0NGLjk5OC40LzEvMjAyNS4uLlVTRC5IAQAAAN62AQACAAAABDIzOTUBCAAAAAUAAAABMQEAAAALLTE5NTgyODEwOTYDAAAAAzE2MAIAAAAEMjE4MgQAAAABMAcAAAAINC8xLzIwMjUIAAAACjEyLzMxLzIwMjIJAAAAATAfTtpjwXPdCBRU1ZTEc90INkNJUS5OWVNFOklCTS5JUV9HV19JTlRBTl9BTU9SVF9DRi45OTkuNC8xLzIwMjUuLi5VU0QuSAEAAADetgEAAgAAAAQyMjg3AQgAAAAFAAAAATEBAAAACy0xOTU4MjgxMDk1AwAAAAMxNjACAAAABDIxODIEAAAAATAHAAAACDQvMS8yMDI1CAAAAAoxMi8zMS8yMDIzCQAAAAEwH07aY8Fz3Qj0mMKUxHPdCDdDSVEuTllTRTpJQk0uSVFfR1dfSU5UQU5fQU1PUlRfQ0YuMTAwMC40LzEvMjAyNS4uLlVTRC5IAQAAAN62AQACAAAABDI0OTkB</t>
  </si>
  <si>
    <t>CAAAAAUAAAABMQEAAAALLTE5NTgyODEwOTcDAAAAAzE2MAIAAAAEMjE4MgQAAAABMAcAAAAINC8xLzIwMjUIAAAACjEyLzMxLzIwMjQJAAAAATAfTtpjwXPdCFu/1JTEc90IN0NJUS5OWVNFOklCTS5JUV9HV19JTlRBTl9BTU9SVF9DRi4yMDAwLjQvMS8yMDI1Li4uVVNELkgBAAAA3rYBAAIAAAAEMjQ5OQEIAAAABQAAAAExAQAAAAstMTk1ODI4MDYxNQMAAAADMTYwAgAAAAQyMTgyBAAAAAEwBwAAAAg0LzEvMjAyNQgAAAAKMTIvMzEvMjAyNAkAAAABMB9O2mPBc90IJ+K/lMRz3QgvQ0lRLk5ZU0U6SUJNLklRX09JTF9JTVBBSVIuOTkwLjQvMS8yMDI1Li4uVVNELkgBAAAA3rYBAAMAAAAAAB9O2mPBc90IW7/UlMRz3Qg2Q0lRLk5ZU0U6SUJNLklRX0dXX0lOVEFOX0FNT1JUX0NGLjk5My40LzEvMjAyNS4uLlVTRC5IAQAAAN62AQACAAAABDE1MjABCAAAAAUAAAABMQEAAAAKMjAxNzE2NDI0NAMAAAADMTYwAgAAAAQyMTgyBAAAAAEwBwAAAAg0LzEvMjAyNQgAAAAKMTIvMzEvMjAxNwkAAAABMB9O2mPBc90IW7/UlMRz3Qg2Q0lRLk5ZU0U6SUJNLklRX0dXX0lOVEFOX0FNT1JUX0NGLjk5NC40LzEvMjAyNS4uLlVTRC5IAQAAAN62AQACAAAABDEzNTMBCAAAAAUAAAABMQEAAAAKMjA4MTUwNTQwMQMAAAADMTYwAgAAAAQyMTgyBAAAAAEwBwAAAAg0LzEvMjAyNQgAAAAKMTIvMzEvMjAxOAkAAAABMB9O2mPB</t>
  </si>
  <si>
    <t>c90IFFTVlMRz3Qg2Q0lRLk5ZU0U6SUJNLklRX0dXX0lOVEFOX0FNT1JUX0NGLjk5NS40LzEvMjAyNS4uLlVTRC5IAQAAAN62AQACAAAABDE4NTABCAAAAAUAAAABMQEAAAALLTIxMTA3NjkzNTUDAAAAAzE2MAIAAAAEMjE4MgQAAAABMAcAAAAINC8xLzIwMjUIAAAACjEyLzMxLzIwMTkJAAAAATAfTtpjwXPdCFu/1JTEc90INkNJUS5OWVNFOklCTS5JUV9HV19JTlRBTl9BTU9SVF9DRi45OTYuNC8xLzIwMjUuLi5VU0QuSAEAAADetgEAAgAAAAQyNDY4AQgAAAAFAAAAATEBAAAACy0yMDU5MDczMjAyAwAAAAMxNjACAAAABDIxODIEAAAAATAHAAAACDQvMS8yMDI1CAAAAAoxMi8zMS8yMDIwCQAAAAEwH07aY8Fz3Qhbv9SUxHPdCDZDSVEuTllTRTpJQk0uSVFfR1dfSU5UQU5fQU1PUlRfQ0YuOTk3LjQvMS8yMDI1Li4uVVNELkgBAAAA3rYBAAIAAAAEMjUyOQEIAAAABQAAAAExAQAAAAstMjAwODY0NzE5OAMAAAADMTYwAgAAAAQyMTgyBAAAAAEwBwAAAAg0LzEvMjAyNQgAAAAKMTIvMzEvMjAyMQkAAAABMB9O2mPBc90IW7/UlMRz3QgxQ0lRLk5ZU0U6SUJNLklRX0RBX1NVUFBMX0NGLjEwMDAuNC8xLzIwMjUuLi5VU0QuSAEAAADetgEAAgAAAAQyMTY4AQgAAAAFAAAAATEBAAAACy0xOTU4MjgxMDk3AwAAAAMxNjACAAAABDIxNzEEAAAAATAHAAAACDQvMS8yMDI1CAAAAAoxMi8zMS8yMDI0CQAAAAEwH07a</t>
  </si>
  <si>
    <t>Y8Fz3Qhbv9SUxHPdCDFDSVEuTllTRTpJQk0uSVFfREFfU1VQUExfQ0YuMjAwMC40LzEvMjAyNS4uLlVTRC5IAQAAAN62AQACAAAABDIxNjgBCAAAAAUAAAABMQEAAAALLTE5NTgyODA2MTUDAAAAAzE2MAIAAAAEMjE3MQQAAAABMAcAAAAINC8xLzIwMjUIAAAACjEyLzMxLzIwMjQJAAAAATAfTtpjwXPdCCfiv5TEc90INkNJUS5OWVNFOklCTS5JUV9HV19JTlRBTl9BTU9SVF9DRi45OTAuNC8xLzIwMjUuLi5VU0QuSAEAAADetgEAAgAAAAQxMzQ3AQgAAAAFAAAAATEBAAAACjE4Mjk5MTE5NjgDAAAAAzE2MAIAAAAEMjE4MgQAAAABMAcAAAAINC8xLzIwMjUIAAAACjEyLzMxLzIwMTQJAAAAATAfTtpjwXPdCFu/1JTEc90INkNJUS5OWVNFOklCTS5JUV9HV19JTlRBTl9BTU9SVF9DRi45OTEuNC8xLzIwMjUuLi5VU0QuSAEAAADetgEAAgAAAAQxMTkzAQgAAAAFAAAAATEBAAAACjE4NzY0MzI4NzIDAAAAAzE2MAIAAAAEMjE4MgQAAAABMAcAAAAINC8xLzIwMjUIAAAACjEyLzMxLzIwMTUJAAAAATAfTtpjwXPdCFu/1JTEc90INkNJUS5OWVNFOklCTS5JUV9HV19JTlRBTl9BTU9SVF9DRi45OTIuNC8xLzIwMjUuLi5VU0QuSAEAAADetgEAAgAAAAQxNTQ0AQgAAAAFAAAAATEBAAAACjE5NDcxNzk1ODMDAAAAAzE2MAIAAAAEMjE4MgQAAAABMAcAAAAINC8xLzIwMjUIAAAACjEyLzMxLzIwMTYJAAAAATAfTtpj</t>
  </si>
  <si>
    <t>wXPdCFu/1JTEc90IMENJUS5OWVNFOklCTS5JUV9EQV9TVVBQTF9DRi45OTUuNC8xLzIwMjUuLi5VU0QuSAEAAADetgEAAgAAAAQ0MjA5AQgAAAAFAAAAATEBAAAACy0yMTEwNzY5MzU1AwAAAAMxNjACAAAABDIxNzEEAAAAATAHAAAACDQvMS8yMDI1CAAAAAoxMi8zMS8yMDE5CQAAAAEwH07aY8Fz3Qhbv9SUxHPdCDBDSVEuTllTRTpJQk0uSVFfREFfU1VQUExfQ0YuOTk2LjQvMS8yMDI1Li4uVVNELkgBAAAA3rYBAAIAAAAENDIyNwEIAAAABQAAAAExAQAAAAstMjA1OTA3MzIwMgMAAAADMTYwAgAAAAQyMTcxBAAAAAEwBwAAAAg0LzEvMjAyNQgAAAAKMTIvMzEvMjAyMAkAAAABMB9O2mPBc90IW7/UlMRz3QgwQ0lRLk5ZU0U6SUJNLklRX0RBX1NVUFBMX0NGLjk5Ny40LzEvMjAyNS4uLlVTRC5IAQAAAN62AQACAAAABDM4ODgBCAAAAAUAAAABMQEAAAALLTIwMDg2NDcxOTgDAAAAAzE2MAIAAAAEMjE3MQQAAAABMAcAAAAINC8xLzIwMjUIAAAACjEyLzMxLzIwMjEJAAAAATAfTtpjwXPdCFu/1JTEc90IMENJUS5OWVNFOklCTS5JUV9EQV9TVVBQTF9DRi45OTguNC8xLzIwMjUuLi5VU0QuSAEAAADetgEAAgAAAAQyNDA3AQgAAAAFAAAAATEBAAAACy0xOTU4MjgxMDk2AwAAAAMxNjACAAAABDIxNzEEAAAAATAHAAAACDQvMS8yMDI1CAAAAAoxMi8zMS8yMDIyCQAAAAEwH07aY8Fz3Qhbv9SUxHPdCDBDSVEu</t>
  </si>
  <si>
    <t>TllTRTpJQk0uSVFfREFfU1VQUExfQ0YuOTk5LjQvMS8yMDI1Li4uVVNELkgBAAAA3rYBAAIAAAAEMjEwOQEIAAAABQAAAAExAQAAAAstMTk1ODI4MTA5NQMAAAADMTYwAgAAAAQyMTcxBAAAAAEwBwAAAAg0LzEvMjAyNQgAAAAKMTIvMzEvMjAyMwkAAAABMB9O2mPBc90I9JjClMRz3QgwQ0lRLk5ZU0U6SUJNLklRX0RBX1NVUFBMX0NGLjk5MC40LzEvMjAyNS4uLlVTRC5IAQAAAN62AQACAAAABDMxNDUBCAAAAAUAAAABMQEAAAAKMTgyOTkxMTk2OAMAAAADMTYwAgAAAAQyMTcxBAAAAAEwBwAAAAg0LzEvMjAyNQgAAAAKMTIvMzEvMjAxNAkAAAABMB9O2mPBc90IW7/UlMRz3QgwQ0lRLk5ZU0U6SUJNLklRX0RBX1NVUFBMX0NGLjk5MS40LzEvMjAyNS4uLlVTRC5IAQAAAN62AQACAAAABDI2NjIBCAAAAAUAAAABMQEAAAAKMTg3NjQzMjg3MgMAAAADMTYwAgAAAAQyMTcxBAAAAAEwBwAAAAg0LzEvMjAyNQgAAAAKMTIvMzEvMjAxNQkAAAABMB9O2mPBc90IW7/UlMRz3QgwQ0lRLk5ZU0U6SUJNLklRX0RBX1NVUFBMX0NGLjk5Mi40LzEvMjAyNS4uLlVTRC5IAQAAAN62AQACAAAABDI4MzcBCAAAAAUAAAABMQEAAAAKMTk0NzE3OTU4MwMAAAADMTYwAgAAAAQyMTcxBAAAAAEwBwAAAAg0LzEvMjAyNQgAAAAKMTIvMzEvMjAxNgkAAAABMB9O2mPBc90IW7/UlMRz3QgwQ0lRLk5ZU0U6SUJNLklRX0RBX1NVUFBM</t>
  </si>
  <si>
    <t>X0NGLjk5My40LzEvMjAyNS4uLlVTRC5IAQAAAN62AQACAAAABDMwMjEBCAAAAAUAAAABMQEAAAAKMjAxNzE2NDI0NAMAAAADMTYwAgAAAAQyMTcxBAAAAAEwBwAAAAg0LzEvMjAyNQgAAAAKMTIvMzEvMjAxNwkAAAABMB9O2mPBc90IW7/UlMRz3QgwQ0lRLk5ZU0U6SUJNLklRX0RBX1NVUFBMX0NGLjk5NC40LzEvMjAyNS4uLlVTRC5IAQAAAN62AQACAAAABDMxMjcBCAAAAAUAAAABMQEAAAAKMjA4MTUwNTQwMQMAAAADMTYwAgAAAAQyMTcxBAAAAAEwBwAAAAg0LzEvMjAyNQgAAAAKMTIvMzEvMjAxOAkAAAABMB9O2mPBc90IW7/UlMRz3QgqQ0lRLk5ZU0U6SUJNLklRX05JX0NGLjk5Ny40LzEvMjAyNS4uLlVTRC5IAQAAAN62AQACAAAABDU3NDMBCAAAAAUAAAABMQEAAAALLTIwMDg2NDcxOTgDAAAAAzE2MAIAAAAEMjE1MAQAAAABMAcAAAAINC8xLzIwMjUIAAAACjEyLzMxLzIwMjEJAAAAATAfTtpjwXPdCFu/1JTEc90IKkNJUS5OWVNFOklCTS5JUV9OSV9DRi45OTguNC8xLzIwMjUuLi5VU0QuSAEAAADetgEAAgAAAAQxNjM5AQgAAAAFAAAAATEBAAAACy0xOTU4MjgxMDk2AwAAAAMxNjACAAAABDIxNTAEAAAAATAHAAAACDQvMS8yMDI1CAAAAAoxMi8zMS8yMDIyCQAAAAEwH07aY8Fz3Qhbv9SUxHPdCCpDSVEuTllTRTpJQk0uSVFfTklfQ0YuOTk5LjQvMS8yMDI1Li4uVVNELkgBAAAA3rYBAAIAAAAE</t>
  </si>
  <si>
    <t>NzUwMgEIAAAABQAAAAExAQAAAAstMTk1ODI4MTA5NQMAAAADMTYwAgAAAAQyMTUwBAAAAAEwBwAAAAg0LzEvMjAyNQgAAAAKMTIvMzEvMjAyMwkAAAABMB9O2mPBc90I9JjClMRz3QgrQ0lRLk5ZU0U6SUJNLklRX05JX0NGLjEwMDAuNC8xLzIwMjUuLi5VU0QuSAEAAADetgEAAgAAAAQ2MDIzAQgAAAAFAAAAATEBAAAACy0xOTU4MjgxMDk3AwAAAAMxNjACAAAABDIxNTAEAAAAATAHAAAACDQvMS8yMDI1CAAAAAoxMi8zMS8yMDI0CQAAAAEwH07aY8Fz3Qhbv9SUxHPdCCtDSVEuTllTRTpJQk0uSVFfTklfQ0YuMjAwMC40LzEvMjAyNS4uLlVTRC5IAQAAAN62AQACAAAABDYwMjMBCAAAAAUAAAABMQEAAAALLTE5NTgyODA2MTUDAAAAAzE2MAIAAAAEMjE1MAQAAAABMAcAAAAINC8xLzIwMjUIAAAACjEyLzMxLzIwMjQJAAAAATAfTtpjwXPdCCfiv5TEc90IKkNJUS5OWVNFOklCTS5JUV9OSV9DRi45OTIuNC8xLzIwMjUuLi5VU0QuSAEAAADetgEAAgAAAAUxMTg3MgEIAAAABQAAAAExAQAAAAoxOTQ3MTc5NTgzAwAAAAMxNjACAAAABDIxNTAEAAAAATAHAAAACDQvMS8yMDI1CAAAAAoxMi8zMS8yMDE2CQAAAAEwH07aY8Fz3Qhbv9SUxHPdCCpDSVEuTllTRTpJQk0uSVFfTklfQ0YuOTkzLjQvMS8yMDI1Li4uVVNELkgBAAAA3rYBAAIAAAAENTc1MwEIAAAABQAAAAExAQAAAAoyMDE3MTY0MjQ0AwAAAAMxNjAC</t>
  </si>
  <si>
    <t>AAAABDIxNTAEAAAAATAHAAAACDQvMS8yMDI1CAAAAAoxMi8zMS8yMDE3CQAAAAEwH07aY8Fz3Qhbv9SUxHPdCCpDSVEuTllTRTpJQk0uSVFfTklfQ0YuOTk0LjQvMS8yMDI1Li4uVVNELkgBAAAA3rYBAAIAAAAEODcyOAEIAAAABQAAAAExAQAAAAoyMDgxNTA1NDAxAwAAAAMxNjACAAAABDIxNTAEAAAAATAHAAAACDQvMS8yMDI1CAAAAAoxMi8zMS8yMDE4CQAAAAEwH07aY8Fz3Qhbv9SUxHPdCCpDSVEuTllTRTpJQk0uSVFfTklfQ0YuOTk1LjQvMS8yMDI1Li4uVVNELkgBAAAA3rYBAAIAAAAEOTQzMQEIAAAABQAAAAExAQAAAAstMjExMDc2OTM1NQMAAAADMTYwAgAAAAQyMTUwBAAAAAEwBwAAAAg0LzEvMjAyNQgAAAAKMTIvMzEvMjAxOQkAAAABMB9O2mPBc90IW7/UlMRz3QgqQ0lRLk5ZU0U6SUJNLklRX05JX0NGLjk5Ni40LzEvMjAyNS4uLlVTRC5IAQAAAN62AQACAAAABDU1OTABCAAAAAUAAAABMQEAAAALLTIwNTkwNzMyMDIDAAAAAzE2MAIAAAAEMjE1MAQAAAABMAcAAAAINC8xLzIwMjUIAAAACjEyLzMxLzIwMjAJAAAAATAfTtpjwXPdCFu/1JTEc90IKkNJUS5OWVNFOklCTS5JUV9OSV9DRi45OTAuNC8xLzIwMjUuLi5VU0QuSAEAAADetgEAAgAAAAUxMjAyMgEIAAAABQAAAAExAQAAAAoxODI5OTExOTY4AwAAAAMxNjACAAAABDIxNTAEAAAAATAHAAAACDQvMS8yMDI1CAAAAAoxMi8zMS8yMDE0</t>
  </si>
  <si>
    <t>CQAAAAEwH07aY8Fz3Qhbv9SUxHPdCCpDSVEuTllTRTpJQk0uSVFfTklfQ0YuOTkxLjQvMS8yMDI1Li4uVVNELkgBAAAA3rYBAAIAAAAFMTMxOTABCAAAAAUAAAABMQEAAAAKMTg3NjQzMjg3MgMAAAADMTYwAgAAAAQyMTUwBAAAAAEwBwAAAAg0LzEvMjAyNQgAAAAKMTIvMzEvMjAxNQkAAAABMB9O2mPBc90IW7/UlMRz3Qg2Q0lRLk5ZU0U6SUJNLklRX1NUT0NLX0JBU0VEX0NPTVAuMjAwMC40LzEvMjAyNS4uLlVTRC5IAQAAAN62AQACAAAAAzg0MgAfTtpjwXPdCMiTv5TEc90INUNJUS5OWVNFOklCTS5JUV9TVE9DS19CQVNFRF9DT01QLjk5Ni40LzEvMjAyNS4uLlVTRC5IAQAAAN62AQACAAAAAzY3NQAfTtpjwXPdCFu/1JTEc90INUNJUS5OWVNFOklCTS5JUV9TVE9DS19CQVNFRF9DT01QLjk5Ny40LzEvMjAyNS4uLlVTRC5IAQAAAN62AQACAAAAAzY5NQAfTtpjwXPdCFu/1JTEc90INUNJUS5OWVNFOklCTS5JUV9TVE9DS19CQVNFRF9DT01QLjk5OC40LzEvMjAyNS4uLlVTRC5IAQAAAN62AQACAAAAAzczOAAfTtpjwXPdCFu/1JTEc90INUNJUS5OWVNFOklCTS5JUV9TVE9DS19CQVNFRF9DT01QLjk5OS40LzEvMjAyNS4uLlVTRC5IAQAAAN62AQACAAAAAzg0MwAfTtpjwXPdCE/nwpTEc90INkNJUS5OWVNFOklCTS5JUV9TVE9DS19CQVNFRF9DT01QLjEwMDAuNC8xLzIwMjUuLi5VU0QuSAEAAADetgEA</t>
  </si>
  <si>
    <t>AgAAAAM4NDIAH07aY8Fz3Qhbv9SUxHPdCDVDSVEuTllTRTpJQk0uSVFfU1RPQ0tfQkFTRURfQ09NUC45OTEuNC8xLzIwMjUuLi5VU0QuSAEAAADetgEAAgAAAAMzMTIAH07aY8Fz3Qhbv9SUxHPdCDVDSVEuTllTRTpJQk0uSVFfU1RPQ0tfQkFTRURfQ09NUC45OTIuNC8xLzIwMjUuLi5VU0QuSAEAAADetgEAAgAAAAMzNjQAH07aY8Fz3Qhbv9SUxHPdCDVDSVEuTllTRTpJQk0uSVFfU1RPQ0tfQkFTRURfQ09NUC45OTMuNC8xLzIwMjUuLi5VU0QuSAEAAADetgEAAgAAAAM0MDMAH07aY8Fz3Qhbv9SUxHPdCDVDSVEuTllTRTpJQk0uSVFfU1RPQ0tfQkFTRURfQ09NUC45OTQuNC8xLzIwMjUuLi5VU0QuSAEAAADetgEAAgAAAAMzOTMAH07aY8Fz3Qhbv9SUxHPdCDVDSVEuTllTRTpJQk0uSVFfU1RPQ0tfQkFTRURfQ09NUC45OTUuNC8xLzIwMjUuLi5VU0QuSAEAAADetgEAAgAAAAM0ODQAH07aY8Fz3Qhbv9SUxHPdCDlDSVEuTllTRTpJQk0uSVFfU1RPQ0tfQkFTRURfQ09NUF9UQVguOTk4LjQvMS8yMDI1Li4uVVNELkgBAAAA3rYBAAIAAAAELTI0OQAfTtpjwXPdCFu/1JTEc90IOUNJUS5OWVNFOklCTS5JUV9TVE9DS19CQVNFRF9DT01QX1RBWC45OTkuNC8xLzIwMjUuLi5VU0QuSAEAAADetgEAAgAAAAQtMjkwAB9O2mPBc90IT+fClMRz3Qg6Q0lRLk5ZU0U6SUJNLklRX1NUT0NLX0JBU0VEX0NPTVBfVEFY</t>
  </si>
  <si>
    <t>LjEwMDAuNC8xLzIwMjUuLi5VU0QuSAEAAADetgEAAgAAAAQtNDY5AB9O2mPBc90IW7/UlMRz3Qg6Q0lRLk5ZU0U6SUJNLklRX1NUT0NLX0JBU0VEX0NPTVBfVEFYLjIwMDAuNC8xLzIwMjUuLi5VU0QuSAEAAADetgEAAgAAAAQtNDY5AB9O2mPBc90IyJO/lMRz3Qg1Q0lRLk5ZU0U6SUJNLklRX1NUT0NLX0JBU0VEX0NPTVAuOTkwLjQvMS8yMDI1Li4uVVNELkgBAAAA3rYBAAIAAAADMzM4AB9O2mPBc90IW7/UlMRz3Qg5Q0lRLk5ZU0U6SUJNLklRX1NUT0NLX0JBU0VEX0NPTVBfVEFYLjk5My40LzEvMjAyNS4uLlVTRC5IAQAAAN62AQACAAAABC0xMzEAH07aY8Fz3Qhbv9SUxHPdCDlDSVEuTllTRTpJQk0uSVFfU1RPQ0tfQkFTRURfQ09NUF9UQVguOTk0LjQvMS8yMDI1Li4uVVNELkgBAAAA3rYBAAIAAAAELTExNgAfTtpjwXPdCFu/1JTEc90IOUNJUS5OWVNFOklCTS5JUV9TVE9DS19CQVNFRF9DT01QX1RBWC45OTUuNC8xLzIwMjUuLi5VU0QuSAEAAADetgEAAgAAAAQtMTQzAB9O2mPBc90IW7/UlMRz3Qg5Q0lRLk5ZU0U6SUJNLklRX1NUT0NLX0JBU0VEX0NPTVBfVEFYLjk5Ni40LzEvMjAyNS4uLlVTRC5IAQAAAN62AQACAAAABC0xOTgAH07aY8Fz3Qhbv9SUxHPdCDlDSVEuTllTRTpJQk0uSVFfU1RPQ0tfQkFTRURfQ09NUF9UQVguOTk3LjQvMS8yMDI1Li4uVVNELkgBAAAA3rYBAAIAAAAELTIyMwAf</t>
  </si>
  <si>
    <t>TtpjwXPdCFu/1JTEc90IPUNJUS5OWVNFOklCTS5JUV9TVE9DS19CQVNFRF9DT01QX1BSRVRBWC4xMDAwLjQvMS8yMDI1Li4uVVNELkgBAAAA3rYBAAIAAAAEMTMxMQAfTtpjwXPdCFu/1JTEc90IPUNJUS5OWVNFOklCTS5JUV9TVE9DS19CQVNFRF9DT01QX1BSRVRBWC4yMDAwLjQvMS8yMDI1Li4uVVNELkgBAAAA3rYBAAIAAAAEMTMxMQAfTtpjwXPdCMiTv5TEc90IOUNJUS5OWVNFOklCTS5JUV9TVE9DS19CQVNFRF9DT01QX1RBWC45OTAuNC8xLzIwMjUuLi5VU0QuSAEAAADetgEAAgAAAAQtMTc0AB9O2mPBc90IW7/UlMRz3Qg5Q0lRLk5ZU0U6SUJNLklRX1NUT0NLX0JBU0VEX0NPTVBfVEFYLjk5MS40LzEvMjAyNS4uLlVTRC5IAQAAAN62AQACAAAABC0xNTYAH07aY8Fz3Qhbv9SUxHPdCDlDSVEuTllTRTpJQk0uSVFfU1RPQ0tfQkFTRURfQ09NUF9UQVguOTkyLjQvMS8yMDI1Li4uVVNELkgBAAAA3rYBAAIAAAAELTE3OQAfTtpjwXPdCFu/1JTEc90IPENJUS5OWVNFOklCTS5JUV9TVE9DS19CQVNFRF9DT01QX1BSRVRBWC45OTUuNC8xLzIwMjUuLi5VU0QuSAEAAADetgEAAgAAAAM2NzkAH07aY8Fz3Qhbv9SUxHPdCDxDSVEuTllTRTpJQk0uSVFfU1RPQ0tfQkFTRURfQ09NUF9QUkVUQVguOTk2LjQvMS8yMDI1Li4uVVNELkgBAAAA3rYBAAIAAAADOTM3AB9O2mPBc90IW7/UlMRz3Qg8Q0lRLk5ZU0U6</t>
  </si>
  <si>
    <t>SUJNLklRX1NUT0NLX0JBU0VEX0NPTVBfUFJFVEFYLjk5Ny40LzEvMjAyNS4uLlVTRC5IAQAAAN62AQACAAAAAzk4MgAfTtpjwXPdCFu/1JTEc90IPENJUS5OWVNFOklCTS5JUV9TVE9DS19CQVNFRF9DT01QX1BSRVRBWC45OTguNC8xLzIwMjUuLi5VU0QuSAEAAADetgEAAgAAAAM5ODgAH07aY8Fz3Qhbv9SUxHPdCDxDSVEuTllTRTpJQk0uSVFfU1RPQ0tfQkFTRURfQ09NUF9QUkVUQVguOTk5LjQvMS8yMDI1Li4uVVNELkgBAAAA3rYBAAIAAAAEMTEzNAAfTtpjwXPdCE/nwpTEc90IPENJUS5OWVNFOklCTS5JUV9TVE9DS19CQVNFRF9DT01QX1BSRVRBWC45OTAuNC8xLzIwMjUuLi5VU0QuSAEAAADetgEAAgAAAAM1MTIAH07aY8Fz3Qhbv9SUxHPdCDxDSVEuTllTRTpJQk0uSVFfU1RPQ0tfQkFTRURfQ09NUF9QUkVUQVguOTkxLjQvMS8yMDI1Li4uVVNELkgBAAAA3rYBAAIAAAADNDY4AB9O2mPBc90IW7/UlMRz3Qg8Q0lRLk5ZU0U6SUJNLklRX1NUT0NLX0JBU0VEX0NPTVBfUFJFVEFYLjk5Mi40LzEvMjAyNS4uLlVTRC5IAQAAAN62AQACAAAAAzU0NAAfTtpjwXPdCFu/1JTEc90IPENJUS5OWVNFOklCTS5JUV9TVE9DS19CQVNFRF9DT01QX1BSRVRBWC45OTMuNC8xLzIwMjUuLi5VU0QuSAEAAADetgEAAgAAAAM1MzQAH07aY8Fz3Qhbv9SUxHPdCDxDSVEuTllTRTpJQk0uSVFfU1RPQ0tfQkFTRURfQ09N</t>
  </si>
  <si>
    <t>UF9QUkVUQVguOTk0LjQvMS8yMDI1Li4uVVNELkgBAAAA3rYBAAIAAAADNTEwAB9O2mPBc90IW7/UlMRz3Qg3Q0lRLk5ZU0U6SUJNLklRX1NUT0NLX09QVElPTlNfQ09NUC45OTcuNC8xLzIwMjUuLi5VU0QuSAEAAADetgEAAwAAAAAAH07aY8Fz3Qhbv9SUxHPdCDdDSVEuTllTRTpJQk0uSVFfU1RPQ0tfT1BUSU9OU19DT01QLjk5OC40LzEvMjAyNS4uLlVTRC5IAQAAAN62AQADAAAAAAAfTtpjwXPdCFu/1JTEc90IN0NJUS5OWVNFOklCTS5JUV9TVE9DS19PUFRJT05TX0NPTVAuOTk5LjQvMS8yMDI1Li4uVVNELkgBAAAA3rYBAAMAAAAAAB9O2mPBc90IT+fClMRz3Qg4Q0lRLk5ZU0U6SUJNLklRX1NUT0NLX09QVElPTlNfQ09NUC4xMDAwLjQvMS8yMDI1Li4uVVNELkgBAAAA3rYBAAMAAAAAAB9O2mPBc90IW7/UlMRz3Qg4Q0lRLk5ZU0U6SUJNLklRX1NUT0NLX09QVElPTlNfQ09NUC4yMDAwLjQvMS8yMDI1Li4uVVNELkgBAAAA3rYBAAMAAAAAAB9O2mPBc90IyJO/lMRz3Qg3Q0lRLk5ZU0U6SUJNLklRX1NUT0NLX09QVElPTlNfQ09NUC45OTIuNC8xLzIwMjUuLi5VU0QuSAEAAADetgEAAwAAAAAAH07aY8Fz3Qhbv9SUxHPdCDdDSVEuTllTRTpJQk0uSVFfU1RPQ0tfT1BUSU9OU19DT01QLjk5My40LzEvMjAyNS4uLlVTRC5IAQAAAN62AQADAAAAAAAfTtpjwXPdCAJx1JTEc90IN0NJUS5OWVNFOklCTS5J</t>
  </si>
  <si>
    <t>UV9TVE9DS19PUFRJT05TX0NPTVAuOTk0LjQvMS8yMDI1Li4uVVNELkgBAAAA3rYBAAMAAAAAAB9O2mPBc90IAnHUlMRz3Qg3Q0lRLk5ZU0U6SUJNLklRX1NUT0NLX09QVElPTlNfQ09NUC45OTUuNC8xLzIwMjUuLi5VU0QuSAEAAADetgEAAwAAAAAAH07aY8Fz3QgCcdSUxHPdCDdDSVEuTllTRTpJQk0uSVFfU1RPQ0tfT1BUSU9OU19DT01QLjk5Ni40LzEvMjAyNS4uLlVTRC5IAQAAAN62AQADAAAAAAAfTtpjwXPdCAJx1JTEc90IO0NJUS5OWVNFOklCTS5JUV9TVE9DS19PUFRJT05TX0NPTVBfVEFYLjk5OS40LzEvMjAyNS4uLlVTRC5IAQAAAN62AQADAAAAAAAfTtpjwXPdCE/nwpTEc90IPENJUS5OWVNFOklCTS5JUV9TVE9DS19PUFRJT05TX0NPTVBfVEFYLjEwMDAuNC8xLzIwMjUuLi5VU0QuSAEAAADetgEAAwAAAAAAH07aY8Fz3QgCcdSUxHPdCDxDSVEuTllTRTpJQk0uSVFfU1RPQ0tfT1BUSU9OU19DT01QX1RBWC4yMDAwLjQvMS8yMDI1Li4uVVNELkgBAAAA3rYBAAMAAAAAAB9O2mPBc90IyJO/lMRz3Qg3Q0lRLk5ZU0U6SUJNLklRX1NUT0NLX09QVElPTlNfQ09NUC45OTAuNC8xLzIwMjUuLi5VU0QuSAEAAADetgEAAwAAAAAAH07aY8Fz3QgCcdSUxHPdCDdDSVEuTllTRTpJQk0uSVFfU1RPQ0tfT1BUSU9OU19DT01QLjk5MS40LzEvMjAyNS4uLlVTRC5IAQAAAN62AQADAAAAAAAfTtpjwXPdCAJx</t>
  </si>
  <si>
    <t>1JTEc90IO0NJUS5OWVNFOklCTS5JUV9TVE9DS19PUFRJT05TX0NPTVBfVEFYLjk5NC40LzEvMjAyNS4uLlVTRC5IAQAAAN62AQADAAAAAAAfTtpjwXPdCAJx1JTEc90IO0NJUS5OWVNFOklCTS5JUV9TVE9DS19PUFRJT05TX0NPTVBfVEFYLjk5NS40LzEvMjAyNS4uLlVTRC5IAQAAAN62AQADAAAAAAAfTtpjwXPdCAJx1JTEc90IO0NJUS5OWVNFOklCTS5JUV9TVE9DS19PUFRJT05TX0NPTVBfVEFYLjk5Ni40LzEvMjAyNS4uLlVTRC5IAQAAAN62AQADAAAAAAAfTtpjwXPdCAJx1JTEc90IO0NJUS5OWVNFOklCTS5JUV9TVE9DS19PUFRJT05TX0NPTVBfVEFYLjk5Ny40LzEvMjAyNS4uLlVTRC5IAQAAAN62AQADAAAAAAAfTtpjwXPdCAJx1JTEc90IO0NJUS5OWVNFOklCTS5JUV9TVE9DS19PUFRJT05TX0NPTVBfVEFYLjk5OC40LzEvMjAyNS4uLlVTRC5IAQAAAN62AQADAAAAAAAfTtpjwXPdCAJx1JTEc90IP0NJUS5OWVNFOklCTS5JUV9TVE9DS19PUFRJT05TX0NPTVBfUFJFVEFYLjIwMDAuNC8xLzIwMjUuLi5VU0QuSAEAAADetgEAAwAAAAAAH07aY8Fz3QjIk7+UxHPdCDtDSVEuTllTRTpJQk0uSVFfU1RPQ0tfT1BUSU9OU19DT01QX1RBWC45OTAuNC8xLzIwMjUuLi5VU0QuSAEAAADetgEAAwAAAAAAH07aY8Fz3QgCcdSUxHPdCDtDSVEuTllTRTpJQk0uSVFfU1RPQ0tfT1BUSU9OU19DT01QX1RBWC45</t>
  </si>
  <si>
    <t>OTEuNC8xLzIwMjUuLi5VU0QuSAEAAADetgEAAwAAAAAAH07aY8Fz3QgCcdSUxHPdCDtDSVEuTllTRTpJQk0uSVFfU1RPQ0tfT1BUSU9OU19DT01QX1RBWC45OTIuNC8xLzIwMjUuLi5VU0QuSAEAAADetgEAAwAAAAAAH07aY8Fz3QgCcdSUxHPdCDtDSVEuTllTRTpJQk0uSVFfU1RPQ0tfT1BUSU9OU19DT01QX1RBWC45OTMuNC8xLzIwMjUuLi5VU0QuSAEAAADetgEAAwAAAAAAH07aY8Fz3QgCcdSUxHPdCD5DSVEuTllTRTpJQk0uSVFfU1RPQ0tfT1BUSU9OU19DT01QX1BSRVRBWC45OTYuNC8xLzIwMjUuLi5VU0QuSAEAAADetgEAAwAAAAAAH07aY8Fz3QgCcdSUxHPdCD5DSVEuTllTRTpJQk0uSVFfU1RPQ0tfT1BUSU9OU19DT01QX1BSRVRBWC45OTcuNC8xLzIwMjUuLi5VU0QuSAEAAADetgEAAwAAAAAAH07aY8Fz3QgCcdSUxHPdCD5DSVEuTllTRTpJQk0uSVFfU1RPQ0tfT1BUSU9OU19DT01QX1BSRVRBWC45OTguNC8xLzIwMjUuLi5VU0QuSAEAAADetgEAAwAAAAAAH07aY8Fz3QgCcdSUxHPdCD5DSVEuTllTRTpJQk0uSVFfU1RPQ0tfT1BUSU9OU19DT01QX1BSRVRBWC45OTkuNC8xLzIwMjUuLi5VU0QuSAEAAADetgEAAwAAAAAAH07aY8Fz3Qj0mMKUxHPdCD9DSVEuTllTRTpJQk0uSVFfU1RPQ0tfT1BUSU9OU19DT01QX1BSRVRBWC4xMDAwLjQvMS8yMDI1Li4uVVNELkgBAAAA3rYBAAMAAAAAAB9O</t>
  </si>
  <si>
    <t>2mPBc90IAnHUlMRz3Qg+Q0lRLk5ZU0U6SUJNLklRX1NUT0NLX09QVElPTlNfQ09NUF9QUkVUQVguOTkxLjQvMS8yMDI1Li4uVVNELkgBAAAA3rYBAAMAAAAAAB9O2mPBc90IAnHUlMRz3Qg+Q0lRLk5ZU0U6SUJNLklRX1NUT0NLX09QVElPTlNfQ09NUF9QUkVUQVguOTkyLjQvMS8yMDI1Li4uVVNELkgBAAAA3rYBAAMAAAAAAB9O2mPBc90IAnHUlMRz3Qg+Q0lRLk5ZU0U6SUJNLklRX1NUT0NLX09QVElPTlNfQ09NUF9QUkVUQVguOTkzLjQvMS8yMDI1Li4uVVNELkgBAAAA3rYBAAMAAAAAAB9O2mPBc90IAnHUlMRz3Qg+Q0lRLk5ZU0U6SUJNLklRX1NUT0NLX09QVElPTlNfQ09NUF9QUkVUQVguOTk0LjQvMS8yMDI1Li4uVVNELkgBAAAA3rYBAAMAAAAAAB9O2mPBc90IAnHUlMRz3Qg+Q0lRLk5ZU0U6SUJNLklRX1NUT0NLX09QVElPTlNfQ09NUF9QUkVUQVguOTk1LjQvMS8yMDI1Li4uVVNELkgBAAAA3rYBAAMAAAAAAB9O2mPBc90IAnHUlMRz3Qg1Q0lRLk5ZU0U6SUJNLklRX1JFU1RSX1NUT0NLX0NPTVAuOTk4LjQvMS8yMDI1Li4uVVNELkgBAAAA3rYBAAMAAAAAAB9O2mPBc90IAnHUlMRz3Qg1Q0lRLk5ZU0U6SUJNLklRX1JFU1RSX1NUT0NLX0NPTVAuOTk5LjQvMS8yMDI1Li4uVVNELkgBAAAA3rYBAAMAAAAAAB9O2mPBc90IT+fClMRz3Qg2Q0lRLk5ZU0U6SUJNLklRX1JFU1RSX1NUT0NLX0NPTVAu</t>
  </si>
  <si>
    <t>MTAwMC40LzEvMjAyNS4uLlVTRC5IAQAAAN62AQADAAAAAAAfTtpjwXPdCAJx1JTEc90INkNJUS5OWVNFOklCTS5JUV9SRVNUUl9TVE9DS19DT01QLjIwMDAuNC8xLzIwMjUuLi5VU0QuSAEAAADetgEAAwAAAAAAH07aY8Fz3QjIk7+UxHPdCD5DSVEuTllTRTpJQk0uSVFfU1RPQ0tfT1BUSU9OU19DT01QX1BSRVRBWC45OTAuNC8xLzIwMjUuLi5VU0QuSAEAAADetgEAAwAAAAAAH07aY8Fz3QgCcdSUxHPdCDVDSVEuTllTRTpJQk0uSVFfUkVTVFJfU1RPQ0tfQ09NUC45OTMuNC8xLzIwMjUuLi5VU0QuSAEAAADetgEAAwAAAAAAH07aY8Fz3QgCcdSUxHPdCDVDSVEuTllTRTpJQk0uSVFfUkVTVFJfU1RPQ0tfQ09NUC45OTQuNC8xLzIwMjUuLi5VU0QuSAEAAADetgEAAwAAAAAAH07aY8Fz3QgCcdSUxHPdCDVDSVEuTllTRTpJQk0uSVFfUkVTVFJfU1RPQ0tfQ09NUC45OTUuNC8xLzIwMjUuLi5VU0QuSAEAAADetgEAAwAAAAAAH07aY8Fz3QgCcdSUxHPdCDVDSVEuTllTRTpJQk0uSVFfUkVTVFJfU1RPQ0tfQ09NUC45OTYuNC8xLzIwMjUuLi5VU0QuSAEAAADetgEAAwAAAAAAH07aY8Fz3QgCcdSUxHPdCDVDSVEuTllTRTpJQk0uSVFfUkVTVFJfU1RPQ0tfQ09NUC45OTcuNC8xLzIwMjUuLi5VU0QuSAEAAADetgEAAwAAAAAAH07aY8Fz3QgCcdSUxHPdCDpDSVEuTllTRTpJQk0uSVFfUkVTVFJfU1RPQ0tfQ09N</t>
  </si>
  <si>
    <t>UF9UQVguMTAwMC40LzEvMjAyNS4uLlVTRC5IAQAAAN62AQADAAAAAAAfTtpjwXPdCAJx1JTEc90IOkNJUS5OWVNFOklCTS5JUV9SRVNUUl9TVE9DS19DT01QX1RBWC4yMDAwLjQvMS8yMDI1Li4uVVNELkgBAAAA3rYBAAMAAAAAAB9O2mPBc90IyJO/lMRz3Qg1Q0lRLk5ZU0U6SUJNLklRX1JFU1RSX1NUT0NLX0NPTVAuOTkwLjQvMS8yMDI1Li4uVVNELkgBAAAA3rYBAAMAAAAAAB9O2mPBc90IAnHUlMRz3Qg1Q0lRLk5ZU0U6SUJNLklRX1JFU1RSX1NUT0NLX0NPTVAuOTkxLjQvMS8yMDI1Li4uVVNELkgBAAAA3rYBAAMAAAAAAB9O2mPBc90IYh/UlMRz3Qg1Q0lRLk5ZU0U6SUJNLklRX1JFU1RSX1NUT0NLX0NPTVAuOTkyLjQvMS8yMDI1Li4uVVNELkgBAAAA3rYBAAMAAAAAAB9O2mPBc90IAnHUlMRz3Qg5Q0lRLk5ZU0U6SUJNLklRX1JFU1RSX1NUT0NLX0NPTVBfVEFYLjk5NS40LzEvMjAyNS4uLlVTRC5IAQAAAN62AQADAAAAAAAfTtpjwXPdCAJx1JTEc90IOUNJUS5OWVNFOklCTS5JUV9SRVNUUl9TVE9DS19DT01QX1RBWC45OTYuNC8xLzIwMjUuLi5VU0QuSAEAAADetgEAAwAAAAAAH07aY8Fz3QgCcdSUxHPdCDlDSVEuTllTRTpJQk0uSVFfUkVTVFJfU1RPQ0tfQ09NUF9UQVguOTk3LjQvMS8yMDI1Li4uVVNELkgBAAAA3rYBAAMAAAAAAB9O2mPBc90IAnHUlMRz3Qg5Q0lRLk5ZU0U6SUJNLklRX1JF</t>
  </si>
  <si>
    <t>U1RSX1NUT0NLX0NPTVBfVEFYLjk5OC40LzEvMjAyNS4uLlVTRC5IAQAAAN62AQADAAAAAAAfTtpjwXPdCAJx1JTEc90IOUNJUS5OWVNFOklCTS5JUV9SRVNUUl9TVE9DS19DT01QX1RBWC45OTkuNC8xLzIwMjUuLi5VU0QuSAEAAADetgEAAwAAAAAAH07aY8Fz3QhP58KUxHPdCDlDSVEuTllTRTpJQk0uSVFfUkVTVFJfU1RPQ0tfQ09NUF9UQVguOTkwLjQvMS8yMDI1Li4uVVNELkgBAAAA3rYBAAMAAAAAAB9O2mPBc90IYh/UlMRz3Qg5Q0lRLk5ZU0U6SUJNLklRX1JFU1RSX1NUT0NLX0NPTVBfVEFYLjk5MS40LzEvMjAyNS4uLlVTRC5IAQAAAN62AQADAAAAAAAfTtpjwXPdCGIf1JTEc90IOUNJUS5OWVNFOklCTS5JUV9SRVNUUl9TVE9DS19DT01QX1RBWC45OTIuNC8xLzIwMjUuLi5VU0QuSAEAAADetgEAAwAAAAAAH07aY8Fz3QhiH9SUxHPdCDlDSVEuTllTRTpJQk0uSVFfUkVTVFJfU1RPQ0tfQ09NUF9UQVguOTkzLjQvMS8yMDI1Li4uVVNELkgBAAAA3rYBAAMAAAAAAB9O2mPBc90IYh/UlMRz3Qg5Q0lRLk5ZU0U6SUJNLklRX1JFU1RSX1NUT0NLX0NPTVBfVEFYLjk5NC40LzEvMjAyNS4uLlVTRC5IAQAAAN62AQADAAAAAAAfTtpjwXPdCGIf1JTEc90IPENJUS5OWVNFOklCTS5JUV9SRVNUUl9TVE9DS19DT01QX1BSRVRBWC45OTcuNC8xLzIwMjUuLi5VU0QuSAEAAADetgEAAwAAAAAAH07aY8Fz3Qhi</t>
  </si>
  <si>
    <t>H9SUxHPdCDxDSVEuTllTRTpJQk0uSVFfUkVTVFJfU1RPQ0tfQ09NUF9QUkVUQVguOTk4LjQvMS8yMDI1Li4uVVNELkgBAAAA3rYBAAMAAAAAAB9O2mPBc90IYh/UlMRz3Qg8Q0lRLk5ZU0U6SUJNLklRX1JFU1RSX1NUT0NLX0NPTVBfUFJFVEFYLjk5OS40LzEvMjAyNS4uLlVTRC5IAQAAAN62AQADAAAAAAAfTtpjwXPdCE/nwpTEc90IPUNJUS5OWVNFOklCTS5JUV9SRVNUUl9TVE9DS19DT01QX1BSRVRBWC4xMDAwLjQvMS8yMDI1Li4uVVNELkgBAAAA3rYBAAMAAAAAAB9O2mPBc90IYh/UlMRz3Qg9Q0lRLk5ZU0U6SUJNLklRX1JFU1RSX1NUT0NLX0NPTVBfUFJFVEFYLjIwMDAuNC8xLzIwMjUuLi5VU0QuSAEAAADetgEAAwAAAAAAH07aY8Fz3QjIk7+UxHPdCDxDSVEuTllTRTpJQk0uSVFfUkVTVFJfU1RPQ0tfQ09NUF9QUkVUQVguOTkyLjQvMS8yMDI1Li4uVVNELkgBAAAA3rYBAAMAAAAAAB9O2mPBc90IYh/UlMRz3Qg8Q0lRLk5ZU0U6SUJNLklRX1JFU1RSX1NUT0NLX0NPTVBfUFJFVEFYLjk5My40LzEvMjAyNS4uLlVTRC5IAQAAAN62AQADAAAAAAAfTtpjwXPdCGIf1JTEc90IPENJUS5OWVNFOklCTS5JUV9SRVNUUl9TVE9DS19DT01QX1BSRVRBWC45OTQuNC8xLzIwMjUuLi5VU0QuSAEAAADetgEAAwAAAAAAH07aY8Fz3QhiH9SUxHPdCDxDSVEuTllTRTpJQk0uSVFfUkVTVFJfU1RPQ0tfQ09NUF9Q</t>
  </si>
  <si>
    <t>UkVUQVguOTk1LjQvMS8yMDI1Li4uVVNELkgBAAAA3rYBAAMAAAAAAB9O2mPBc90IYh/UlMRz3Qg8Q0lRLk5ZU0U6SUJNLklRX1JFU1RSX1NUT0NLX0NPTVBfUFJFVEFYLjk5Ni40LzEvMjAyNS4uLlVTRC5IAQAAAN62AQADAAAAAAAfTtpjwXPdCGIf1JTEc90INkNJUS5OWVNFOklCTS5JUV9TVE9DS19CQVNFRF9UT1RBTC45OTkuNC8xLzIwMjUuLi5VU0QuSAEAAADetgEAAgAAAAQxMTM0AQgAAAAFAAAAATEBAAAACy0xOTU4MjgxMDk1AwAAAAMxNjACAAAABTI0MDM0BAAAAAEwBwAAAAg0LzEvMjAyNQgAAAAKMTIvMzEvMjAyMwkAAAABMB9O2mPBc90IT+fClMRz3Qg3Q0lRLk5ZU0U6SUJNLklRX1NUT0NLX0JBU0VEX1RPVEFMLjEwMDAuNC8xLzIwMjUuLi5VU0QuSAEAAADetgEAAgAAAAQxMzExAQgAAAAFAAAAATEBAAAACy0xOTU4MjgxMDk3AwAAAAMxNjACAAAABTI0MDM0BAAAAAEwBwAAAAg0LzEvMjAyNQgAAAAKMTIvMzEvMjAyNAkAAAABMB9O2mPBc90IYh/UlMRz3Qg3Q0lRLk5ZU0U6SUJNLklRX1NUT0NLX0JBU0VEX1RPVEFMLjIwMDAuNC8xLzIwMjUuLi5VU0QuSAEAAADetgEAAgAAAAQxMzExAQgAAAAFAAAAATEBAAAACy0xOTU4MjgwNjE1AwAAAAMxNjACAAAABTI0MDM0BAAAAAEwBwAAAAg0LzEvMjAyNQgAAAAKMTIvMzEvMjAyNAkAAAABMB9O2mPBc90IyJO/lMRz3Qg8Q0lRLk5ZU0U6SUJN</t>
  </si>
  <si>
    <t>LklRX1JFU1RSX1NUT0NLX0NPTVBfUFJFVEFYLjk5MC40LzEvMjAyNS4uLlVTRC5IAQAAAN62AQADAAAAAAAfTtpjwXPdCGIf1JTEc90IPENJUS5OWVNFOklCTS5JUV9SRVNUUl9TVE9DS19DT01QX1BSRVRBWC45OTEuNC8xLzIwMjUuLi5VU0QuSAEAAADetgEAAwAAAAAAH07aY8Fz3QhiH9SUxHPdCDZDSVEuTllTRTpJQk0uSVFfU1RPQ0tfQkFTRURfVE9UQUwuOTk0LjQvMS8yMDI1Li4uVVNELkgBAAAA3rYBAAIAAAADNTEwAQgAAAAFAAAAATEBAAAACjIwODE1MDU0MDEDAAAAAzE2MAIAAAAFMjQwMzQEAAAAATAHAAAACDQvMS8yMDI1CAAAAAoxMi8zMS8yMDE4CQAAAAEwH07aY8Fz3QhiH9SUxHPdCDZDSVEuTllTRTpJQk0uSVFfU1RPQ0tfQkFTRURfVE9UQUwuOTk1LjQvMS8yMDI1Li4uVVNELkgBAAAA3rYBAAIAAAADNjc5AQgAAAAFAAAAATEBAAAACy0yMTEwNzY5MzU1AwAAAAMxNjACAAAABTI0MDM0BAAAAAEwBwAAAAg0LzEvMjAyNQgAAAAKMTIvMzEvMjAxOQkAAAABMB9O2mPBc90IYh/UlMRz3Qg2Q0lRLk5ZU0U6SUJNLklRX1NUT0NLX0JBU0VEX1RPVEFMLjk5Ni40LzEvMjAyNS4uLlVTRC5IAQAAAN62AQACAAAAAzkzNwEIAAAABQAAAAExAQAAAAstMjA1OTA3MzIwMgMAAAADMTYwAgAAAAUyNDAzNAQAAAABMAcAAAAINC8xLzIwMjUIAAAACjEyLzMxLzIwMjAJAAAAATAfTtpjwXPdCGIf1JTE</t>
  </si>
  <si>
    <t>c90INkNJUS5OWVNFOklCTS5JUV9TVE9DS19CQVNFRF9UT1RBTC45OTcuNC8xLzIwMjUuLi5VU0QuSAEAAADetgEAAgAAAAM5ODIBCAAAAAUAAAABMQEAAAALLTIwMDg2NDcxOTgDAAAAAzE2MAIAAAAFMjQwMzQEAAAAATAHAAAACDQvMS8yMDI1CAAAAAoxMi8zMS8yMDIxCQAAAAEwH07aY8Fz3QhiH9SUxHPdCDZDSVEuTllTRTpJQk0uSVFfU1RPQ0tfQkFTRURfVE9UQUwuOTk4LjQvMS8yMDI1Li4uVVNELkgBAAAA3rYBAAIAAAADOTg4AQgAAAAFAAAAATEBAAAACy0xOTU4MjgxMDk2AwAAAAMxNjACAAAABTI0MDM0BAAAAAEwBwAAAAg0LzEvMjAyNQgAAAAKMTIvMzEvMjAyMgkAAAABMB9O2mPBc90IYh/UlMRz3Qg0Q0lRLk5ZU0U6SUJNLklRX1NUT0NLX0JBU0VEX0FULjIwMDAuNC8xLzIwMjUuLi5VU0QuSAEAAADetgEAAwAAAAAAH07aY8Fz3QjIk7+UxHPdCDZDSVEuTllTRTpJQk0uSVFfU1RPQ0tfQkFTRURfVE9UQUwuOTkwLjQvMS8yMDI1Li4uVVNELkgBAAAA3rYBAAIAAAADNTEyAQgAAAAFAAAAATEBAAAACjE4Mjk5MTE5NjgDAAAAAzE2MAIAAAAFMjQwMzQEAAAAATAHAAAACDQvMS8yMDI1CAAAAAoxMi8zMS8yMDE0CQAAAAEwH07aY8Fz3QhiH9SUxHPdCDZDSVEuTllTRTpJQk0uSVFfU1RPQ0tfQkFTRURfVE9UQUwuOTkxLjQvMS8yMDI1Li4uVVNELkgBAAAA3rYBAAIAAAADNDY4AQgAAAAFAAAA</t>
  </si>
  <si>
    <t>ATEBAAAACjE4NzY0MzI4NzIDAAAAAzE2MAIAAAAFMjQwMzQEAAAAATAHAAAACDQvMS8yMDI1CAAAAAoxMi8zMS8yMDE1CQAAAAEwH07aY8Fz3QhiH9SUxHPdCDZDSVEuTllTRTpJQk0uSVFfU1RPQ0tfQkFTRURfVE9UQUwuOTkyLjQvMS8yMDI1Li4uVVNELkgBAAAA3rYBAAIAAAADNTQ0AQgAAAAFAAAAATEBAAAACjE5NDcxNzk1ODMDAAAAAzE2MAIAAAAFMjQwMzQEAAAAATAHAAAACDQvMS8yMDI1CAAAAAoxMi8zMS8yMDE2CQAAAAEwH07aY8Fz3QhiH9SUxHPdCDZDSVEuTllTRTpJQk0uSVFfU1RPQ0tfQkFTRURfVE9UQUwuOTkzLjQvMS8yMDI1Li4uVVNELkgBAAAA3rYBAAIAAAADNTM0AQgAAAAFAAAAATEBAAAACjIwMTcxNjQyNDQDAAAAAzE2MAIAAAAFMjQwMzQEAAAAATAHAAAACDQvMS8yMDI1CAAAAAoxMi8zMS8yMDE3CQAAAAEwH07aY8Fz3QhiH9SUxHPdCDNDSVEuTllTRTpJQk0uSVFfU1RPQ0tfQkFTRURfQVQuOTk2LjQvMS8yMDI1Li4uVVNELkgBAAAA3rYBAAMAAAAAAB9O2mPBc90IYh/UlMRz3QgzQ0lRLk5ZU0U6SUJNLklRX1NUT0NLX0JBU0VEX0FULjk5Ny40LzEvMjAyNS4uLlVTRC5IAQAAAN62AQADAAAAAAAfTtpjwXPdCGIf1JTEc90IM0NJUS5OWVNFOklCTS5JUV9TVE9DS19CQVNFRF9BVC45OTguNC8xLzIwMjUuLi5VU0QuSAEAAADetgEAAwAAAAAAH07aY8Fz3QhiH9SUxHPdCDND</t>
  </si>
  <si>
    <t>SVEuTllTRTpJQk0uSVFfU1RPQ0tfQkFTRURfQVQuOTk5LjQvMS8yMDI1Li4uVVNELkgBAAAA3rYBAAMAAAAAAB9O2mPBc90IT+fClMRz3Qg0Q0lRLk5ZU0U6SUJNLklRX1NUT0NLX0JBU0VEX0FULjEwMDAuNC8xLzIwMjUuLi5VU0QuSAEAAADetgEAAwAAAAAAH07aY8Fz3QhiH9SUxHPdCDNDSVEuTllTRTpJQk0uSVFfU1RPQ0tfQkFTRURfQVQuOTkxLjQvMS8yMDI1Li4uVVNELkgBAAAA3rYBAAMAAAAAAB9O2mPBc90IbaLTlMRz3QgzQ0lRLk5ZU0U6SUJNLklRX1NUT0NLX0JBU0VEX0FULjk5Mi40LzEvMjAyNS4uLlVTRC5IAQAAAN62AQADAAAAAAAfTtpjwXPdCG2i05TEc90IM0NJUS5OWVNFOklCTS5JUV9TVE9DS19CQVNFRF9BVC45OTMuNC8xLzIwMjUuLi5VU0QuSAEAAADetgEAAwAAAAAAH07aY8Fz3QhtotOUxHPdCDNDSVEuTllTRTpJQk0uSVFfU1RPQ0tfQkFTRURfQVQuOTk0LjQvMS8yMDI1Li4uVVNELkgBAAAA3rYBAAMAAAAAAB9O2mPBc90IbaLTlMRz3QgzQ0lRLk5ZU0U6SUJNLklRX1NUT0NLX0JBU0VEX0FULjk5NS40LzEvMjAyNS4uLlVTRC5IAQAAAN62AQADAAAAAAAfTtpjwXPdCGIf1JTEc90INkNJUS5OWVNFOklCTS5JUV9TVE9DS19CQVNFRF9PVEhFUi45OTguNC8xLzIwMjUuLi5VU0QuSAEAAADetgEAAwAAAAAAH07aY8Fz3QhiH9SUxHPdCDZDSVEuTllTRTpJQk0uSVFfU1RPQ0tf</t>
  </si>
  <si>
    <t>QkFTRURfT1RIRVIuOTk5LjQvMS8yMDI1Li4uVVNELkgBAAAA3rYBAAMAAAAAAB9O2mPBc90IT+fClMRz3Qg3Q0lRLk5ZU0U6SUJNLklRX1NUT0NLX0JBU0VEX09USEVSLjEwMDAuNC8xLzIwMjUuLi5VU0QuSAEAAADetgEAAwAAAAAAH07aY8Fz3QhtotOUxHPdCDdDSVEuTllTRTpJQk0uSVFfU1RPQ0tfQkFTRURfT1RIRVIuMjAwMC40LzEvMjAyNS4uLlVTRC5IAQAAAN62AQADAAAAAAAfTtpjwXPdCMiTv5TEc90IM0NJUS5OWVNFOklCTS5JUV9TVE9DS19CQVNFRF9BVC45OTAuNC8xLzIwMjUuLi5VU0QuSAEAAADetgEAAwAAAAAAH07aY8Fz3QhtotOUxHPdCDZDSVEuTllTRTpJQk0uSVFfU1RPQ0tfQkFTRURfT1RIRVIuOTkzLjQvMS8yMDI1Li4uVVNELkgBAAAA3rYBAAMAAAAAAB9O2mPBc90IbaLTlMRz3Qg2Q0lRLk5ZU0U6SUJNLklRX1NUT0NLX0JBU0VEX09USEVSLjk5NC40LzEvMjAyNS4uLlVTRC5IAQAAAN62AQADAAAAAAAfTtpjwXPdCG2i05TEc90INkNJUS5OWVNFOklCTS5JUV9TVE9DS19CQVNFRF9PVEhFUi45OTUuNC8xLzIwMjUuLi5VU0QuSAEAAADetgEAAgAAAAI1MAEIAAAABQAAAAExAQAAAAstMjExMDc2OTM1NQMAAAADMTYwAgAAAAUyMjY3NgQAAAABMAcAAAAINC8xLzIwMjUIAAAACjEyLzMxLzIwMTkJAAAAATAfTtpjwXPdCG2i05TEc90INkNJUS5OWVNFOklCTS5JUV9TVE9DS19C</t>
  </si>
  <si>
    <t>QVNFRF9PVEhFUi45OTYuNC8xLzIwMjUuLi5VU0QuSAEAAADetgEAAgAAAAI2NAEIAAAABQAAAAExAQAAAAstMjA1OTA3MzIwMgMAAAADMTYwAgAAAAUyMjY3NgQAAAABMAcAAAAINC8xLzIwMjUIAAAACjEyLzMxLzIwMjAJAAAAATAfTtpjwXPdCG2i05TEc90INkNJUS5OWVNFOklCTS5JUV9TVE9DS19CQVNFRF9PVEhFUi45OTcuNC8xLzIwMjUuLi5VU0QuSAEAAADetgEAAgAAAAI2NAEIAAAABQAAAAExAQAAAAstMjAwODY0NzE5OAMAAAADMTYwAgAAAAUyMjY3NgQAAAABMAcAAAAINC8xLzIwMjUIAAAACjEyLzMxLzIwMjEJAAAAATAfTtpjwXPdCG2i05TEc90IP0NJUS5OWVNFOklCTS5JUV9TVE9DS19CQVNFRF9FWFBMT1JFX0RSSUxMLjEwMDAuNC8xLzIwMjUuLi5VU0QuSAEAAADetgEAAwAAAAAAH07aY8Fz3QhtotOUxHPdCD9DSVEuTllTRTpJQk0uSVFfU1RPQ0tfQkFTRURfRVhQTE9SRV9EUklMTC4yMDAwLjQvMS8yMDI1Li4uVVNELkgBAAAA3rYBAAMAAAAAAB9O2mPBc90IyJO/lMRz3Qg2Q0lRLk5ZU0U6SUJNLklRX1NUT0NLX0JBU0VEX09USEVSLjk5MC40LzEvMjAyNS4uLlVTRC5IAQAAAN62AQACAAAAAy0xMwEIAAAABQAAAAExAQAAAAoxODI5OTExOTY4AwAAAAMxNjACAAAABTIyNjc2BAAAAAEwBwAAAAg0LzEvMjAyNQgAAAAKMTIvMzEvMjAxNAkAAAABMB9O2mPBc90IbaLTlMRz3Qg2Q0lR</t>
  </si>
  <si>
    <t>Lk5ZU0U6SUJNLklRX1NUT0NLX0JBU0VEX09USEVSLjk5MS40LzEvMjAyNS4uLlVTRC5IAQAAAN62AQACAAAAAi01AQgAAAAFAAAAATEBAAAACjE4NzY0MzI4NzIDAAAAAzE2MAIAAAAFMjI2NzYEAAAAATAHAAAACDQvMS8yMDI1CAAAAAoxMi8zMS8yMDE1CQAAAAEwH07aY8Fz3QhtotOUxHPdCDZDSVEuTllTRTpJQk0uSVFfU1RPQ0tfQkFTRURfT1RIRVIuOTkyLjQvMS8yMDI1Li4uVVNELkgBAAAA3rYBAAMAAAAAAB9O2mPBc90IbaLTlMRz3Qg+Q0lRLk5ZU0U6SUJNLklRX1NUT0NLX0JBU0VEX0VYUExPUkVfRFJJTEwuOTk1LjQvMS8yMDI1Li4uVVNELkgBAAAA3rYBAAMAAAAAAB9O2mPBc90IbaLTlMRz3Qg+Q0lRLk5ZU0U6SUJNLklRX1NUT0NLX0JBU0VEX0VYUExPUkVfRFJJTEwuOTk2LjQvMS8yMDI1Li4uVVNELkgBAAAA3rYBAAMAAAAAAB9O2mPBc90IbaLTlMRz3Qg+Q0lRLk5ZU0U6SUJNLklRX1NUT0NLX0JBU0VEX0VYUExPUkVfRFJJTEwuOTk3LjQvMS8yMDI1Li4uVVNELkgBAAAA3rYBAAMAAAAAAB9O2mPBc90IbaLTlMRz3Qg+Q0lRLk5ZU0U6SUJNLklRX1NUT0NLX0JBU0VEX0VYUExPUkVfRFJJTEwuOTk4LjQvMS8yMDI1Li4uVVNELkgBAAAA3rYBAAMAAAAAAB9O2mPBc90IbaLTlMRz3Qg+Q0lRLk5ZU0U6SUJNLklRX1NUT0NLX0JBU0VEX0VYUExPUkVfRFJJTEwuOTk5LjQvMS8yMDI1Li4u</t>
  </si>
  <si>
    <t>VVNELkgBAAAA3rYBAAMAAAAAAB9O2mPBc90IT+fClMRz3Qg+Q0lRLk5ZU0U6SUJNLklRX1NUT0NLX0JBU0VEX0VYUExPUkVfRFJJTEwuOTkwLjQvMS8yMDI1Li4uVVNELkgBAAAA3rYBAAMAAAAAAB9O2mPBc90IbaLTlMRz3Qg+Q0lRLk5ZU0U6SUJNLklRX1NUT0NLX0JBU0VEX0VYUExPUkVfRFJJTEwuOTkxLjQvMS8yMDI1Li4uVVNELkgBAAAA3rYBAAMAAAAAAB9O2mPBc90IbaLTlMRz3Qg+Q0lRLk5ZU0U6SUJNLklRX1NUT0NLX0JBU0VEX0VYUExPUkVfRFJJTEwuOTkyLjQvMS8yMDI1Li4uVVNELkgBAAAA3rYBAAMAAAAAAB9O2mPBc90IbaLTlMRz3Qg+Q0lRLk5ZU0U6SUJNLklRX1NUT0NLX0JBU0VEX0VYUExPUkVfRFJJTEwuOTkzLjQvMS8yMDI1Li4uVVNELkgBAAAA3rYBAAMAAAAAAB9O2mPBc90IbaLTlMRz3Qg+Q0lRLk5ZU0U6SUJNLklRX1NUT0NLX0JBU0VEX0VYUExPUkVfRFJJTEwuOTk0LjQvMS8yMDI1Li4uVVNELkgBAAAA3rYBAAMAAAAAAB9O2mPBc90IbaLTlMRz3Qg0Q0lRLk5ZU0U6SUJNLklRX1NUT0NLX0JBU0VEX1NHQS45OTcuNC8xLzIwMjUuLi5VU0QuSAEAAADetgEAAgAAAAM1NTUBCAAAAAUAAAABMQEAAAALLTIwMDg2NDcxOTgDAAAAAzE2MAIAAAAFMjI2NzkEAAAAATAHAAAACDQvMS8yMDI1CAAAAAoxMi8zMS8yMDIxCQAAAAEwH07aY8Fz3QhtotOUxHPdCDRDSVEuTllTRTpJ</t>
  </si>
  <si>
    <t>Qk0uSVFfU1RPQ0tfQkFTRURfU0dBLjk5OC40LzEvMjAyNS4uLlVTRC5IAQAAAN62AQACAAAAAzU2NgEIAAAABQAAAAExAQAAAAstMTk1ODI4MTA5NgMAAAADMTYwAgAAAAUyMjY3OQQAAAABMAcAAAAINC8xLzIwMjUIAAAACjEyLzMxLzIwMjIJAAAAATAfTtpjwXPdCG2i05TEc90INENJUS5OWVNFOklCTS5JUV9TVE9DS19CQVNFRF9TR0EuOTk5LjQvMS8yMDI1Li4uVVNELkgBAAAA3rYBAAIAAAADNjE2AQgAAAAFAAAAATEBAAAACy0xOTU4MjgxMDk1AwAAAAMxNjACAAAABTIyNjc5BAAAAAEwBwAAAAg0LzEvMjAyNQgAAAAKMTIvMzEvMjAyMwkAAAABMB9O2mPBc90IT+fClMRz3Qg1Q0lRLk5ZU0U6SUJNLklRX1NUT0NLX0JBU0VEX1NHQS4xMDAwLjQvMS8yMDI1Li4uVVNELkgBAAAA3rYBAAIAAAADNjkwAQgAAAAFAAAAATEBAAAACy0xOTU4MjgxMDk3AwAAAAMxNjACAAAABTIyNjc5BAAAAAEwBwAAAAg0LzEvMjAyNQgAAAAKMTIvMzEvMjAyNAkAAAABMB9O2mPBc90IbaLTlMRz3Qg1Q0lRLk5ZU0U6SUJNLklRX1NUT0NLX0JBU0VEX1NHQS4yMDAwLjQvMS8yMDI1Li4uVVNELkgBAAAA3rYBAAIAAAADNjkwAQgAAAAFAAAAATEBAAAACy0xOTU4MjgwNjE1AwAAAAMxNjACAAAABTIyNjc5BAAAAAEwBwAAAAg0LzEvMjAyNQgAAAAKMTIvMzEvMjAyNAkAAAABMB9O2mPBc90IyJO/lMRz3Qg0Q0lRLk5ZU0U6</t>
  </si>
  <si>
    <t>SUJNLklRX1NUT0NLX0JBU0VEX1NHQS45OTIuNC8xLzIwMjUuLi5VU0QuSAEAAADetgEAAgAAAAM0MDEBCAAAAAUAAAABMQEAAAAKMTk0NzE3OTU4MwMAAAADMTYwAgAAAAUyMjY3OQQAAAABMAcAAAAINC8xLzIwMjUIAAAACjEyLzMxLzIwMTYJAAAAATAfTtpjwXPdCG2i05TEc90INENJUS5OWVNFOklCTS5JUV9TVE9DS19CQVNFRF9TR0EuOTkzLjQvMS8yMDI1Li4uVVNELkgBAAAA3rYBAAIAAAADMzg0AQgAAAAFAAAAATEBAAAACjIwMTcxNjQyNDQDAAAAAzE2MAIAAAAFMjI2NzkEAAAAATAHAAAACDQvMS8yMDI1CAAAAAoxMi8zMS8yMDE3CQAAAAEwH07aY8Fz3QhtotOUxHPdCDRDSVEuTllTRTpJQk0uSVFfU1RPQ0tfQkFTRURfU0dBLjk5NC40LzEvMjAyNS4uLlVTRC5IAQAAAN62AQACAAAAAzM2MQEIAAAABQAAAAExAQAAAAoyMDgxNTA1NDAxAwAAAAMxNjACAAAABTIyNjc5BAAAAAEwBwAAAAg0LzEvMjAyNQgAAAAKMTIvMzEvMjAxOAkAAAABMB9O2mPBc90IbaLTlMRz3Qg0Q0lRLk5ZU0U6SUJNLklRX1NUT0NLX0JBU0VEX1NHQS45OTUuNC8xLzIwMjUuLi5VU0QuSAEAAADetgEAAgAAAAM0MTkBCAAAAAUAAAABMQEAAAALLTIxMTA3NjkzNTUDAAAAAzE2MAIAAAAFMjI2NzkEAAAAATAHAAAACDQvMS8yMDI1CAAAAAoxMi8zMS8yMDE5CQAAAAEwH07aY8Fz3QhtotOUxHPdCDRDSVEuTllTRTpJQk0u</t>
  </si>
  <si>
    <t>SVFfU1RPQ0tfQkFTRURfU0dBLjk5Ni40LzEvMjAyNS4uLlVTRC5IAQAAAN62AQACAAAAAzU1MAEIAAAABQAAAAExAQAAAAstMjA1OTA3MzIwMgMAAAADMTYwAgAAAAUyMjY3OQQAAAABMAcAAAAINC8xLzIwMjUIAAAACjEyLzMxLzIwMjAJAAAAATAfTtpjwXPdCG2i05TEc90IM0NJUS5OWVNFOklCTS5JUV9TVE9DS19CQVNFRF9HQS45OTkuNC8xLzIwMjUuLi5VU0QuSAEAAADetgEAAwAAAAAAH07aY8Fz3QhP58KUxHPdCDRDSVEuTllTRTpJQk0uSVFfU1RPQ0tfQkFTRURfR0EuMTAwMC40LzEvMjAyNS4uLlVTRC5IAQAAAN62AQADAAAAAAAfTtpjwXPdCG2i05TEc90INENJUS5OWVNFOklCTS5JUV9TVE9DS19CQVNFRF9HQS4yMDAwLjQvMS8yMDI1Li4uVVNELkgBAAAA3rYBAAMAAAAAAB9O2mPBc90IyJO/lMRz3Qg0Q0lRLk5ZU0U6SUJNLklRX1NUT0NLX0JBU0VEX1NHQS45OTAuNC8xLzIwMjUuLi5VU0QuSAEAAADetgEAAgAAAAMzNTABCAAAAAUAAAABMQEAAAAKMTgyOTkxMTk2OAMAAAADMTYwAgAAAAUyMjY3OQQAAAABMAcAAAAINC8xLzIwMjUIAAAACjEyLzMxLzIwMTQJAAAAATAfTtpjwXPdCG2i05TEc90INENJUS5OWVNFOklCTS5JUV9TVE9DS19CQVNFRF9TR0EuOTkxLjQvMS8yMDI1Li4uVVNELkgBAAAA3rYBAAIAAAADMzIyAQgAAAAFAAAAATEBAAAACjE4NzY0MzI4NzIDAAAAAzE2MAIAAAAF</t>
  </si>
  <si>
    <t>MjI2NzkEAAAAATAHAAAACDQvMS8yMDI1CAAAAAoxMi8zMS8yMDE1CQAAAAEwH07aY8Fz3QhtotOUxHPdCDNDSVEuTllTRTpJQk0uSVFfU1RPQ0tfQkFTRURfR0EuOTk0LjQvMS8yMDI1Li4uVVNELkgBAAAA3rYBAAMAAAAAAB9O2mPBc90IbaLTlMRz3QgzQ0lRLk5ZU0U6SUJNLklRX1NUT0NLX0JBU0VEX0dBLjk5NS40LzEvMjAyNS4uLlVTRC5IAQAAAN62AQADAAAAAAAfTtpjwXPdCG2i05TEc90IM0NJUS5OWVNFOklCTS5JUV9TVE9DS19CQVNFRF9HQS45OTYuNC8xLzIwMjUuLi5VU0QuSAEAAADetgEAAwAAAAAAH07aY8Fz3QhtotOUxHPdCDNDSVEuTllTRTpJQk0uSVFfU1RPQ0tfQkFTRURfR0EuOTk3LjQvMS8yMDI1Li4uVVNELkgBAAAA3rYBAAMAAAAAAB9O2mPBc90IbaLTlMRz3QgzQ0lRLk5ZU0U6SUJNLklRX1NUT0NLX0JBU0VEX0dBLjk5OC40LzEvMjAyNS4uLlVTRC5IAQAAAN62AQADAAAAAAAfTtpjwXPdCG2i05TEc90INENJUS5OWVNFOklCTS5JUV9TVE9DS19CQVNFRF9TTS4yMDAwLjQvMS8yMDI1Li4uVVNELkgBAAAA3rYBAAMAAAAAAB9O2mPBc90IyJO/lMRz3QgzQ0lRLk5ZU0U6SUJNLklRX1NUT0NLX0JBU0VEX0dBLjk5MC40LzEvMjAyNS4uLlVTRC5IAQAAAN62AQADAAAAAAAfTtpjwXPdCG2i05TEc90IM0NJUS5OWVNFOklCTS5JUV9TVE9DS19CQVNFRF9HQS45OTEuNC8xLzIwMjUu</t>
  </si>
  <si>
    <t>Li5VU0QuSAEAAADetgEAAwAAAAAAH07aY8Fz3QhtotOUxHPdCDNDSVEuTllTRTpJQk0uSVFfU1RPQ0tfQkFTRURfR0EuOTkyLjQvMS8yMDI1Li4uVVNELkgBAAAA3rYBAAMAAAAAAB9O2mPBc90IbaLTlMRz3QgzQ0lRLk5ZU0U6SUJNLklRX1NUT0NLX0JBU0VEX0dBLjk5My40LzEvMjAyNS4uLlVTRC5IAQAAAN62AQADAAAAAAAfTtpjwXPdCG2i05TEc90IM0NJUS5OWVNFOklCTS5JUV9TVE9DS19CQVNFRF9TTS45OTYuNC8xLzIwMjUuLi5VU0QuSAEAAADetgEAAwAAAAAAH07aY8Fz3QhtotOUxHPdCDNDSVEuTllTRTpJQk0uSVFfU1RPQ0tfQkFTRURfU00uOTk3LjQvMS8yMDI1Li4uVVNELkgBAAAA3rYBAAMAAAAAAB9O2mPBc90IbaLTlMRz3QgzQ0lRLk5ZU0U6SUJNLklRX1NUT0NLX0JBU0VEX1NNLjk5OC40LzEvMjAyNS4uLlVTRC5IAQAAAN62AQADAAAAAAAfTtpjwXPdCG2i05TEc90IM0NJUS5OWVNFOklCTS5JUV9TVE9DS19CQVNFRF9TTS45OTkuNC8xLzIwMjUuLi5VU0QuSAEAAADetgEAAwAAAAAAH07aY8Fz3QhP58KUxHPdCDRDSVEuTllTRTpJQk0uSVFfU1RPQ0tfQkFTRURfU00uMTAwMC40LzEvMjAyNS4uLlVTRC5IAQAAAN62AQADAAAAAAAfTtpjwXPdCG2i05TEc90IM0NJUS5OWVNFOklCTS5JUV9TVE9DS19CQVNFRF9TTS45OTEuNC8xLzIwMjUuLi5VU0QuSAEAAADetgEAAwAAAAAAH07a</t>
  </si>
  <si>
    <t>Y8Fz3QgIVNOUxHPdCDNDSVEuTllTRTpJQk0uSVFfU1RPQ0tfQkFTRURfU00uOTkyLjQvMS8yMDI1Li4uVVNELkgBAAAA3rYBAAMAAAAAAB9O2mPBc90ICFTTlMRz3QgzQ0lRLk5ZU0U6SUJNLklRX1NUT0NLX0JBU0VEX1NNLjk5My40LzEvMjAyNS4uLlVTRC5IAQAAAN62AQADAAAAAAAfTtpjwXPdCAhU05TEc90IM0NJUS5OWVNFOklCTS5JUV9TVE9DS19CQVNFRF9TTS45OTQuNC8xLzIwMjUuLi5VU0QuSAEAAADetgEAAwAAAAAAH07aY8Fz3QgIVNOUxHPdCDNDSVEuTllTRTpJQk0uSVFfU1RPQ0tfQkFTRURfU00uOTk1LjQvMS8yMDI1Li4uVVNELkgBAAAA3rYBAAMAAAAAAB9O2mPBc90ICFTTlMRz3QgzQ0lRLk5ZU0U6SUJNLklRX1NUT0NLX0JBU0VEX1JELjk5OC40LzEvMjAyNS4uLlVTRC5IAQAAAN62AQACAAAAAzI1OAEIAAAABQAAAAExAQAAAAstMTk1ODI4MTA5NgMAAAADMTYwAgAAAAUyMjY3OAQAAAABMAcAAAAINC8xLzIwMjUIAAAACjEyLzMxLzIwMjIJAAAAATAfTtpjwXPdCAhU05TEc90IM0NJUS5OWVNFOklCTS5JUV9TVE9DS19CQVNFRF9SRC45OTkuNC8xLzIwMjUuLi5VU0QuSAEAAADetgEAAgAAAAMzMjgBCAAAAAUAAAABMQEAAAALLTE5NTgyODEwOTUDAAAAAzE2MAIAAAAFMjI2NzgEAAAAATAHAAAACDQvMS8yMDI1CAAAAAoxMi8zMS8yMDIzCQAAAAEwH07aY8Fz3QhP58KUxHPdCDRD</t>
  </si>
  <si>
    <t>SVEuTllTRTpJQk0uSVFfU1RPQ0tfQkFTRURfUkQuMTAwMC40LzEvMjAyNS4uLlVTRC5IAQAAAN62AQACAAAAAzM5OAEIAAAABQAAAAExAQAAAAstMTk1ODI4MTA5NwMAAAADMTYwAgAAAAUyMjY3OAQAAAABMAcAAAAINC8xLzIwMjUIAAAACjEyLzMxLzIwMjQJAAAAATAfTtpjwXPdCAhU05TEc90INENJUS5OWVNFOklCTS5JUV9TVE9DS19CQVNFRF9SRC4yMDAwLjQvMS8yMDI1Li4uVVNELkgBAAAA3rYBAAIAAAADMzk4AQgAAAAFAAAAATEBAAAACy0xOTU4MjgwNjE1AwAAAAMxNjACAAAABTIyNjc4BAAAAAEwBwAAAAg0LzEvMjAyNQgAAAAKMTIvMzEvMjAyNAkAAAABMB9O2mPBc90IyJO/lMRz3QgzQ0lRLk5ZU0U6SUJNLklRX1NUT0NLX0JBU0VEX1NNLjk5MC40LzEvMjAyNS4uLlVTRC5IAQAAAN62AQADAAAAAAAfTtpjwXPdCAhU05TEc90IM0NJUS5OWVNFOklCTS5JUV9TVE9DS19CQVNFRF9SRC45OTMuNC8xLzIwMjUuLi5VU0QuSAEAAADetgEAAgAAAAI1OQEIAAAABQAAAAExAQAAAAoyMDE3MTY0MjQ0AwAAAAMxNjACAAAABTIyNjc4BAAAAAEwBwAAAAg0LzEvMjAyNQgAAAAKMTIvMzEvMjAxNwkAAAABMB9O2mPBc90ICFTTlMRz3QgzQ0lRLk5ZU0U6SUJNLklRX1NUT0NLX0JBU0VEX1JELjk5NC40LzEvMjAyNS4uLlVTRC5IAQAAAN62AQACAAAAAjY3AQgAAAAFAAAAATEBAAAACjIwODE1MDU0MDED</t>
  </si>
  <si>
    <t>AAAAAzE2MAIAAAAFMjI2NzgEAAAAATAHAAAACDQvMS8yMDI1CAAAAAoxMi8zMS8yMDE4CQAAAAEwH07aY8Fz3QgIVNOUxHPdCDNDSVEuTllTRTpJQk0uSVFfU1RPQ0tfQkFTRURfUkQuOTk1LjQvMS8yMDI1Li4uVVNELkgBAAAA3rYBAAIAAAADMTI1AQgAAAAFAAAAATEBAAAACy0yMTEwNzY5MzU1AwAAAAMxNjACAAAABTIyNjc4BAAAAAEwBwAAAAg0LzEvMjAyNQgAAAAKMTIvMzEvMjAxOQkAAAABMB9O2mPBc90ICFTTlMRz3QgzQ0lRLk5ZU0U6SUJNLklRX1NUT0NLX0JBU0VEX1JELjk5Ni40LzEvMjAyNS4uLlVTRC5IAQAAAN62AQACAAAAAzE5NwEIAAAABQAAAAExAQAAAAstMjA1OTA3MzIwMgMAAAADMTYwAgAAAAUyMjY3OAQAAAABMAcAAAAINC8xLzIwMjUIAAAACjEyLzMxLzIwMjAJAAAAATAfTtpjwXPdCAhU05TEc90IM0NJUS5OWVNFOklCTS5JUV9TVE9DS19CQVNFRF9SRC45OTcuNC8xLzIwMjUuLi5VU0QuSAEAAADetgEAAgAAAAMyMTgBCAAAAAUAAAABMQEAAAALLTIwMDg2NDcxOTgDAAAAAzE2MAIAAAAFMjI2NzgEAAAAATAHAAAACDQvMS8yMDI1CAAAAAoxMi8zMS8yMDIxCQAAAAEwH07aY8Fz3QgIVNOUxHPdCDZDSVEuTllTRTpJQk0uSVFfU1RPQ0tfQkFTRURfQ09HUy4xMDAwLjQvMS8yMDI1Li4uVVNELkgBAAAA3rYBAAIAAAADMjIzAQgAAAAFAAAAATEBAAAACy0xOTU4MjgxMDk3AwAA</t>
  </si>
  <si>
    <t>AAMxNjACAAAABTIyNjc0BAAAAAEwBwAAAAg0LzEvMjAyNQgAAAAKMTIvMzEvMjAyNAkAAAABMB9O2mPBc90ICFTTlMRz3Qg2Q0lRLk5ZU0U6SUJNLklRX1NUT0NLX0JBU0VEX0NPR1MuMjAwMC40LzEvMjAyNS4uLlVTRC5IAQAAAN62AQACAAAAAzIyMwEIAAAABQAAAAExAQAAAAstMTk1ODI4MDYxNQMAAAADMTYwAgAAAAUyMjY3NAQAAAABMAcAAAAINC8xLzIwMjUIAAAACjEyLzMxLzIwMjQJAAAAATAfTtpjwXPdCMiTv5TEc90IM0NJUS5OWVNFOklCTS5JUV9TVE9DS19CQVNFRF9SRC45OTAuNC8xLzIwMjUuLi5VU0QuSAEAAADetgEAAgAAAAI1NAEIAAAABQAAAAExAQAAAAoxODI5OTExOTY4AwAAAAMxNjACAAAABTIyNjc4BAAAAAEwBwAAAAg0LzEvMjAyNQgAAAAKMTIvMzEvMjAxNAkAAAABMB9O2mPBc90ICFTTlMRz3QgzQ0lRLk5ZU0U6SUJNLklRX1NUT0NLX0JBU0VEX1JELjk5MS40LzEvMjAyNS4uLlVTRC5IAQAAAN62AQACAAAAAjUxAQgAAAAFAAAAATEBAAAACjE4NzY0MzI4NzIDAAAAAzE2MAIAAAAFMjI2NzgEAAAAATAHAAAACDQvMS8yMDI1CAAAAAoxMi8zMS8yMDE1CQAAAAEwH07aY8Fz3QgIVNOUxHPdCDNDSVEuTllTRTpJQk0uSVFfU1RPQ0tfQkFTRURfUkQuOTkyLjQvMS8yMDI1Li4uVVNELkgBAAAA3rYBAAIAAAACNTUBCAAAAAUAAAABMQEAAAAKMTk0NzE3OTU4MwMAAAADMTYwAgAA</t>
  </si>
  <si>
    <t>AAUyMjY3OAQAAAABMAcAAAAINC8xLzIwMjUIAAAACjEyLzMxLzIwMTYJAAAAATAfTtpjwXPdCAhU05TEc90INUNJUS5OWVNFOklCTS5JUV9TVE9DS19CQVNFRF9DT0dTLjk5NS40LzEvMjAyNS4uLlVTRC5IAQAAAN62AQACAAAAAjg1AQgAAAAFAAAAATEBAAAACy0yMTEwNzY5MzU1AwAAAAMxNjACAAAABTIyNjc0BAAAAAEwBwAAAAg0LzEvMjAyNQgAAAAKMTIvMzEvMjAxOQkAAAABMB9O2mPBc90ICFTTlMRz3Qg1Q0lRLk5ZU0U6SUJNLklRX1NUT0NLX0JBU0VEX0NPR1MuOTk2LjQvMS8yMDI1Li4uVVNELkgBAAAA3rYBAAIAAAADMTI2AQgAAAAFAAAAATEBAAAACy0yMDU5MDczMjAyAwAAAAMxNjACAAAABTIyNjc0BAAAAAEwBwAAAAg0LzEvMjAyNQgAAAAKMTIvMzEvMjAyMAkAAAABMB9O2mPBc90ICFTTlMRz3Qg1Q0lRLk5ZU0U6SUJNLklRX1NUT0NLX0JBU0VEX0NPR1MuOTk3LjQvMS8yMDI1Li4uVVNELkgBAAAA3rYBAAIAAAADMTQ1AQgAAAAFAAAAATEBAAAACy0yMDA4NjQ3MTk4AwAAAAMxNjACAAAABTIyNjc0BAAAAAEwBwAAAAg0LzEvMjAyNQgAAAAKMTIvMzEvMjAyMQkAAAABMB9O2mPBc90ICFTTlMRz3Qg1Q0lRLk5ZU0U6SUJNLklRX1NUT0NLX0JBU0VEX0NPR1MuOTk4LjQvMS8yMDI1Li4uVVNELkgBAAAA3rYBAAIAAAADMTY0AQgAAAAFAAAAATEBAAAACy0xOTU4MjgxMDk2AwAAAAMxNjAC</t>
  </si>
  <si>
    <t>AAAABTIyNjc0BAAAAAEwBwAAAAg0LzEvMjAyNQgAAAAKMTIvMzEvMjAyMgkAAAABMB9O2mPBc90ICFTTlMRz3Qg1Q0lRLk5ZU0U6SUJNLklRX1NUT0NLX0JBU0VEX0NPR1MuOTk5LjQvMS8yMDI1Li4uVVNELkgBAAAA3rYBAAIAAAADMTkwAQgAAAAFAAAAATEBAAAACy0xOTU4MjgxMDk1AwAAAAMxNjACAAAABTIyNjc0BAAAAAEwBwAAAAg0LzEvMjAyNQgAAAAKMTIvMzEvMjAyMwkAAAABMB9O2mPBc90IT+fClMRz3Qg1Q0lRLk5ZU0U6SUJNLklRX1NUT0NLX0JBU0VEX0NPR1MuOTkwLjQvMS8yMDI1Li4uVVNELkgBAAAA3rYBAAIAAAADMTIxAQgAAAAFAAAAATEBAAAACjE4Mjk5MTE5NjgDAAAAAzE2MAIAAAAFMjI2NzQEAAAAATAHAAAACDQvMS8yMDI1CAAAAAoxMi8zMS8yMDE0CQAAAAEwH07aY8Fz3QgIVNOUxHPdCDVDSVEuTllTRTpJQk0uSVFfU1RPQ0tfQkFTRURfQ09HUy45OTEuNC8xLzIwMjUuLi5VU0QuSAEAAADetgEAAgAAAAMxMDABCAAAAAUAAAABMQEAAAAKMTg3NjQzMjg3MgMAAAADMTYwAgAAAAUyMjY3NAQAAAABMAcAAAAINC8xLzIwMjUIAAAACjEyLzMxLzIwMTUJAAAAATAfTtpjwXPdCAhU05TEc90INUNJUS5OWVNFOklCTS5JUV9TVE9DS19CQVNFRF9DT0dTLjk5Mi40LzEvMjAyNS4uLlVTRC5IAQAAAN62AQACAAAAAjg4AQgAAAAFAAAAATEBAAAACjE5NDcxNzk1ODMDAAAAAzE2MAIA</t>
  </si>
  <si>
    <t>AAAFMjI2NzQEAAAAATAHAAAACDQvMS8yMDI1CAAAAAoxMi8zMS8yMDE2CQAAAAEwH07aY8Fz3QgIVNOUxHPdCDVDSVEuTllTRTpJQk0uSVFfU1RPQ0tfQkFTRURfQ09HUy45OTMuNC8xLzIwMjUuLi5VU0QuSAEAAADetgEAAgAAAAI5MQEIAAAABQAAAAExAQAAAAoyMDE3MTY0MjQ0AwAAAAMxNjACAAAABTIyNjc0BAAAAAEwBwAAAAg0LzEvMjAyNQgAAAAKMTIvMzEvMjAxNwkAAAABMB9O2mPBc90ICFTTlMRz3Qg1Q0lRLk5ZU0U6SUJNLklRX1NUT0NLX0JBU0VEX0NPR1MuOTk0LjQvMS8yMDI1Li4uVVNELkgBAAAA3rYBAAIAAAACODIBCAAAAAUAAAABMQEAAAAKMjA4MTUwNTQwMQMAAAADMTYwAgAAAAUyMjY3NAQAAAABMAcAAAAINC8xLzIwMjUIAAAACjEyLzMxLzIwMTgJAAAAATAfTtpjwXPdCAhU05TEc90IOUNJUS5OWVNFOklCTS5JUV9ORUdBVElWRV9HV19BTU9SVF9BVC45OTcuNC8xLzIwMjUuLi5VU0QuSAEAAADetgEAAwAAAAAAH07aY8Fz3QgIVNOUxHPdCDlDSVEuTllTRTpJQk0uSVFfTkVHQVRJVkVfR1dfQU1PUlRfQVQuOTk4LjQvMS8yMDI1Li4uVVNELkgBAAAA3rYBAAMAAAAAAB9O2mPBc90ICFTTlMRz3Qg5Q0lRLk5ZU0U6SUJNLklRX05FR0FUSVZFX0dXX0FNT1JUX0FULjk5OS40LzEvMjAyNS4uLlVTRC5IAQAAAN62AQADAAAAAAAfTtpjwXPdCE/nwpTEc90IOkNJUS5OWVNFOklCTS5J</t>
  </si>
  <si>
    <t>UV9ORUdBVElWRV9HV19BTU9SVF9BVC4xMDAwLjQvMS8yMDI1Li4uVVNELkgBAAAA3rYBAAMAAAAAAB9O2mPBc90ICFTTlMRz3Qg6Q0lRLk5ZU0U6SUJNLklRX05FR0FUSVZFX0dXX0FNT1JUX0FULjIwMDAuNC8xLzIwMjUuLi5VU0QuSAEAAADetgEAAwAAAAAAH07aY8Fz3QjIk7+UxHPdCDlDSVEuTllTRTpJQk0uSVFfTkVHQVRJVkVfR1dfQU1PUlRfQVQuOTkyLjQvMS8yMDI1Li4uVVNELkgBAAAA3rYBAAMAAAAAAB9O2mPBc90ICFTTlMRz3Qg5Q0lRLk5ZU0U6SUJNLklRX05FR0FUSVZFX0dXX0FNT1JUX0FULjk5My40LzEvMjAyNS4uLlVTRC5IAQAAAN62AQADAAAAAAAfTtpjwXPdCAhU05TEc90IOUNJUS5OWVNFOklCTS5JUV9ORUdBVElWRV9HV19BTU9SVF9BVC45OTQuNC8xLzIwMjUuLi5VU0QuSAEAAADetgEAAwAAAAAAH07aY8Fz3QgIVNOUxHPdCDlDSVEuTllTRTpJQk0uSVFfTkVHQVRJVkVfR1dfQU1PUlRfQVQuOTk1LjQvMS8yMDI1Li4uVVNELkgBAAAA3rYBAAMAAAAAAB9O2mPBc90ICFTTlMRz3Qg5Q0lRLk5ZU0U6SUJNLklRX05FR0FUSVZFX0dXX0FNT1JUX0FULjk5Ni40LzEvMjAyNS4uLlVTRC5IAQAAAN62AQADAAAAAAAfTtpjwXPdCAhU05TEc90INkNJUS5OWVNFOklCTS5JUV9ORUdBVElWRV9HV19BTU9SVC45OTkuNC8xLzIwMjUuLi5VU0QuSAEAAADetgEAAwAAAAAAH07aY8Fz3QhP</t>
  </si>
  <si>
    <t>58KUxHPdCDdDSVEuTllTRTpJQk0uSVFfTkVHQVRJVkVfR1dfQU1PUlQuMTAwMC40LzEvMjAyNS4uLlVTRC5IAQAAAN62AQADAAAAAAAfTtpjwXPdCAhU05TEc90IN0NJUS5OWVNFOklCTS5JUV9ORUdBVElWRV9HV19BTU9SVC4yMDAwLjQvMS8yMDI1Li4uVVNELkgBAAAA3rYBAAMAAAAAAB9O2mPBc90IyJO/lMRz3Qg5Q0lRLk5ZU0U6SUJNLklRX05FR0FUSVZFX0dXX0FNT1JUX0FULjk5MC40LzEvMjAyNS4uLlVTRC5IAQAAAN62AQADAAAAAAAfTtpjwXPdCLWy0ZTEc90IOUNJUS5OWVNFOklCTS5JUV9ORUdBVElWRV9HV19BTU9SVF9BVC45OTEuNC8xLzIwMjUuLi5VU0QuSAEAAADetgEAAwAAAAAAH07aY8Fz3Qi1stGUxHPdCDZDSVEuTllTRTpJQk0uSVFfTkVHQVRJVkVfR1dfQU1PUlQuOTk0LjQvMS8yMDI1Li4uVVNELkgBAAAA3rYBAAMAAAAAAB9O2mPBc90ItbLRlMRz3Qg2Q0lRLk5ZU0U6SUJNLklRX05FR0FUSVZFX0dXX0FNT1JULjk5NS40LzEvMjAyNS4uLlVTRC5IAQAAAN62AQADAAAAAAAfTtpjwXPdCAhU05TEc90INkNJUS5OWVNFOklCTS5JUV9ORUdBVElWRV9HV19BTU9SVC45OTYuNC8xLzIwMjUuLi5VU0QuSAEAAADetgEAAwAAAAAAH07aY8Fz3QgIVNOUxHPdCDZDSVEuTllTRTpJQk0uSVFfTkVHQVRJVkVfR1dfQU1PUlQuOTk3LjQvMS8yMDI1Li4uVVNELkgBAAAA3rYBAAMAAAAAAB9O</t>
  </si>
  <si>
    <t>2mPBc90ItbLRlMRz3Qg2Q0lRLk5ZU0U6SUJNLklRX05FR0FUSVZFX0dXX0FNT1JULjk5OC40LzEvMjAyNS4uLlVTRC5IAQAAAN62AQADAAAAAAAfTtpjwXPdCLWy0ZTEc90IOkNJUS5OWVNFOklCTS5JUV9UT1RBTF9VTlVTVUFMX1NVUFBMRS4yMDAwLjQvMS8yMDI1Li4uVVNELkgBAAAA3rYBAAMAAAAAAB9O2mPBc90IyJO/lMRz3Qg2Q0lRLk5ZU0U6SUJNLklRX05FR0FUSVZFX0dXX0FNT1JULjk5MC40LzEvMjAyNS4uLlVTRC5IAQAAAN62AQADAAAAAAAfTtpjwXPdCLWy0ZTEc90INkNJUS5OWVNFOklCTS5JUV9ORUdBVElWRV9HV19BTU9SVC45OTEuNC8xLzIwMjUuLi5VU0QuSAEAAADetgEAAwAAAAAAH07aY8Fz3Qi1stGUxHPdCDZDSVEuTllTRTpJQk0uSVFfTkVHQVRJVkVfR1dfQU1PUlQuOTkyLjQvMS8yMDI1Li4uVVNELkgBAAAA3rYBAAMAAAAAAB9O2mPBc90ItbLRlMRz3Qg2Q0lRLk5ZU0U6SUJNLklRX05FR0FUSVZFX0dXX0FNT1JULjk5My40LzEvMjAyNS4uLlVTRC5IAQAAAN62AQADAAAAAAAfTtpjwXPdCLWy0ZTEc90IOUNJUS5OWVNFOklCTS5JUV9UT1RBTF9VTlVTVUFMX1NVUFBMRS45OTYuNC8xLzIwMjUuLi5VU0QuSAEAAADetgEAAgAAAAMtMTMBCAAAAAUAAAABMQEAAAALLTIwNTkwNzMyMDIDAAAAAzE2MAIAAAAFMzMzOTAEAAAAATAHAAAACDQvMS8yMDI1CAAAAAoxMi8zMS8yMDIw</t>
  </si>
  <si>
    <t>CQAAAAEwH07aY8Fz3Qi1stGUxHPdCDlDSVEuTllTRTpJQk0uSVFfVE9UQUxfVU5VU1VBTF9TVVBQTEUuOTk3LjQvMS8yMDI1Li4uVVNELkgBAAAA3rYBAAMAAAAAAB9O2mPBc90ItbLRlMRz3Qg5Q0lRLk5ZU0U6SUJNLklRX1RPVEFMX1VOVVNVQUxfU1VQUExFLjk5OC40LzEvMjAyNS4uLlVTRC5IAQAAAN62AQADAAAAAAAfTtpjwXPdCLWy0ZTEc90IOUNJUS5OWVNFOklCTS5JUV9UT1RBTF9VTlVTVUFMX1NVUFBMRS45OTkuNC8xLzIwMjUuLi5VU0QuSAEAAADetgEAAwAAAAAAH07aY8Fz3QhP58KUxHPdCDpDSVEuTllTRTpJQk0uSVFfVE9UQUxfVU5VU1VBTF9TVVBQTEUuMTAwMC40LzEvMjAyNS4uLlVTRC5IAQAAAN62AQADAAAAAAAfTtpjwXPdCLWy0ZTEc90IOUNJUS5OWVNFOklCTS5JUV9UT1RBTF9VTlVTVUFMX1NVUFBMRS45OTEuNC8xLzIwMjUuLi5VU0QuSAEAAADetgEAAwAAAAAAH07aY8Fz3Qi1stGUxHPdCDlDSVEuTllTRTpJQk0uSVFfVE9UQUxfVU5VU1VBTF9TVVBQTEUuOTkyLjQvMS8yMDI1Li4uVVNELkgBAAAA3rYBAAMAAAAAAB9O2mPBc90ItbLRlMRz3Qg5Q0lRLk5ZU0U6SUJNLklRX1RPVEFMX1VOVVNVQUxfU1VQUExFLjk5My40LzEvMjAyNS4uLlVTRC5IAQAAAN62AQACAAAAAjkxAQgAAAAFAAAAATEBAAAACjIwMTcxNjQyNDQDAAAAAzE2MAIAAAAFMzMzOTAEAAAAATAHAAAACDQv</t>
  </si>
  <si>
    <t>MS8yMDI1CAAAAAoxMi8zMS8yMDE3CQAAAAEwH07aY8Fz3Qi1stGUxHPdCDlDSVEuTllTRTpJQk0uSVFfVE9UQUxfVU5VU1VBTF9TVVBQTEUuOTk0LjQvMS8yMDI1Li4uVVNELkgBAAAA3rYBAAIAAAADLTE2AQgAAAAFAAAAATEBAAAACjIwODE1MDU0MDEDAAAAAzE2MAIAAAAFMzMzOTAEAAAAATAHAAAACDQvMS8yMDI1CAAAAAoxMi8zMS8yMDE4CQAAAAEwH07aY8Fz3Qi1stGUxHPdCDlDSVEuTllTRTpJQk0uSVFfVE9UQUxfVU5VU1VBTF9TVVBQTEUuOTk1LjQvMS8yMDI1Li4uVVNELkgBAAAA3rYBAAIAAAAELTQyMwEIAAAABQAAAAExAQAAAAstMjExMDc2OTM1NQMAAAADMTYwAgAAAAUzMzM5MAQAAAABMAcAAAAINC8xLzIwMjUIAAAACjEyLzMxLzIwMTkJAAAAATAfTtpjwXPdCLWy0ZTEc90IOUNJUS5OWVNFOklCTS5JUV9PVEhFUl9VTlVTVUFMX1NVUFBMRS45OTguNC8xLzIwMjUuLi5VU0QuSAEAAADetgEAAwAAAAAAH07aY8Fz3Qi1stGUxHPdCDlDSVEuTllTRTpJQk0uSVFfT1RIRVJfVU5VU1VBTF9TVVBQTEUuOTk5LjQvMS8yMDI1Li4uVVNELkgBAAAA3rYBAAMAAAAAAB9O2mPBc90IT+fClMRz3Qg6Q0lRLk5ZU0U6SUJNLklRX09USEVSX1VOVVNVQUxfU1VQUExFLjEwMDAuNC8xLzIwMjUuLi5VU0QuSAEAAADetgEAAwAAAAAAH07aY8Fz3Qi1stGUxHPdCDpDSVEuTllTRTpJQk0uSVFfT1RIRVJf</t>
  </si>
  <si>
    <t>VU5VU1VBTF9TVVBQTEUuMjAwMC40LzEvMjAyNS4uLlVTRC5IAQAAAN62AQADAAAAAAAfTtpjwXPdCMiTv5TEc90IOUNJUS5OWVNFOklCTS5JUV9UT1RBTF9VTlVTVUFMX1NVUFBMRS45OTAuNC8xLzIwMjUuLi5VU0QuSAEAAADetgEAAwAAAAAAH07aY8Fz3Qi1stGUxHPdCDlDSVEuTllTRTpJQk0uSVFfT1RIRVJfVU5VU1VBTF9TVVBQTEUuOTkzLjQvMS8yMDI1Li4uVVNELkgBAAAA3rYBAAMAAAAAAB9O2mPBc90ItbLRlMRz3Qg5Q0lRLk5ZU0U6SUJNLklRX09USEVSX1VOVVNVQUxfU1VQUExFLjk5NC40LzEvMjAyNS4uLlVTRC5IAQAAAN62AQADAAAAAAAfTtpjwXPdCLWy0ZTEc90IOUNJUS5OWVNFOklCTS5JUV9PVEhFUl9VTlVTVUFMX1NVUFBMRS45OTUuNC8xLzIwMjUuLi5VU0QuSAEAAADetgEAAwAAAAAAH07aY8Fz3Qi1stGUxHPdCDlDSVEuTllTRTpJQk0uSVFfT1RIRVJfVU5VU1VBTF9TVVBQTEUuOTk2LjQvMS8yMDI1Li4uVVNELkgBAAAA3rYBAAMAAAAAAB9O2mPBc90ItbLRlMRz3Qg5Q0lRLk5ZU0U6SUJNLklRX09USEVSX1VOVVNVQUxfU1VQUExFLjk5Ny40LzEvMjAyNS4uLlVTRC5IAQAAAN62AQADAAAAAAAfTtpjwXPdCLWy0ZTEc90IOUNJUS5OWVNFOklCTS5JUV9MRUdBTF9TRVRUTEVfU1VQUExFLjEwMDAuNC8xLzIwMjUuLi5VU0QuSAEAAADetgEAAwAAAAAAH07aY8Fz3Qi1stGUxHPd</t>
  </si>
  <si>
    <t>CDlDSVEuTllTRTpJQk0uSVFfTEVHQUxfU0VUVExFX1NVUFBMRS4yMDAwLjQvMS8yMDI1Li4uVVNELkgBAAAA3rYBAAMAAAAAAB9O2mPBc90IyJO/lMRz3Qg5Q0lRLk5ZU0U6SUJNLklRX09USEVSX1VOVVNVQUxfU1VQUExFLjk5MC40LzEvMjAyNS4uLlVTRC5IAQAAAN62AQADAAAAAAAfTtpjwXPdCLWy0ZTEc90IOUNJUS5OWVNFOklCTS5JUV9PVEhFUl9VTlVTVUFMX1NVUFBMRS45OTEuNC8xLzIwMjUuLi5VU0QuSAEAAADetgEAAwAAAAAAH07aY8Fz3Qi1stGUxHPdCDlDSVEuTllTRTpJQk0uSVFfT1RIRVJfVU5VU1VBTF9TVVBQTEUuOTkyLjQvMS8yMDI1Li4uVVNELkgBAAAA3rYBAAMAAAAAAB9O2mPBc90ItbLRlMRz3Qg4Q0lRLk5ZU0U6SUJNLklRX0xFR0FMX1NFVFRMRV9TVVBQTEUuOTk1LjQvMS8yMDI1Li4uVVNELkgBAAAA3rYBAAMAAAAAAB9O2mPBc90ItbLRlMRz3Qg4Q0lRLk5ZU0U6SUJNLklRX0xFR0FMX1NFVFRMRV9TVVBQTEUuOTk2LjQvMS8yMDI1Li4uVVNELkgBAAAA3rYBAAMAAAAAAB9O2mPBc90ItbLRlMRz3Qg4Q0lRLk5ZU0U6SUJNLklRX0xFR0FMX1NFVFRMRV9TVVBQTEUuOTk3LjQvMS8yMDI1Li4uVVNELkgBAAAA3rYBAAMAAAAAAB9O2mPBc90ItbLRlMRz3Qg4Q0lRLk5ZU0U6SUJNLklRX0xFR0FMX1NFVFRMRV9TVVBQTEUuOTk4LjQvMS8yMDI1Li4uVVNELkgBAAAA3rYBAAMA</t>
  </si>
  <si>
    <t>AAAAAB9O2mPBc90ItbLRlMRz3Qg4Q0lRLk5ZU0U6SUJNLklRX0xFR0FMX1NFVFRMRV9TVVBQTEUuOTk5LjQvMS8yMDI1Li4uVVNELkgBAAAA3rYBAAMAAAAAAB9O2mPBc90IT+fClMRz3Qg4Q0lRLk5ZU0U6SUJNLklRX0xFR0FMX1NFVFRMRV9TVVBQTEUuOTkwLjQvMS8yMDI1Li4uVVNELkgBAAAA3rYBAAMAAAAAAB9O2mPBc90ItbLRlMRz3Qg4Q0lRLk5ZU0U6SUJNLklRX0xFR0FMX1NFVFRMRV9TVVBQTEUuOTkxLjQvMS8yMDI1Li4uVVNELkgBAAAA3rYBAAMAAAAAAB9O2mPBc90ItbLRlMRz3Qg4Q0lRLk5ZU0U6SUJNLklRX0xFR0FMX1NFVFRMRV9TVVBQTEUuOTkyLjQvMS8yMDI1Li4uVVNELkgBAAAA3rYBAAMAAAAAAB9O2mPBc90ItbLRlMRz3Qg4Q0lRLk5ZU0U6SUJNLklRX0xFR0FMX1NFVFRMRV9TVVBQTEUuOTkzLjQvMS8yMDI1Li4uVVNELkgBAAAA3rYBAAIAAAACOTEBCAAAAAUAAAABMQEAAAAKMjAxNzE2NDI0NAMAAAADMTYwAgAAAAUyNDQ1MQQAAAABMAcAAAAINC8xLzIwMjUIAAAACjEyLzMxLzIwMTcJAAAAATAfTtpjwXPdCLWy0ZTEc90IOENJUS5OWVNFOklCTS5JUV9MRUdBTF9TRVRUTEVfU1VQUExFLjk5NC40LzEvMjAyNS4uLlVTRC5IAQAAAN62AQADAAAAAAAfTtpjwXPdCLWy0ZTEc90INkNJUS5OWVNFOklCTS5JUV9JTlNfU0VUVExFX1NVUFBMRS45OTcuNC8xLzIwMjUuLi5VU0Qu</t>
  </si>
  <si>
    <t>SAEAAADetgEAAwAAAAAAH07aY8Fz3Qi1stGUxHPdCDZDSVEuTllTRTpJQk0uSVFfSU5TX1NFVFRMRV9TVVBQTEUuOTk4LjQvMS8yMDI1Li4uVVNELkgBAAAA3rYBAAMAAAAAAB9O2mPBc90ItbLRlMRz3Qg2Q0lRLk5ZU0U6SUJNLklRX0lOU19TRVRUTEVfU1VQUExFLjk5OS40LzEvMjAyNS4uLlVTRC5IAQAAAN62AQADAAAAAAAfTtpjwXPdCE/nwpTEc90IN0NJUS5OWVNFOklCTS5JUV9JTlNfU0VUVExFX1NVUFBMRS4xMDAwLjQvMS8yMDI1Li4uVVNELkgBAAAA3rYBAAMAAAAAAB9O2mPBc90ItbLRlMRz3Qg3Q0lRLk5ZU0U6SUJNLklRX0lOU19TRVRUTEVfU1VQUExFLjIwMDAuNC8xLzIwMjUuLi5VU0QuSAEAAADetgEAAwAAAAAAH07aY8Fz3QjIk7+UxHPdCDZDSVEuTllTRTpJQk0uSVFfSU5TX1NFVFRMRV9TVVBQTEUuOTkyLjQvMS8yMDI1Li4uVVNELkgBAAAA3rYBAAMAAAAAAB9O2mPBc90ItbLRlMRz3Qg2Q0lRLk5ZU0U6SUJNLklRX0lOU19TRVRUTEVfU1VQUExFLjk5My40LzEvMjAyNS4uLlVTRC5IAQAAAN62AQADAAAAAAAfTtpjwXPdCLWy0ZTEc90INkNJUS5OWVNFOklCTS5JUV9JTlNfU0VUVExFX1NVUFBMRS45OTQuNC8xLzIwMjUuLi5VU0QuSAEAAADetgEAAwAAAAAAH07aY8Fz3Qi1stGUxHPdCDZDSVEuTllTRTpJQk0uSVFfSU5TX1NFVFRMRV9TVVBQTEUuOTk1LjQvMS8yMDI1Li4uVVNE</t>
  </si>
  <si>
    <t>LkgBAAAA3rYBAAMAAAAAAB9O2mPBc90ItbLRlMRz3Qg2Q0lRLk5ZU0U6SUJNLklRX0lOU19TRVRUTEVfU1VQUExFLjk5Ni40LzEvMjAyNS4uLlVTRC5IAQAAAN62AQADAAAAAAAfTtpjwXPdCLWy0ZTEc90IPENJUS5OWVNFOklCTS5JUV9HQUlOX0JBUkdBSU5fQUNRX1NVUFBMRS45OTkuNC8xLzIwMjUuLi5VU0QuSAEAAADetgEAAwAAAAAAH07aY8Fz3QhP58KUxHPdCD1DSVEuTllTRTpJQk0uSVFfR0FJTl9CQVJHQUlOX0FDUV9TVVBQTEUuMTAwMC40LzEvMjAyNS4uLlVTRC5IAQAAAN62AQADAAAAAAAfTtpjwXPdCLWy0ZTEc90IPUNJUS5OWVNFOklCTS5JUV9HQUlOX0JBUkdBSU5fQUNRX1NVUFBMRS4yMDAwLjQvMS8yMDI1Li4uVVNELkgBAAAA3rYBAAMAAAAAAB9O2mPBc90IyJO/lMRz3Qg2Q0lRLk5ZU0U6SUJNLklRX0lOU19TRVRUTEVfU1VQUExFLjk5MC40LzEvMjAyNS4uLlVTRC5IAQAAAN62AQADAAAAAAAfTtpjwXPdCLWy0ZTEc90INkNJUS5OWVNFOklCTS5JUV9JTlNfU0VUVExFX1NVUFBMRS45OTEuNC8xLzIwMjUuLi5VU0QuSAEAAADetgEAAwAAAAAAH07aY8Fz3Qi1stGUxHPdCDxDSVEuTllTRTpJQk0uSVFfR0FJTl9CQVJHQUlOX0FDUV9TVVBQTEUuOTk0LjQvMS8yMDI1Li4uVVNELkgBAAAA3rYBAAMAAAAAAB9O2mPBc90ItbLRlMRz3Qg8Q0lRLk5ZU0U6SUJNLklRX0dBSU5fQkFSR0FJ</t>
  </si>
  <si>
    <t>Tl9BQ1FfU1VQUExFLjk5NS40LzEvMjAyNS4uLlVTRC5IAQAAAN62AQADAAAAAAAfTtpjwXPdCLWy0ZTEc90IPENJUS5OWVNFOklCTS5JUV9HQUlOX0JBUkdBSU5fQUNRX1NVUFBMRS45OTYuNC8xLzIwMjUuLi5VU0QuSAEAAADetgEAAwAAAAAAH07aY8Fz3Qi1stGUxHPdCDxDSVEuTllTRTpJQk0uSVFfR0FJTl9CQVJHQUlOX0FDUV9TVVBQTEUuOTk3LjQvMS8yMDI1Li4uVVNELkgBAAAA3rYBAAMAAAAAAB9O2mPBc90ItbLRlMRz3Qg8Q0lRLk5ZU0U6SUJNLklRX0dBSU5fQkFSR0FJTl9BQ1FfU1VQUExFLjk5OC40LzEvMjAyNS4uLlVTRC5IAQAAAN62AQADAAAAAAAfTtpjwXPdCLWy0ZTEc90INkNJUS5OWVNFOklCTS5JUV9HQUlOX0JBUkdBSU5fQUNRLjIwMDAuNC8xLzIwMjUuLi5VU0QuSAEAAADetgEAAwAAAAAAH07aY8Fz3QjIk7+UxHPdCDxDSVEuTllTRTpJQk0uSVFfR0FJTl9CQVJHQUlOX0FDUV9TVVBQTEUuOTkwLjQvMS8yMDI1Li4uVVNELkgBAAAA3rYBAAMAAAAAAB9O2mPBc90ItbLRlMRz3Qg8Q0lRLk5ZU0U6SUJNLklRX0dBSU5fQkFSR0FJTl9BQ1FfU1VQUExFLjk5MS40LzEvMjAyNS4uLlVTRC5IAQAAAN62AQADAAAAAAAfTtpjwXPdCLWy0ZTEc90IPENJUS5OWVNFOklCTS5JUV9HQUlOX0JBUkdBSU5fQUNRX1NVUFBMRS45OTIuNC8xLzIwMjUuLi5VU0QuSAEAAADetgEAAwAAAAAAH07a</t>
  </si>
  <si>
    <t>Y8Fz3Qi1stGUxHPdCDxDSVEuTllTRTpJQk0uSVFfR0FJTl9CQVJHQUlOX0FDUV9TVVBQTEUuOTkzLjQvMS8yMDI1Li4uVVNELkgBAAAA3rYBAAMAAAAAAB9O2mPBc90ItbLRlMRz3Qg1Q0lRLk5ZU0U6SUJNLklRX0dBSU5fQkFSR0FJTl9BQ1EuOTk2LjQvMS8yMDI1Li4uVVNELkgBAAAA3rYBAAMAAAAAAB9O2mPBc90ItbLRlMRz3Qg1Q0lRLk5ZU0U6SUJNLklRX0dBSU5fQkFSR0FJTl9BQ1EuOTk3LjQvMS8yMDI1Li4uVVNELkgBAAAA3rYBAAMAAAAAAB9O2mPBc90ItbLRlMRz3Qg1Q0lRLk5ZU0U6SUJNLklRX0dBSU5fQkFSR0FJTl9BQ1EuOTk4LjQvMS8yMDI1Li4uVVNELkgBAAAA3rYBAAMAAAAAAB9O2mPBc90ItbLRlMRz3Qg1Q0lRLk5ZU0U6SUJNLklRX0dBSU5fQkFSR0FJTl9BQ1EuOTk5LjQvMS8yMDI1Li4uVVNELkgBAAAA3rYBAAMAAAAAAB9O2mPBc90IT+fClMRz3Qg2Q0lRLk5ZU0U6SUJNLklRX0dBSU5fQkFSR0FJTl9BQ1EuMTAwMC40LzEvMjAyNS4uLlVTRC5IAQAAAN62AQADAAAAAAAfTtpjwXPdCLWy0ZTEc90INUNJUS5OWVNFOklCTS5JUV9HQUlOX0JBUkdBSU5fQUNRLjk5MS40LzEvMjAyNS4uLlVTRC5IAQAAAN62AQADAAAAAAAfTtpjwXPdCLWy0ZTEc90INUNJUS5OWVNFOklCTS5JUV9HQUlOX0JBUkdBSU5fQUNRLjk5Mi40LzEvMjAyNS4uLlVTRC5IAQAAAN62AQADAAAAAAAfTtpj</t>
  </si>
  <si>
    <t>wXPdCLWy0ZTEc90INUNJUS5OWVNFOklCTS5JUV9HQUlOX0JBUkdBSU5fQUNRLjk5My40LzEvMjAyNS4uLlVTRC5IAQAAAN62AQADAAAAAAAfTtpjwXPdCLWy0ZTEc90INUNJUS5OWVNFOklCTS5JUV9HQUlOX0JBUkdBSU5fQUNRLjk5NC40LzEvMjAyNS4uLlVTRC5IAQAAAN62AQADAAAAAAAfTtpjwXPdCLWy0ZTEc90INUNJUS5OWVNFOklCTS5JUV9HQUlOX0JBUkdBSU5fQUNRLjk5NS40LzEvMjAyNS4uLlVTRC5IAQAAAN62AQADAAAAAAAfTtpjwXPdCLWy0ZTEc90IMENJUS5OWVNFOklCTS5JUV9JUFJEX1NVUFBMRS45OTguNC8xLzIwMjUuLi5VU0QuSAEAAADetgEAAwAAAAAAH07aY8Fz3Qi1stGUxHPdCDBDSVEuTllTRTpJQk0uSVFfSVBSRF9TVVBQTEUuOTk5LjQvMS8yMDI1Li4uVVNELkgBAAAA3rYBAAMAAAAAAB9O2mPBc90IT+fClMRz3QgxQ0lRLk5ZU0U6SUJNLklRX0lQUkRfU1VQUExFLjEwMDAuNC8xLzIwMjUuLi5VU0QuSAEAAADetgEAAwAAAAAAH07aY8Fz3Qi1stGUxHPdCDFDSVEuTllTRTpJQk0uSVFfSVBSRF9TVVBQTEUuMjAwMC40LzEvMjAyNS4uLlVTRC5IAQAAAN62AQADAAAAAAAfTtpjwXPdCMiTv5TEc90INUNJUS5OWVNFOklCTS5JUV9HQUlOX0JBUkdBSU5fQUNRLjk5MC40LzEvMjAyNS4uLlVTRC5IAQAAAN62AQADAAAAAAAfTtpjwXPdCLWy0ZTEc90IMENJUS5OWVNFOklCTS5J</t>
  </si>
  <si>
    <t>UV9JUFJEX1NVUFBMRS45OTMuNC8xLzIwMjUuLi5VU0QuSAEAAADetgEAAwAAAAAAH07aY8Fz3Qi1stGUxHPdCDBDSVEuTllTRTpJQk0uSVFfSVBSRF9TVVBQTEUuOTk0LjQvMS8yMDI1Li4uVVNELkgBAAAA3rYBAAMAAAAAAB9O2mPBc90ItbLRlMRz3QgwQ0lRLk5ZU0U6SUJNLklRX0lQUkRfU1VQUExFLjk5NS40LzEvMjAyNS4uLlVTRC5IAQAAAN62AQADAAAAAAAfTtpjwXPdCLWy0ZTEc90IMENJUS5OWVNFOklCTS5JUV9JUFJEX1NVUFBMRS45OTYuNC8xLzIwMjUuLi5VU0QuSAEAAADetgEAAwAAAAAAH07aY8Fz3Qi1stGUxHPdCDBDSVEuTllTRTpJQk0uSVFfSVBSRF9TVVBQTEUuOTk3LjQvMS8yMDI1Li4uVVNELkgBAAAA3rYBAAMAAAAAAB9O2mPBc90ItbLRlMRz3Qg8Q0lRLk5ZU0U6SUJNLklRX0FTU0VUX1dSSVRFRE9XTl9TVVBQTEUuMTAwMC40LzEvMjAyNS4uLlVTRC5IAQAAAN62AQADAAAAAAAfTtpjwXPdCLWy0ZTEc90IPENJUS5OWVNFOklCTS5JUV9BU1NFVF9XUklURURPV05fU1VQUExFLjIwMDAuNC8xLzIwMjUuLi5VU0QuSAEAAADetgEAAwAAAAAAH07aY8Fz3QjIk7+UxHPdCDBDSVEuTllTRTpJQk0uSVFfSVBSRF9TVVBQTEUuOTkwLjQvMS8yMDI1Li4uVVNELkgBAAAA3rYBAAMAAAAAAB9O2mPBc90ItbLRlMRz3QgwQ0lRLk5ZU0U6SUJNLklRX0lQUkRfU1VQUExFLjk5MS40LzEvMjAy</t>
  </si>
  <si>
    <t>NS4uLlVTRC5IAQAAAN62AQADAAAAAAAfTtpjwXPdCLWy0ZTEc90IMENJUS5OWVNFOklCTS5JUV9JUFJEX1NVUFBMRS45OTIuNC8xLzIwMjUuLi5VU0QuSAEAAADetgEAAwAAAAAAH07aY8Fz3Qi1stGUxHPdCDtDSVEuTllTRTpJQk0uSVFfQVNTRVRfV1JJVEVET1dOX1NVUFBMRS45OTUuNC8xLzIwMjUuLi5VU0QuSAEAAADetgEAAwAAAAAAH07aY8Fz3Qi1stGUxHPdCDtDSVEuTllTRTpJQk0uSVFfQVNTRVRfV1JJVEVET1dOX1NVUFBMRS45OTYuNC8xLzIwMjUuLi5VU0QuSAEAAADetgEAAwAAAAAAH07aY8Fz3Qi1stGUxHPdCDtDSVEuTllTRTpJQk0uSVFfQVNTRVRfV1JJVEVET1dOX1NVUFBMRS45OTcuNC8xLzIwMjUuLi5VU0QuSAEAAADetgEAAwAAAAAAH07aY8Fz3Qi1stGUxHPdCDtDSVEuTllTRTpJQk0uSVFfQVNTRVRfV1JJVEVET1dOX1NVUFBMRS45OTguNC8xLzIwMjUuLi5VU0QuSAEAAADetgEAAwAAAAAAH07aY8Fz3Qi1stGUxHPdCDtDSVEuTllTRTpJQk0uSVFfQVNTRVRfV1JJVEVET1dOX1NVUFBMRS45OTkuNC8xLzIwMjUuLi5VU0QuSAEAAADetgEAAwAAAAAAH07aY8Fz3QhP58KUxHPdCDtDSVEuTllTRTpJQk0uSVFfQVNTRVRfV1JJVEVET1dOX1NVUFBMRS45OTAuNC8xLzIwMjUuLi5VU0QuSAEAAADetgEAAwAAAAAAH07aY8Fz3Qi1stGUxHPdCDtDSVEuTllTRTpJQk0uSVFfQVNTRVRf</t>
  </si>
  <si>
    <t>V1JJVEVET1dOX1NVUFBMRS45OTEuNC8xLzIwMjUuLi5VU0QuSAEAAADetgEAAwAAAAAAH07aY8Fz3Qi1stGUxHPdCDtDSVEuTllTRTpJQk0uSVFfQVNTRVRfV1JJVEVET1dOX1NVUFBMRS45OTIuNC8xLzIwMjUuLi5VU0QuSAEAAADetgEAAwAAAAAAH07aY8Fz3Qi1stGUxHPdCDtDSVEuTllTRTpJQk0uSVFfQVNTRVRfV1JJVEVET1dOX1NVUFBMRS45OTMuNC8xLzIwMjUuLi5VU0QuSAEAAADetgEAAwAAAAAAH07aY8Fz3Qi1stGUxHPdCDtDSVEuTllTRTpJQk0uSVFfQVNTRVRfV1JJVEVET1dOX1NVUFBMRS45OTQuNC8xLzIwMjUuLi5VU0QuSAEAAADetgEAAwAAAAAAH07aY8Fz3Qi1stGUxHPdCDlDSVEuTllTRTpJQk0uSVFfSU1QQUlSTUVOVF9HV19TVVBQTEUuOTk3LjQvMS8yMDI1Li4uVVNELkgBAAAA3rYBAAMAAAAAAB9O2mPBc90ItbLRlMRz3Qg5Q0lRLk5ZU0U6SUJNLklRX0lNUEFJUk1FTlRfR1dfU1VQUExFLjk5OC40LzEvMjAyNS4uLlVTRC5IAQAAAN62AQADAAAAAAAfTtpjwXPdCLWy0ZTEc90IOUNJUS5OWVNFOklCTS5JUV9JTVBBSVJNRU5UX0dXX1NVUFBMRS45OTkuNC8xLzIwMjUuLi5VU0QuSAEAAADetgEAAwAAAAAAH07aY8Fz3QhP58KUxHPdCDpDSVEuTllTRTpJQk0uSVFfSU1QQUlSTUVOVF9HV19TVVBQTEUuMTAwMC40LzEvMjAyNS4uLlVTRC5IAQAAAN62AQADAAAAAAAfTtpjwXPd</t>
  </si>
  <si>
    <t>CLWy0ZTEc90IOkNJUS5OWVNFOklCTS5JUV9JTVBBSVJNRU5UX0dXX1NVUFBMRS4yMDAwLjQvMS8yMDI1Li4uVVNELkgBAAAA3rYBAAMAAAAAAB9O2mPBc90IyJO/lMRz3Qg5Q0lRLk5ZU0U6SUJNLklRX0lNUEFJUk1FTlRfR1dfU1VQUExFLjk5Mi40LzEvMjAyNS4uLlVTRC5IAQAAAN62AQADAAAAAAAfTtpjwXPdCLWy0ZTEc90IOUNJUS5OWVNFOklCTS5JUV9JTVBBSVJNRU5UX0dXX1NVUFBMRS45OTMuNC8xLzIwMjUuLi5VU0QuSAEAAADetgEAAwAAAAAAH07aY8Fz3Qi1stGUxHPdCDlDSVEuTllTRTpJQk0uSVFfSU1QQUlSTUVOVF9HV19TVVBQTEUuOTk0LjQvMS8yMDI1Li4uVVNELkgBAAAA3rYBAAMAAAAAAB9O2mPBc90ItbLRlMRz3Qg5Q0lRLk5ZU0U6SUJNLklRX0lNUEFJUk1FTlRfR1dfU1VQUExFLjk5NS40LzEvMjAyNS4uLlVTRC5IAQAAAN62AQADAAAAAAAfTtpjwXPdCLWy0ZTEc90IOUNJUS5OWVNFOklCTS5JUV9JTVBBSVJNRU5UX0dXX1NVUFBMRS45OTYuNC8xLzIwMjUuLi5VU0QuSAEAAADetgEAAwAAAAAAH07aY8Fz3Qi1stGUxHPdCDJDSVEuTllTRTpJQk0uSVFfTUVSR0VSX1NVUFBMRS45OTkuNC8xLzIwMjUuLi5VU0QuSAEAAADetgEAAwAAAAAAH07aY8Fz3QhP58KUxHPdCDNDSVEuTllTRTpJQk0uSVFfTUVSR0VSX1NVUFBMRS4xMDAwLjQvMS8yMDI1Li4uVVNELkgBAAAA3rYBAAMA</t>
  </si>
  <si>
    <t>AAAAAB9O2mPBc90ItbLRlMRz3QgzQ0lRLk5ZU0U6SUJNLklRX01FUkdFUl9TVVBQTEUuMjAwMC40LzEvMjAyNS4uLlVTRC5IAQAAAN62AQADAAAAAABd7+1jwXPdCMiTv5TEc90IOUNJUS5OWVNFOklCTS5JUV9JTVBBSVJNRU5UX0dXX1NVUFBMRS45OTAuNC8xLzIwMjUuLi5VU0QuSAEAAADetgEAAwAAAAAAXe/tY8Fz3Qi1stGUxHPdCDlDSVEuTllTRTpJQk0uSVFfSU1QQUlSTUVOVF9HV19TVVBQTEUuOTkxLjQvMS8yMDI1Li4uVVNELkgBAAAA3rYBAAMAAAAAAF3v7WPBc90ItbLRlMRz3QgyQ0lRLk5ZU0U6SUJNLklRX01FUkdFUl9TVVBQTEUuOTk0LjQvMS8yMDI1Li4uVVNELkgBAAAA3rYBAAIAAAADLTE2AQgAAAAFAAAAATEBAAAACjIwODE1MDU0MDEDAAAAAzE2MAIAAAAFMjQ0NTUEAAAAATAHAAAACDQvMS8yMDI1CAAAAAoxMi8zMS8yMDE4CQAAAAEwXe/tY8Fz3Qi1stGUxHPdCDJDSVEuTllTRTpJQk0uSVFfTUVSR0VSX1NVUFBMRS45OTUuNC8xLzIwMjUuLi5VU0QuSAEAAADetgEAAgAAAAQtNDIzAQgAAAAFAAAAATEBAAAACy0yMTEwNzY5MzU1AwAAAAMxNjACAAAABTI0NDU1BAAAAAEwBwAAAAg0LzEvMjAyNQgAAAAKMTIvMzEvMjAxOQkAAAABMF3v7WPBc90ItbLRlMRz3QgyQ0lRLk5ZU0U6SUJNLklRX01FUkdFUl9TVVBQTEUuOTk2LjQvMS8yMDI1Li4uVVNELkgBAAAA3rYBAAIAAAADLTEz</t>
  </si>
  <si>
    <t>AQgAAAAFAAAAATEBAAAACy0yMDU5MDczMjAyAwAAAAMxNjACAAAABTI0NDU1BAAAAAEwBwAAAAg0LzEvMjAyNQgAAAAKMTIvMzEvMjAyMAkAAAABMF3v7WPBc90ItbLRlMRz3QgyQ0lRLk5ZU0U6SUJNLklRX01FUkdFUl9TVVBQTEUuOTk3LjQvMS8yMDI1Li4uVVNELkgBAAAA3rYBAAMAAAAAAF3v7WPBc90ItbLRlMRz3QgyQ0lRLk5ZU0U6SUJNLklRX01FUkdFUl9TVVBQTEUuOTk4LjQvMS8yMDI1Li4uVVNELkgBAAAA3rYBAAMAAAAAAF3v7WPBc90ItbLRlMRz3Qg4Q0lRLk5ZU0U6SUJNLklRX1JFU1RSVUNUVVJFX1NVUFBMRS4yMDAwLjQvMS8yMDI1Li4uVVNELkgBAAAA3rYBAAMAAAAAAF3v7WPBc90IyJO/lMRz3QgyQ0lRLk5ZU0U6SUJNLklRX01FUkdFUl9TVVBQTEUuOTkwLjQvMS8yMDI1Li4uVVNELkgBAAAA3rYBAAMAAAAAAF3v7WPBc90ItbLRlMRz3QgyQ0lRLk5ZU0U6SUJNLklRX01FUkdFUl9TVVBQTEUuOTkxLjQvMS8yMDI1Li4uVVNELkgBAAAA3rYBAAMAAAAAAF3v7WPBc90ItbLRlMRz3QgyQ0lRLk5ZU0U6SUJNLklRX01FUkdFUl9TVVBQTEUuOTkyLjQvMS8yMDI1Li4uVVNELkgBAAAA3rYBAAMAAAAAAF3v7WPBc90ItbLRlMRz3QgyQ0lRLk5ZU0U6SUJNLklRX01FUkdFUl9TVVBQTEUuOTkzLjQvMS8yMDI1Li4uVVNELkgBAAAA3rYBAAMAAAAAAF3v7WPBc90ItbLRlMRz3Qg3Q0lRLk5Z</t>
  </si>
  <si>
    <t>U0U6SUJNLklRX1JFU1RSVUNUVVJFX1NVUFBMRS45OTYuNC8xLzIwMjUuLi5VU0QuSAEAAADetgEAAwAAAAAAXe/tY8Fz3Qi1stGUxHPdCDdDSVEuTllTRTpJQk0uSVFfUkVTVFJVQ1RVUkVfU1VQUExFLjk5Ny40LzEvMjAyNS4uLlVTRC5IAQAAAN62AQADAAAAAABd7+1jwXPdCLWy0ZTEc90IN0NJUS5OWVNFOklCTS5JUV9SRVNUUlVDVFVSRV9TVVBQTEUuOTk4LjQvMS8yMDI1Li4uVVNELkgBAAAA3rYBAAMAAAAAAF3v7WPBc90ItbLRlMRz3Qg3Q0lRLk5ZU0U6SUJNLklRX1JFU1RSVUNUVVJFX1NVUFBMRS45OTkuNC8xLzIwMjUuLi5VU0QuSAEAAADetgEAAwAAAAAAXe/tY8Fz3QiOK8OUxHPdCDhDSVEuTllTRTpJQk0uSVFfUkVTVFJVQ1RVUkVfU1VQUExFLjEwMDAuNC8xLzIwMjUuLi5VU0QuSAEAAADetgEAAwAAAAAAXe/tY8Fz3Qi1stGUxHPdCDdDSVEuTllTRTpJQk0uSVFfUkVTVFJVQ1RVUkVfU1VQUExFLjk5MS40LzEvMjAyNS4uLlVTRC5IAQAAAN62AQADAAAAAABd7+1jwXPdCLWy0ZTEc90IN0NJUS5OWVNFOklCTS5JUV9SRVNUUlVDVFVSRV9TVVBQTEUuOTkyLjQvMS8yMDI1Li4uVVNELkgBAAAA3rYBAAMAAAAAAF3v7WPBc90ItbLRlMRz3Qg3Q0lRLk5ZU0U6SUJNLklRX1JFU1RSVUNUVVJFX1NVUFBMRS45OTMuNC8xLzIwMjUuLi5VU0QuSAEAAADetgEAAwAAAAAAXe/tY8Fz3Qi1stGUxHPd</t>
  </si>
  <si>
    <t>CDdDSVEuTllTRTpJQk0uSVFfUkVTVFJVQ1RVUkVfU1VQUExFLjk5NC40LzEvMjAyNS4uLlVTRC5IAQAAAN62AQADAAAAAABd7+1jwXPdCLWy0ZTEc90IN0NJUS5OWVNFOklCTS5JUV9SRVNUUlVDVFVSRV9TVVBQTEUuOTk1LjQvMS8yMDI1Li4uVVNELkgBAAAA3rYBAAMAAAAAAF3v7WPBc90ItbLRlMRz3Qg8Q0lRLk5ZU0U6SUJNLklRX1NBTEFSSUVTX09USEVSX0JFTkVGSVRTLjk5OC40LzEvMjAyNS4uLlVTRC5IAQAAAN62AQADAAAAAABd7+1jwXPdCLWy0ZTEc90IPENJUS5OWVNFOklCTS5JUV9TQUxBUklFU19PVEhFUl9CRU5FRklUUy45OTkuNC8xLzIwMjUuLi5VU0QuSAEAAADetgEAAwAAAAAAXe/tY8Fz3QiOK8OUxHPdCD1DSVEuTllTRTpJQk0uSVFfU0FMQVJJRVNfT1RIRVJfQkVORUZJVFMuMTAwMC40LzEvMjAyNS4uLlVTRC5IAQAAAN62AQADAAAAAABd7+1jwXPdCLWy0ZTEc90IPUNJUS5OWVNFOklCTS5JUV9TQUxBUklFU19PVEhFUl9CRU5FRklUUy4yMDAwLjQvMS8yMDI1Li4uVVNELkgBAAAA3rYBAAMAAAAAAF3v7WPBc90IyJO/lMRz3Qg3Q0lRLk5ZU0U6SUJNLklRX1JFU1RSVUNUVVJFX1NVUFBMRS45OTAuNC8xLzIwMjUuLi5VU0QuSAEAAADetgEAAwAAAAAAXe/tY8Fz3Qi1stGUxHPdCDxDSVEuTllTRTpJQk0uSVFfU0FMQVJJRVNfT1RIRVJfQkVORUZJVFMuOTkzLjQvMS8yMDI1Li4u</t>
  </si>
  <si>
    <t>VVNELkgBAAAA3rYBAAMAAAAAAF3v7WPBc90ItbLRlMRz3Qg8Q0lRLk5ZU0U6SUJNLklRX1NBTEFSSUVTX09USEVSX0JFTkVGSVRTLjk5NC40LzEvMjAyNS4uLlVTRC5IAQAAAN62AQADAAAAAABd7+1jwXPdCLWy0ZTEc90IPENJUS5OWVNFOklCTS5JUV9TQUxBUklFU19PVEhFUl9CRU5FRklUUy45OTUuNC8xLzIwMjUuLi5VU0QuSAEAAADetgEAAwAAAAAAXe/tY8Fz3Qi1stGUxHPdCDxDSVEuTllTRTpJQk0uSVFfU0FMQVJJRVNfT1RIRVJfQkVORUZJVFMuOTk2LjQvMS8yMDI1Li4uVVNELkgBAAAA3rYBAAMAAAAAAF3v7WPBc90ItbLRlMRz3Qg8Q0lRLk5ZU0U6SUJNLklRX1NBTEFSSUVTX09USEVSX0JFTkVGSVRTLjk5Ny40LzEvMjAyNS4uLlVTRC5IAQAAAN62AQADAAAAAABd7+1jwXPdCLWy0ZTEc90IO0NJUS5OWVNFOklCTS5JUV9JTVBVVF9PUEVSX0xFQVNFX0RFUFIuMTAwMC40LzEvMjAyNS4uLlVTRC5IAQAAAN62AQACAAAACzEwMDMuODY2ODY0AQgAAAAFAAAAATEBAAAACy0xOTU4MjgxMDk3AwAAAAMxNjACAAAABTIxNjczBAAAAAEwBwAAAAg0LzEvMjAyNQgAAAAKMTIvMzEvMjAyNAkAAAABMF3v7WPBc90ItbLRlMRz3Qg7Q0lRLk5ZU0U6SUJNLklRX0lNUFVUX09QRVJfTEVBU0VfREVQUi4yMDAwLjQvMS8yMDI1Li4uVVNELkgBAAAA3rYBAAIAAAALMTAwMy44NjY4NjQBCAAAAAUAAAABMQEA</t>
  </si>
  <si>
    <t>AAALLTE5NTgyODA2MTUDAAAAAzE2MAIAAAAFMjE2NzMEAAAAATAHAAAACDQvMS8yMDI1CAAAAAoxMi8zMS8yMDI0CQAAAAEwXe/tY8Fz3QjIk7+UxHPdCDxDSVEuTllTRTpJQk0uSVFfU0FMQVJJRVNfT1RIRVJfQkVORUZJVFMuOTkwLjQvMS8yMDI1Li4uVVNELkgBAAAA3rYBAAMAAAAAAOI97mPBc90ItbLRlMRz3Qg8Q0lRLk5ZU0U6SUJNLklRX1NBTEFSSUVTX09USEVSX0JFTkVGSVRTLjk5MS40LzEvMjAyNS4uLlVTRC5IAQAAAN62AQADAAAAAADiPe5jwXPdCLWy0ZTEc90IPENJUS5OWVNFOklCTS5JUV9TQUxBUklFU19PVEhFUl9CRU5FRklUUy45OTIuNC8xLzIwMjUuLi5VU0QuSAEAAADetgEAAwAAAAAA4j3uY8Fz3Qi1stGUxHPdCDpDSVEuTllTRTpJQk0uSVFfSU1QVVRfT1BFUl9MRUFTRV9ERVBSLjk5NS40LzEvMjAyNS4uLlVTRC5IAQAAAN62AQACAAAACjEzMTUuODYzNDgBCAAAAAUAAAABMQEAAAALLTIxMTA3NjkzNTUDAAAAAzE2MAIAAAAFMjE2NzMEAAAAATAHAAAACDQvMS8yMDI1CAAAAAoxMi8zMS8yMDE5CQAAAAEw4j3uY8Fz3Qi1stGUxHPdCDpDSVEuTllTRTpJQk0uSVFfSU1QVVRfT1BFUl9MRUFTRV9ERVBSLjk5Ni40LzEvMjAyNS4uLlVTRC5IAQAAAN62AQACAAAACzEyODcuMzg5ODU2AQgAAAAFAAAAATEBAAAACy0yMDU5MDczMjAyAwAAAAMxNjACAAAABTIxNjczBAAAAAEwBwAA</t>
  </si>
  <si>
    <t>AAg0LzEvMjAyNQgAAAAKMTIvMzEvMjAyMAkAAAABMOI97mPBc90ItbLRlMRz3Qg6Q0lRLk5ZU0U6SUJNLklRX0lNUFVUX09QRVJfTEVBU0VfREVQUi45OTcuNC8xLzIwMjUuLi5VU0QuSAEAAADetgEAAgAAAAsxMjE1LjU1MjU1MgEIAAAABQAAAAExAQAAAAstMjAwODY0NzE5OAMAAAADMTYwAgAAAAUyMTY3MwQAAAABMAcAAAAINC8xLzIwMjUIAAAACjEyLzMxLzIwMjEJAAAAATDiPe5jwXPdCLWy0ZTEc90IOkNJUS5OWVNFOklCTS5JUV9JTVBVVF9PUEVSX0xFQVNFX0RFUFIuOTk4LjQvMS8yMDI1Li4uVVNELkgBAAAA3rYBAAIAAAALMTAyMy44MTY5MjgBCAAAAAUAAAABMQEAAAALLTE5NTgyODEwOTYDAAAAAzE2MAIAAAAFMjE2NzMEAAAAATAHAAAACDQvMS8yMDI1CAAAAAoxMi8zMS8yMDIyCQAAAAEw4j3uY8Fz3Qi1stGUxHPdCDpDSVEuTllTRTpJQk0uSVFfSU1QVVRfT1BFUl9MRUFTRV9ERVBSLjk5OS40LzEvMjAyNS4uLlVTRC5IAQAAAN62AQACAAAACjk5OC44NDAwMzIBCAAAAAUAAAABMQEAAAALLTE5NTgyODEwOTUDAAAAAzE2MAIAAAAFMjE2NzMEAAAAATAHAAAACDQvMS8yMDI1CAAAAAoxMi8zMS8yMDIzCQAAAAEw4j3uY8Fz3QiOK8OUxHPdCDpDSVEuTllTRTpJQk0uSVFfSU1QVVRfT1BFUl9MRUFTRV9ERVBSLjk5MC40LzEvMjAyNS4uLlVTRC5IAQAAAN62AQACAAAACzEzNTEuNzE5MTQ0</t>
  </si>
  <si>
    <t>AQgAAAAFAAAAATEBAAAACjE4Mjk5MTE5NjgDAAAAAzE2MAIAAAAFMjE2NzMEAAAAATAHAAAACDQvMS8yMDI1CAAAAAoxMi8zMS8yMDE0CQAAAAEw4j3uY8Fz3Qi1stGUxHPdCDpDSVEuTllTRTpJQk0uSVFfSU1QVVRfT1BFUl9MRUFTRV9ERVBSLjk5MS40LzEvMjAyNS4uLlVTRC5IAQAAAN62AQACAAAACTEzMTAuNzg4NAEIAAAABQAAAAExAQAAAAoxODc2NDMyODcyAwAAAAMxNjACAAAABTIxNjczBAAAAAEwBwAAAAg0LzEvMjAyNQgAAAAKMTIvMzEvMjAxNQkAAAABMOI97mPBc90ItbLRlMRz3Qg6Q0lRLk5ZU0U6SUJNLklRX0lNUFVUX09QRVJfTEVBU0VfREVQUi45OTIuNC8xLzIwMjUuLi5VU0QuSAEAAADetgEAAwAAAAAA4j3uY8Fz3Qi1stGUxHPdCDpDSVEuTllTRTpJQk0uSVFfSU1QVVRfT1BFUl9MRUFTRV9ERVBSLjk5My40LzEvMjAyNS4uLlVTRC5IAQAAAN62AQADAAAAAADiPe5jwXPdCLWy0ZTEc90IOkNJUS5OWVNFOklCTS5JUV9JTVBVVF9PUEVSX0xFQVNFX0RFUFIuOTk0LjQvMS8yMDI1Li4uVVNELkgBAAAA3rYBAAMAAAAAAOI97mPBc90ItbLRlMRz3Qg9Q0lRLk5ZU0U6SUJNLklRX0lNUFVUX09QRVJfTEVBU0VfSU5UX0VYUC45OTcuNC8xLzIwMjUuLi5VU0QuSAEAAADetgEAAgAAAAoyMjEuNDQ3NDQ4AQgAAAAFAAAAATEBAAAACy0yMDA4NjQ3MTk4AwAAAAMxNjACAAAABTIxNjcyBAAA</t>
  </si>
  <si>
    <t>AAEwBwAAAAg0LzEvMjAyNQgAAAAKMTIvMzEvMjAyMQkAAAABMOI97mPBc90ItbLRlMRz3Qg9Q0lRLk5ZU0U6SUJNLklRX0lNUFVUX09QRVJfTEVBU0VfSU5UX0VYUC45OTguNC8xLzIwMjUuLi5VU0QuSAEAAADetgEAAgAAAAoyMjMuMTgzMDcyAQgAAAAFAAAAATEBAAAACy0xOTU4MjgxMDk2AwAAAAMxNjACAAAABTIxNjcyBAAAAAEwBwAAAAg0LzEvMjAyNQgAAAAKMTIvMzEvMjAyMgkAAAABMOI97mPBc90ItbLRlMRz3Qg9Q0lRLk5ZU0U6SUJNLklRX0lNUFVUX09QRVJfTEVBU0VfSU5UX0VYUC45OTkuNC8xLzIwMjUuLi5VU0QuSAEAAADetgEAAgAAAAoyOTMuMTU5OTY4AQgAAAAFAAAAATEBAAAACy0xOTU4MjgxMDk1AwAAAAMxNjACAAAABTIxNjcyBAAAAAEwBwAAAAg0LzEvMjAyNQgAAAAKMTIvMzEvMjAyMwkAAAABMOI97mPBc90IjivDlMRz3Qg+Q0lRLk5ZU0U6SUJNLklRX0lNUFVUX09QRVJfTEVBU0VfSU5UX0VYUC4xMDAwLjQvMS8yMDI1Li4uVVNELkgBAAAA3rYBAAIAAAAKMzA1LjEzMzEzNgEIAAAABQAAAAExAQAAAAstMTk1ODI4MTA5NwMAAAADMTYwAgAAAAUyMTY3MgQAAAABMAcAAAAINC8xLzIwMjUIAAAACjEyLzMxLzIwMjQJAAAAATDiPe5jwXPdCLWy0ZTEc90IPkNJUS5OWVNFOklCTS5JUV9JTVBVVF9PUEVSX0xFQVNFX0lOVF9FWFAuMjAwMC40LzEvMjAyNS4uLlVTRC5IAQAAAN62</t>
  </si>
  <si>
    <t>AQACAAAACjMwNS4xMzMxMzYBCAAAAAUAAAABMQEAAAALLTE5NTgyODA2MTUDAAAAAzE2MAIAAAAFMjE2NzIEAAAAATAHAAAACDQvMS8yMDI1CAAAAAoxMi8zMS8yMDI0CQAAAAEw4j3uY8Fz3QjIk7+UxHPdCD1DSVEuTllTRTpJQk0uSVFfSU1QVVRfT1BFUl9MRUFTRV9JTlRfRVhQLjk5Mi40LzEvMjAyNS4uLlVTRC5IAQAAAN62AQADAAAAAADiPe5jwXPdCLWy0ZTEc90IPUNJUS5OWVNFOklCTS5JUV9JTVBVVF9PUEVSX0xFQVNFX0lOVF9FWFAuOTkzLjQvMS8yMDI1Li4uVVNELkgBAAAA3rYBAAMAAAAAAOI97mPBc90ItbLRlMRz3Qg9Q0lRLk5ZU0U6SUJNLklRX0lNUFVUX09QRVJfTEVBU0VfSU5UX0VYUC45OTQuNC8xLzIwMjUuLi5VU0QuSAEAAADetgEAAwAAAAAA4j3uY8Fz3Qi1stGUxHPdCD1DSVEuTllTRTpJQk0uSVFfSU1QVVRfT1BFUl9MRUFTRV9JTlRfRVhQLjk5NS40LzEvMjAyNS4uLlVTRC5IAQAAAN62AQACAAAACTMwNy4xMzY1MgEIAAAABQAAAAExAQAAAAstMjExMDc2OTM1NQMAAAADMTYwAgAAAAUyMTY3MgQAAAABMAcAAAAINC8xLzIwMjUIAAAACjEyLzMxLzIwMTkJAAAAATDiPe5jwXPdCLWy0ZTEc90IPUNJUS5OWVNFOklCTS5JUV9JTVBVVF9PUEVSX0xFQVNFX0lOVF9FWFAuOTk2LjQvMS8yMDI1Li4uVVNELkgBAAAA3rYBAAIAAAAKMjM2LjYxMDE0NAEIAAAABQAAAAExAQAAAAst</t>
  </si>
  <si>
    <t>MjA1OTA3MzIwMgMAAAADMTYwAgAAAAUyMTY3MgQAAAABMAcAAAAINC8xLzIwMjUIAAAACjEyLzMxLzIwMjAJAAAAATDiPe5jwXPdCLWy0ZTEc90IMUNJUS5OWVNFOklCTS5JUV9NQUlOVF9SRVBBSVIuOTk5LjQvMS8yMDI1Li4uVVNELkgBAAAA3rYBAAMAAAAAAOI97mPBc90IjivDlMRz3QgyQ0lRLk5ZU0U6SUJNLklRX01BSU5UX1JFUEFJUi4xMDAwLjQvMS8yMDI1Li4uVVNELkgBAAAA3rYBAAMAAAAAAOI97mPBc90ItbLRlMRz3QgyQ0lRLk5ZU0U6SUJNLklRX01BSU5UX1JFUEFJUi4yMDAwLjQvMS8yMDI1Li4uVVNELkgBAAAA3rYBAAMAAAAAAOI97mPBc90IyJO/lMRz3Qg9Q0lRLk5ZU0U6SUJNLklRX0lNUFVUX09QRVJfTEVBU0VfSU5UX0VYUC45OTAuNC8xLzIwMjUuLi5VU0QuSAEAAADetgEAAgAAAAoxNDUuMjgwODU2AQgAAAAFAAAAATEBAAAACjE4Mjk5MTE5NjgDAAAAAzE2MAIAAAAFMjE2NzIEAAAAATAHAAAACDQvMS8yMDI1CAAAAAoxMi8zMS8yMDE0CQAAAAEw4j3uY8Fz3Qi1stGUxHPdCD1DSVEuTllTRTpJQk0uSVFfSU1QVVRfT1BFUl9MRUFTRV9JTlRfRVhQLjk5MS40LzEvMjAyNS4uLlVTRC5IAQAAAN62AQACAAAACDEzNC4yMTE2AQgAAAAFAAAAATEBAAAACjE4NzY0MzI4NzIDAAAAAzE2MAIAAAAFMjE2NzIEAAAAATAHAAAACDQvMS8yMDI1CAAAAAoxMi8zMS8yMDE1CQAAAAEw4j3u</t>
  </si>
  <si>
    <t>Y8Fz3Qi1stGUxHPdCDFDSVEuTllTRTpJQk0uSVFfTUFJTlRfUkVQQUlSLjk5NC40LzEvMjAyNS4uLlVTRC5IAQAAAN62AQADAAAAAADiPe5jwXPdCLWy0ZTEc90IMUNJUS5OWVNFOklCTS5JUV9NQUlOVF9SRVBBSVIuOTk1LjQvMS8yMDI1Li4uVVNELkgBAAAA3rYBAAMAAAAAAOI97mPBc90ItbLRlMRz3QgxQ0lRLk5ZU0U6SUJNLklRX01BSU5UX1JFUEFJUi45OTYuNC8xLzIwMjUuLi5VU0QuSAEAAADetgEAAwAAAAAA4j3uY8Fz3Qi1stGUxHPdCDFDSVEuTllTRTpJQk0uSVFfTUFJTlRfUkVQQUlSLjk5Ny40LzEvMjAyNS4uLlVTRC5IAQAAAN62AQADAAAAAADiPe5jwXPdCLWy0ZTEc90IMUNJUS5OWVNFOklCTS5JUV9NQUlOVF9SRVBBSVIuOTk4LjQvMS8yMDI1Li4uVVNELkgBAAAA3rYBAAMAAAAAAOI97mPBc90ItbLRlMRz3Qg9Q0lRLk5ZU0U6SUJNLklRX0VYUExPUkVfRFJJTExfRVhQX1RPVEFMLjIwMDAuNC8xLzIwMjUuLi5VU0QuSAEAAADetgEAAwAAAAAA4j3uY8Fz3QhhRb+UxHPdCDFDSVEuTllTRTpJQk0uSVFfTUFJTlRfUkVQQUlSLjk5MC40LzEvMjAyNS4uLlVTRC5IAQAAAN62AQADAAAAAADiPe5jwXPdCLWy0ZTEc90IMUNJUS5OWVNFOklCTS5JUV9NQUlOVF9SRVBBSVIuOTkxLjQvMS8yMDI1Li4uVVNELkgBAAAA3rYBAAMAAAAAAOI97mPBc90ItbLRlMRz3QgxQ0lRLk5ZU0U6SUJNLklR</t>
  </si>
  <si>
    <t>X01BSU5UX1JFUEFJUi45OTIuNC8xLzIwMjUuLi5VU0QuSAEAAADetgEAAwAAAAAA4j3uY8Fz3Qi1stGUxHPdCDFDSVEuTllTRTpJQk0uSVFfTUFJTlRfUkVQQUlSLjk5My40LzEvMjAyNS4uLlVTRC5IAQAAAN62AQADAAAAAADiPe5jwXPdCLWy0ZTEc90IPENJUS5OWVNFOklCTS5JUV9FWFBMT1JFX0RSSUxMX0VYUF9UT1RBTC45OTYuNC8xLzIwMjUuLi5VU0QuSAEAAADetgEAAwAAAAAA4j3uY8Fz3Qi1stGUxHPdCDxDSVEuTllTRTpJQk0uSVFfRVhQTE9SRV9EUklMTF9FWFBfVE9UQUwuOTk3LjQvMS8yMDI1Li4uVVNELkgBAAAA3rYBAAMAAAAAAOI97mPBc90ItbLRlMRz3Qg8Q0lRLk5ZU0U6SUJNLklRX0VYUExPUkVfRFJJTExfRVhQX1RPVEFMLjk5OC40LzEvMjAyNS4uLlVTRC5IAQAAAN62AQADAAAAAADiPe5jwXPdCLWy0ZTEc90IPENJUS5OWVNFOklCTS5JUV9FWFBMT1JFX0RSSUxMX0VYUF9UT1RBTC45OTkuNC8xLzIwMjUuLi5VU0QuSAEAAADetgEAAwAAAAAA4j3uY8Fz3QhP58KUxHPdCD1DSVEuTllTRTpJQk0uSVFfRVhQTE9SRV9EUklMTF9FWFBfVE9UQUwuMTAwMC40LzEvMjAyNS4uLlVTRC5IAQAAAN62AQADAAAAAADiPe5jwXPdCLWy0ZTEc90IPENJUS5OWVNFOklCTS5JUV9FWFBMT1JFX0RSSUxMX0VYUF9UT1RBTC45OTEuNC8xLzIwMjUuLi5VU0QuSAEAAADetgEAAwAAAAAA4j3uY8Fz</t>
  </si>
  <si>
    <t>3Qi1stGUxHPdCDxDSVEuTllTRTpJQk0uSVFfRVhQTE9SRV9EUklMTF9FWFBfVE9UQUwuOTkyLjQvMS8yMDI1Li4uVVNELkgBAAAA3rYBAAMAAAAAAOI97mPBc90ItbLRlMRz3Qg8Q0lRLk5ZU0U6SUJNLklRX0VYUExPUkVfRFJJTExfRVhQX1RPVEFMLjk5My40LzEvMjAyNS4uLlVTRC5IAQAAAN62AQADAAAAAADiPe5jwXPdCLWy0ZTEc90IPENJUS5OWVNFOklCTS5JUV9FWFBMT1JFX0RSSUxMX0VYUF9UT1RBTC45OTQuNC8xLzIwMjUuLi5VU0QuSAEAAADetgEAAwAAAAAA4j3uY8Fz3Qi1stGUxHPdCDxDSVEuTllTRTpJQk0uSVFfRVhQTE9SRV9EUklMTF9FWFBfVE9UQUwuOTk1LjQvMS8yMDI1Li4uVVNELkgBAAAA3rYBAAMAAAAAAOI97mPBc90ItbLRlMRz3Qg/Q0lRLk5ZU0U6SUJNLklRX0RFUFJFQ0lBVElPTl9SRU5UQUxfQVNTRVRTLjk5OC40LzEvMjAyNS4uLlVTRC5IAQAAAN62AQADAAAAAADiPe5jwXPdCLWy0ZTEc90IP0NJUS5OWVNFOklCTS5JUV9ERVBSRUNJQVRJT05fUkVOVEFMX0FTU0VUUy45OTkuNC8xLzIwMjUuLi5VU0QuSAEAAADetgEAAwAAAAAA4j3uY8Fz3QiOK8OUxHPdCEBDSVEuTllTRTpJQk0uSVFfREVQUkVDSUFUSU9OX1JFTlRBTF9BU1NFVFMuMTAwMC40LzEvMjAyNS4uLlVTRC5IAQAAAN62AQADAAAAAADiPe5jwXPdCLWy0ZTEc90IQENJUS5OWVNFOklCTS5JUV9ERVBSRUNJ</t>
  </si>
  <si>
    <t>QVRJT05fUkVOVEFMX0FTU0VUUy4yMDAwLjQvMS8yMDI1Li4uVVNELkgBAAAA3rYBAAMAAAAAAOI97mPBc90IYUW/lMRz3Qg8Q0lRLk5ZU0U6SUJNLklRX0VYUExPUkVfRFJJTExfRVhQX1RPVEFMLjk5MC40LzEvMjAyNS4uLlVTRC5IAQAAAN62AQADAAAAAADiPe5jwXPdCLWy0ZTEc90IP0NJUS5OWVNFOklCTS5JUV9ERVBSRUNJQVRJT05fUkVOVEFMX0FTU0VUUy45OTMuNC8xLzIwMjUuLi5VU0QuSAEAAADetgEAAwAAAAAA4j3uY8Fz3Qi1stGUxHPdCD9DSVEuTllTRTpJQk0uSVFfREVQUkVDSUFUSU9OX1JFTlRBTF9BU1NFVFMuOTk0LjQvMS8yMDI1Li4uVVNELkgBAAAA3rYBAAMAAAAAAOI97mPBc90ItbLRlMRz3Qg/Q0lRLk5ZU0U6SUJNLklRX0RFUFJFQ0lBVElPTl9SRU5UQUxfQVNTRVRTLjk5NS40LzEvMjAyNS4uLlVTRC5IAQAAAN62AQADAAAAAADiPe5jwXPdCLWy0ZTEc90IP0NJUS5OWVNFOklCTS5JUV9ERVBSRUNJQVRJT05fUkVOVEFMX0FTU0VUUy45OTYuNC8xLzIwMjUuLi5VU0QuSAEAAADetgEAAwAAAAAA4j3uY8Fz3Qi1stGUxHPdCD9DSVEuTllTRTpJQk0uSVFfREVQUkVDSUFUSU9OX1JFTlRBTF9BU1NFVFMuOTk3LjQvMS8yMDI1Li4uVVNELkgBAAAA3rYBAAMAAAAAAOI97mPBc90ItbLRlMRz3QgzQ0lRLk5ZU0U6SUJNLklRX0FJUkNSQUZUX1JFTlQuMTAwMC40LzEvMjAyNS4uLlVT</t>
  </si>
  <si>
    <t>RC5IAQAAAN62AQADAAAAAADiPe5jwXPdCLWy0ZTEc90IM0NJUS5OWVNFOklCTS5JUV9BSVJDUkFGVF9SRU5ULjIwMDAuNC8xLzIwMjUuLi5VU0QuSAEAAADetgEAAwAAAAAA4j3uY8Fz3QhhRb+UxHPdCD9DSVEuTllTRTpJQk0uSVFfREVQUkVDSUFUSU9OX1JFTlRBTF9BU1NFVFMuOTkwLjQvMS8yMDI1Li4uVVNELkgBAAAA3rYBAAMAAAAAAOI97mPBc90ItbLRlMRz3Qg/Q0lRLk5ZU0U6SUJNLklRX0RFUFJFQ0lBVElPTl9SRU5UQUxfQVNTRVRTLjk5MS40LzEvMjAyNS4uLlVTRC5IAQAAAN62AQADAAAAAADiPe5jwXPdCC9k0ZTEc90IP0NJUS5OWVNFOklCTS5JUV9ERVBSRUNJQVRJT05fUkVOVEFMX0FTU0VUUy45OTIuNC8xLzIwMjUuLi5VU0QuSAEAAADetgEAAwAAAAAA4j3uY8Fz3Qi1stGUxHPdCDJDSVEuTllTRTpJQk0uSVFfQUlSQ1JBRlRfUkVOVC45OTUuNC8xLzIwMjUuLi5VU0QuSAEAAADetgEAAwAAAAAA4j3uY8Fz3Qi1stGUxHPdCDJDSVEuTllTRTpJQk0uSVFfQUlSQ1JBRlRfUkVOVC45OTYuNC8xLzIwMjUuLi5VU0QuSAEAAADetgEAAwAAAAAA4j3uY8Fz3Qi1stGUxHPdCDJDSVEuTllTRTpJQk0uSVFfQUlSQ1JBRlRfUkVOVC45OTcuNC8xLzIwMjUuLi5VU0QuSAEAAADetgEAAwAAAAAA4j3uY8Fz3Qi1stGUxHPdCDJDSVEuTllTRTpJQk0uSVFfQUlSQ1JBRlRfUkVOVC45OTguNC8xLzIw</t>
  </si>
  <si>
    <t>MjUuLi5VU0QuSAEAAADetgEAAwAAAAAA4j3uY8Fz3Qi1stGUxHPdCDJDSVEuTllTRTpJQk0uSVFfQUlSQ1JBRlRfUkVOVC45OTkuNC8xLzIwMjUuLi5VU0QuSAEAAADetgEAAwAAAAAA4j3uY8Fz3QiOK8OUxHPdCDJDSVEuTllTRTpJQk0uSVFfQUlSQ1JBRlRfUkVOVC45OTAuNC8xLzIwMjUuLi5VU0QuSAEAAADetgEAAwAAAAAA4j3uY8Fz3QgvZNGUxHPdCDJDSVEuTllTRTpJQk0uSVFfQUlSQ1JBRlRfUkVOVC45OTEuNC8xLzIwMjUuLi5VU0QuSAEAAADetgEAAwAAAAAA4j3uY8Fz3QgvZNGUxHPdCDJDSVEuTllTRTpJQk0uSVFfQUlSQ1JBRlRfUkVOVC45OTIuNC8xLzIwMjUuLi5VU0QuSAEAAADetgEAAwAAAAAA4j3uY8Fz3QgvZNGUxHPdCDJDSVEuTllTRTpJQk0uSVFfQUlSQ1JBRlRfUkVOVC45OTMuNC8xLzIwMjUuLi5VU0QuSAEAAADetgEAAwAAAAAA4j3uY8Fz3QgvZNGUxHPdCDJDSVEuTllTRTpJQk0uSVFfQUlSQ1JBRlRfUkVOVC45OTQuNC8xLzIwMjUuLi5VU0QuSAEAAADetgEAAwAAAAAA4j3uY8Fz3QgvZNGUxHPdCDFDSVEuTllTRTpJQk0uSVFfT1RIRVJfUkVOVEFMLjk5Ny40LzEvMjAyNS4uLlVTRC5IAQAAAN62AQADAAAAAADiPe5jwXPdCC9k0ZTEc90IMUNJUS5OWVNFOklCTS5JUV9PVEhFUl9SRU5UQUwuOTk4LjQvMS8yMDI1Li4uVVNELkgBAAAA3rYBAAMAAAAAAOI97mPBc90IL2TR</t>
  </si>
  <si>
    <t>lMRz3QgxQ0lRLk5ZU0U6SUJNLklRX09USEVSX1JFTlRBTC45OTkuNC8xLzIwMjUuLi5VU0QuSAEAAADetgEAAwAAAAAA4j3uY8Fz3QiOK8OUxHPdCDJDSVEuTllTRTpJQk0uSVFfT1RIRVJfUkVOVEFMLjEwMDAuNC8xLzIwMjUuLi5VU0QuSAEAAADetgEAAwAAAAAA4j3uY8Fz3QgvZNGUxHPdCDJDSVEuTllTRTpJQk0uSVFfT1RIRVJfUkVOVEFMLjIwMDAuNC8xLzIwMjUuLi5VU0QuSAEAAADetgEAAwAAAAAA4j3uY8Fz3QhhRb+UxHPdCDFDSVEuTllTRTpJQk0uSVFfT1RIRVJfUkVOVEFMLjk5Mi40LzEvMjAyNS4uLlVTRC5IAQAAAN62AQADAAAAAADiPe5jwXPdCC9k0ZTEc90IMUNJUS5OWVNFOklCTS5JUV9PVEhFUl9SRU5UQUwuOTkzLjQvMS8yMDI1Li4uVVNELkgBAAAA3rYBAAMAAAAAAOI97mPBc90IL2TRlMRz3QgxQ0lRLk5ZU0U6SUJNLklRX09USEVSX1JFTlRBTC45OTQuNC8xLzIwMjUuLi5VU0QuSAEAAADetgEAAwAAAAAA4j3uY8Fz3QgvZNGUxHPdCDFDSVEuTllTRTpJQk0uSVFfT1RIRVJfUkVOVEFMLjk5NS40LzEvMjAyNS4uLlVTRC5IAQAAAN62AQADAAAAAADiPe5jwXPdCC9k0ZTEc90IMUNJUS5OWVNFOklCTS5JUV9PVEhFUl9SRU5UQUwuOTk2LjQvMS8yMDI1Li4uVVNELkgBAAAA3rYBAAMAAAAAAOI97mPBc90IL2TRlMRz3QgzQ0lRLk5ZU0U6SUJNLklRX01JTklNVU1fUkVOVEFMLjk5</t>
  </si>
  <si>
    <t>OS40LzEvMjAyNS4uLlVTRC5IAQAAAN62AQADAAAAAADiPe5jwXPdCI4rw5TEc90INENJUS5OWVNFOklCTS5JUV9NSU5JTVVNX1JFTlRBTC4xMDAwLjQvMS8yMDI1Li4uVVNELkgBAAAA3rYBAAMAAAAAAOI97mPBc90IL2TRlMRz3Qg0Q0lRLk5ZU0U6SUJNLklRX01JTklNVU1fUkVOVEFMLjIwMDAuNC8xLzIwMjUuLi5VU0QuSAEAAADetgEAAwAAAAAA4j3uY8Fz3QhhRb+UxHPdCDFDSVEuTllTRTpJQk0uSVFfT1RIRVJfUkVOVEFMLjk5MC40LzEvMjAyNS4uLlVTRC5IAQAAAN62AQADAAAAAADiPe5jwXPdCC9k0ZTEc90IMUNJUS5OWVNFOklCTS5JUV9PVEhFUl9SRU5UQUwuOTkxLjQvMS8yMDI1Li4uVVNELkgBAAAA3rYBAAMAAAAAAOI97mPBc90IL2TRlMRz3QgzQ0lRLk5ZU0U6SUJNLklRX01JTklNVU1fUkVOVEFMLjk5NC40LzEvMjAyNS4uLlVTRC5IAQAAAN62AQADAAAAAADiPe5jwXPdCC9k0ZTEc90IM0NJUS5OWVNFOklCTS5JUV9NSU5JTVVNX1JFTlRBTC45OTUuNC8xLzIwMjUuLi5VU0QuSAEAAADetgEAAwAAAAAA4j3uY8Fz3QgvZNGUxHPdCDNDSVEuTllTRTpJQk0uSVFfTUlOSU1VTV9SRU5UQUwuOTk2LjQvMS8yMDI1Li4uVVNELkgBAAAA3rYBAAMAAAAAAOI97mPBc90IL2TRlMRz3QgzQ0lRLk5ZU0U6SUJNLklRX01JTklNVU1fUkVOVEFMLjk5Ny40LzEvMjAyNS4uLlVTRC5IAQAAAN62AQAD</t>
  </si>
  <si>
    <t>AAAAAADiPe5jwXPdCC9k0ZTEc90IM0NJUS5OWVNFOklCTS5JUV9NSU5JTVVNX1JFTlRBTC45OTguNC8xLzIwMjUuLi5VU0QuSAEAAADetgEAAwAAAAAA4j3uY8Fz3QgvZNGUxHPdCDdDSVEuTllTRTpJQk0uSVFfQ09OVElOR0VOVF9SRU5UQUwuMjAwMC40LzEvMjAyNS4uLlVTRC5IAQAAAN62AQACAAAAAzMyMQDiPe5jwXPdCGFFv5TEc90IM0NJUS5OWVNFOklCTS5JUV9NSU5JTVVNX1JFTlRBTC45OTAuNC8xLzIwMjUuLi5VU0QuSAEAAADetgEAAwAAAAAA4j3uY8Fz3QgvZNGUxHPdCDNDSVEuTllTRTpJQk0uSVFfTUlOSU1VTV9SRU5UQUwuOTkxLjQvMS8yMDI1Li4uVVNELkgBAAAA3rYBAAMAAAAAAOI97mPBc90IL2TRlMRz3QgzQ0lRLk5ZU0U6SUJNLklRX01JTklNVU1fUkVOVEFMLjk5Mi40LzEvMjAyNS4uLlVTRC5IAQAAAN62AQADAAAAAADiPe5jwXPdCC9k0ZTEc90IM0NJUS5OWVNFOklCTS5JUV9NSU5JTVVNX1JFTlRBTC45OTMuNC8xLzIwMjUuLi5VU0QuSAEAAADetgEAAwAAAAAA4j3uY8Fz3QgvZNGUxHPdCDZDSVEuTllTRTpJQk0uSVFfQ09OVElOR0VOVF9SRU5UQUwuOTk2LjQvMS8yMDI1Li4uVVNELkgBAAAA3rYBAAIAAAADMzQzAOI97mPBc90IL2TRlMRz3Qg2Q0lRLk5ZU0U6SUJNLklRX0NPTlRJTkdFTlRfUkVOVEFMLjk5Ny40LzEvMjAyNS4uLlVTRC5IAQAAAN62AQACAAAAAzMzNgDi</t>
  </si>
  <si>
    <t>Pe5jwXPdCC9k0ZTEc90INkNJUS5OWVNFOklCTS5JUV9DT05USU5HRU5UX1JFTlRBTC45OTguNC8xLzIwMjUuLi5VU0QuSAEAAADetgEAAgAAAAMyNjIA4j3uY8Fz3QgvZNGUxHPdCDZDSVEuTllTRTpJQk0uSVFfQ09OVElOR0VOVF9SRU5UQUwuOTk5LjQvMS8yMDI1Li4uVVNELkgBAAAA3rYBAAIAAAADMzMxAOI97mPBc90IjivDlMRz3Qg3Q0lRLk5ZU0U6SUJNLklRX0NPTlRJTkdFTlRfUkVOVEFMLjEwMDAuNC8xLzIwMjUuLi5VU0QuSAEAAADetgEAAgAAAAMzMjEA4j3uY8Fz3QgvZNGUxHPdCDZDSVEuTllTRTpJQk0uSVFfQ09OVElOR0VOVF9SRU5UQUwuOTkxLjQvMS8yMDI1Li4uVVNELkgBAAAA3rYBAAMAAAAAAOI97mPBc90IL2TRlMRz3Qg2Q0lRLk5ZU0U6SUJNLklRX0NPTlRJTkdFTlRfUkVOVEFMLjk5Mi40LzEvMjAyNS4uLlVTRC5IAQAAAN62AQADAAAAAADiPe5jwXPdCC9k0ZTEc90INkNJUS5OWVNFOklCTS5JUV9DT05USU5HRU5UX1JFTlRBTC45OTMuNC8xLzIwMjUuLi5VU0QuSAEAAADetgEAAwAAAAAA4j3uY8Fz3QgvZNGUxHPdCDZDSVEuTllTRTpJQk0uSVFfQ09OVElOR0VOVF9SRU5UQUwuOTk0LjQvMS8yMDI1Li4uVVNELkgBAAAA3rYBAAMAAAAAAOI97mPBc90IL2TRlMRz3Qg2Q0lRLk5ZU0U6SUJNLklRX0NPTlRJTkdFTlRfUkVOVEFMLjk5NS40LzEvMjAyNS4uLlVTRC5IAQAAAN62</t>
  </si>
  <si>
    <t>AQACAAAAAzM2NADiPe5jwXPdCC9k0ZTEc90IOkNJUS5OWVNFOklCTS5JUV9ORVRfUkVOVEFMX0VYUF9TVVBQTEUuOTk4LjQvMS8yMDI1Li4uVVNELkgBAAAA3rYBAAIAAAAEMTI0NwEIAAAABQAAAAExAQAAAAstMTk1ODI4MTA5NgMAAAADMTYwAgAAAAUyNDI2MwQAAAABMAcAAAAINC8xLzIwMjUIAAAACjEyLzMxLzIwMjIJAAAAATDiPe5jwXPdCC9k0ZTEc90IOkNJUS5OWVNFOklCTS5JUV9ORVRfUkVOVEFMX0VYUF9TVVBQTEUuOTk5LjQvMS8yMDI1Li4uVVNELkgBAAAA3rYBAAIAAAAEMTI5MgEIAAAABQAAAAExAQAAAAstMTk1ODI4MTA5NQMAAAADMTYwAgAAAAUyNDI2MwQAAAABMAcAAAAINC8xLzIwMjUIAAAACjEyLzMxLzIwMjMJAAAAATDiPe5jwXPdCI4rw5TEc90IO0NJUS5OWVNFOklCTS5JUV9ORVRfUkVOVEFMX0VYUF9TVVBQTEUuMTAwMC40LzEvMjAyNS4uLlVTRC5IAQAAAN62AQACAAAABDEzMDkBCAAAAAUAAAABMQEAAAALLTE5NTgyODEwOTcDAAAAAzE2MAIAAAAFMjQyNjMEAAAAATAHAAAACDQvMS8yMDI1CAAAAAoxMi8zMS8yMDI0CQAAAAEw4j3uY8Fz3Qi7FdGUxHPdCDtDSVEuTllTRTpJQk0uSVFfTkVUX1JFTlRBTF9FWFBfU1VQUExFLjIwMDAuNC8xLzIwMjUuLi5VU0QuSAEAAADetgEAAgAAAAQxMzA5AQgAAAAFAAAAATEBAAAACy0xOTU4MjgwNjE1AwAAAAMxNjACAAAABTI0MjYz</t>
  </si>
  <si>
    <t>BAAAAAEwBwAAAAg0LzEvMjAyNQgAAAAKMTIvMzEvMjAyNAkAAAABMOI97mPBc90IYUW/lMRz3Qg2Q0lRLk5ZU0U6SUJNLklRX0NPTlRJTkdFTlRfUkVOVEFMLjk5MC40LzEvMjAyNS4uLlVTRC5IAQAAAN62AQADAAAAAADiPe5jwXPdCLsV0ZTEc90IOkNJUS5OWVNFOklCTS5JUV9ORVRfUkVOVEFMX0VYUF9TVVBQTEUuOTkzLjQvMS8yMDI1Li4uVVNELkgBAAAA3rYBAAMAAAAAAOI97mPBc90IuxXRlMRz3Qg6Q0lRLk5ZU0U6SUJNLklRX05FVF9SRU5UQUxfRVhQX1NVUFBMRS45OTQuNC8xLzIwMjUuLi5VU0QuSAEAAADetgEAAwAAAAAA4j3uY8Fz3Qi7FdGUxHPdCDpDSVEuTllTRTpJQk0uSVFfTkVUX1JFTlRBTF9FWFBfU1VQUExFLjk5NS40LzEvMjAyNS4uLlVTRC5IAQAAAN62AQACAAAABDE2MjMBCAAAAAUAAAABMQEAAAALLTIxMTA3NjkzNTUDAAAAAzE2MAIAAAAFMjQyNjMEAAAAATAHAAAACDQvMS8yMDI1CAAAAAoxMi8zMS8yMDE5CQAAAAEw4j3uY8Fz3Qi7FdGUxHPdCDpDSVEuTllTRTpJQk0uSVFfTkVUX1JFTlRBTF9FWFBfU1VQUExFLjk5Ni40LzEvMjAyNS4uLlVTRC5IAQAAAN62AQACAAAABDE1MjQBCAAAAAUAAAABMQEAAAALLTIwNTkwNzMyMDIDAAAAAzE2MAIAAAAFMjQyNjMEAAAAATAHAAAACDQvMS8yMDI1CAAAAAoxMi8zMS8yMDIwCQAAAAEw4j3uY8Fz3Qi7FdGUxHPdCDpDSVEuTllT</t>
  </si>
  <si>
    <t>RTpJQk0uSVFfTkVUX1JFTlRBTF9FWFBfU1VQUExFLjk5Ny40LzEvMjAyNS4uLlVTRC5IAQAAAN62AQACAAAABDE0MzcBCAAAAAUAAAABMQEAAAALLTIwMDg2NDcxOTgDAAAAAzE2MAIAAAAFMjQyNjMEAAAAATAHAAAACDQvMS8yMDI1CAAAAAoxMi8zMS8yMDIxCQAAAAEw4j3uY8Fz3Qi7FdGUxHPdCDRDSVEuTllTRTpJQk0uSVFfTkVUX1JFTlRBTF9FWFAuMTAwMC40LzEvMjAyNS4uLlVTRC5IAQAAAN62AQADAAAAAADiPe5jwXPdCLsV0ZTEc90INENJUS5OWVNFOklCTS5JUV9ORVRfUkVOVEFMX0VYUC4yMDAwLjQvMS8yMDI1Li4uVVNELkgBAAAA3rYBAAMAAAAAAOI97mPBc90IYUW/lMRz3Qg6Q0lRLk5ZU0U6SUJNLklRX05FVF9SRU5UQUxfRVhQX1NVUFBMRS45OTAuNC8xLzIwMjUuLi5VU0QuSAEAAADetgEAAwAAAAAA4j3uY8Fz3Qi7FdGUxHPdCDpDSVEuTllTRTpJQk0uSVFfTkVUX1JFTlRBTF9FWFBfU1VQUExFLjk5MS40LzEvMjAyNS4uLlVTRC5IAQAAAN62AQADAAAAAADiPe5jwXPdCLsV0ZTEc90IOkNJUS5OWVNFOklCTS5JUV9ORVRfUkVOVEFMX0VYUF9TVVBQTEUuOTkyLjQvMS8yMDI1Li4uVVNELkgBAAAA3rYBAAMAAAAAAOI97mPBc90IuxXRlMRz3QgzQ0lRLk5ZU0U6SUJNLklRX05FVF9SRU5UQUxfRVhQLjk5NS40LzEvMjAyNS4uLlVTRC5IAQAAAN62AQADAAAAAADiPe5jwXPdCLsV0ZTE</t>
  </si>
  <si>
    <t>c90IM0NJUS5OWVNFOklCTS5JUV9ORVRfUkVOVEFMX0VYUC45OTYuNC8xLzIwMjUuLi5VU0QuSAEAAADetgEAAwAAAAAA4j3uY8Fz3Qi7FdGUxHPdCDNDSVEuTllTRTpJQk0uSVFfTkVUX1JFTlRBTF9FWFAuOTk3LjQvMS8yMDI1Li4uVVNELkgBAAAA3rYBAAMAAAAAAOI97mPBc90IuxXRlMRz3QgzQ0lRLk5ZU0U6SUJNLklRX05FVF9SRU5UQUxfRVhQLjk5OC40LzEvMjAyNS4uLlVTRC5IAQAAAN62AQADAAAAAADiPe5jwXPdCLsV0ZTEc90IM0NJUS5OWVNFOklCTS5JUV9ORVRfUkVOVEFMX0VYUC45OTkuNC8xLzIwMjUuLi5VU0QuSAEAAADetgEAAwAAAAAA4j3uY8Fz3QiOK8OUxHPdCDNDSVEuTllTRTpJQk0uSVFfTkVUX1JFTlRBTF9FWFAuOTkwLjQvMS8yMDI1Li4uVVNELkgBAAAA3rYBAAIAAAAEMTQ5NwEIAAAABQAAAAExAQAAAAoxODI5OTExOTY4AwAAAAMxNjACAAAABTI0MjYxBAAAAAEwBwAAAAg0LzEvMjAyNQgAAAAKMTIvMzEvMjAxNAkAAAABMOI97mPBc90IuxXRlMRz3QgzQ0lRLk5ZU0U6SUJNLklRX05FVF9SRU5UQUxfRVhQLjk5MS40LzEvMjAyNS4uLlVTRC5IAQAAAN62AQACAAAABDE0NDUBCAAAAAUAAAABMQEAAAAKMTg3NjQzMjg3MgMAAAADMTYwAgAAAAUyNDI2MQQAAAABMAcAAAAINC8xLzIwMjUIAAAACjEyLzMxLzIwMTUJAAAAATDiPe5jwXPdCLsV0ZTEc90IM0NJUS5OWVNFOklC</t>
  </si>
  <si>
    <t>TS5JUV9ORVRfUkVOVEFMX0VYUC45OTIuNC8xLzIwMjUuLi5VU0QuSAEAAADetgEAAwAAAAAA4j3uY8Fz3Qi7FdGUxHPdCDNDSVEuTllTRTpJQk0uSVFfTkVUX1JFTlRBTF9FWFAuOTkzLjQvMS8yMDI1Li4uVVNELkgBAAAA3rYBAAMAAAAAAOI97mPBc90IuxXRlMRz3QgzQ0lRLk5ZU0U6SUJNLklRX05FVF9SRU5UQUxfRVhQLjk5NC40LzEvMjAyNS4uLlVTRC5IAQAAAN62AQADAAAAAADiPe5jwXPdCLsV0ZTEc90INkNJUS5OWVNFOklCTS5JUV9ORVRfUkVOVEFMX0VYUF9GTi45OTcuNC8xLzIwMjUuLi5VU0QuSAEAAADetgEAAgAAAAQxNDM3AQgAAAAFAAAAATEBAAAACy0yMDA4NjQ3MTk4AwAAAAMxNjACAAAABDMxNzAEAAAAATAHAAAACDQvMS8yMDI1CAAAAAoxMi8zMS8yMDIxCQAAAAEw4j3uY8Fz3Qi7FdGUxHPdCDZDSVEuTllTRTpJQk0uSVFfTkVUX1JFTlRBTF9FWFBfRk4uOTk4LjQvMS8yMDI1Li4uVVNELkgBAAAA3rYBAAIAAAAEMTI0NwEIAAAABQAAAAExAQAAAAstMTk1ODI4MTA5NgMAAAADMTYwAgAAAAQzMTcwBAAAAAEwBwAAAAg0LzEvMjAyNQgAAAAKMTIvMzEvMjAyMgkAAAABMOI97mPBc90IuxXRlMRz3Qg2Q0lRLk5ZU0U6SUJNLklRX05FVF9SRU5UQUxfRVhQX0ZOLjk5OS40LzEvMjAyNS4uLlVTRC5IAQAAAN62AQACAAAABDEyOTIBCAAAAAUAAAABMQEAAAALLTE5NTgyODEwOTUDAAAA</t>
  </si>
  <si>
    <t>AzE2MAIAAAAEMzE3MAQAAAABMAcAAAAINC8xLzIwMjUIAAAACjEyLzMxLzIwMjMJAAAAATDiPe5jwXPdCI4rw5TEc90IN0NJUS5OWVNFOklCTS5JUV9ORVRfUkVOVEFMX0VYUF9GTi4xMDAwLjQvMS8yMDI1Li4uVVNELkgBAAAA3rYBAAIAAAAEMTMwOQEIAAAABQAAAAExAQAAAAstMTk1ODI4MTA5NwMAAAADMTYwAgAAAAQzMTcwBAAAAAEwBwAAAAg0LzEvMjAyNQgAAAAKMTIvMzEvMjAyNAkAAAABMOI97mPBc90IuxXRlMRz3Qg3Q0lRLk5ZU0U6SUJNLklRX05FVF9SRU5UQUxfRVhQX0ZOLjIwMDAuNC8xLzIwMjUuLi5VU0QuSAEAAADetgEAAgAAAAQxMzA5AQgAAAAFAAAAATEBAAAACy0xOTU4MjgwNjE1AwAAAAMxNjACAAAABDMxNzAEAAAAATAHAAAACDQvMS8yMDI1CAAAAAoxMi8zMS8yMDI0CQAAAAEw4j3uY8Fz3QhhRb+UxHPdCDZDSVEuTllTRTpJQk0uSVFfTkVUX1JFTlRBTF9FWFBfRk4uOTkyLjQvMS8yMDI1Li4uVVNELkgBAAAA3rYBAAMAAAAAAOI97mPBc90IuxXRlMRz3Qg2Q0lRLk5ZU0U6SUJNLklRX05FVF9SRU5UQUxfRVhQX0ZOLjk5My40LzEvMjAyNS4uLlVTRC5IAQAAAN62AQADAAAAAADiPe5jwXPdCLsV0ZTEc90INkNJUS5OWVNFOklCTS5JUV9ORVRfUkVOVEFMX0VYUF9GTi45OTQuNC8xLzIwMjUuLi5VU0QuSAEAAADetgEAAwAAAAAA4j3uY8Fz3Qi7FdGUxHPdCDZDSVEuTllTRTpJ</t>
  </si>
  <si>
    <t>Qk0uSVFfTkVUX1JFTlRBTF9FWFBfRk4uOTk1LjQvMS8yMDI1Li4uVVNELkgBAAAA3rYBAAIAAAAEMTYyMwEIAAAABQAAAAExAQAAAAstMjExMDc2OTM1NQMAAAADMTYwAgAAAAQzMTcwBAAAAAEwBwAAAAg0LzEvMjAyNQgAAAAKMTIvMzEvMjAxOQkAAAABMOI97mPBc90IuxXRlMRz3Qg2Q0lRLk5ZU0U6SUJNLklRX05FVF9SRU5UQUxfRVhQX0ZOLjk5Ni40LzEvMjAyNS4uLlVTRC5IAQAAAN62AQACAAAABDE1MjQBCAAAAAUAAAABMQEAAAALLTIwNTkwNzMyMDIDAAAAAzE2MAIAAAAEMzE3MAQAAAABMAcAAAAINC8xLzIwMjUIAAAACjEyLzMxLzIwMjAJAAAAATDiPe5jwXPdCLsV0ZTEc90ILkNJUS5OWVNFOklCTS5JUV9SRF9FWFBfRk4uOTk5LjQvMS8yMDI1Li4uVVNELkgBAAAA3rYBAAIAAAAENjc3NQEIAAAABQAAAAExAQAAAAstMTk1ODI4MTA5NQMAAAADMTYwAgAAAAQzMTY4BAAAAAEwBwAAAAg0LzEvMjAyNQgAAAAKMTIvMzEvMjAyMwkAAAABMOI97mPBc90IjivDlMRz3QgvQ0lRLk5ZU0U6SUJNLklRX1JEX0VYUF9GTi4xMDAwLjQvMS8yMDI1Li4uVVNELkgBAAAA3rYBAAIAAAAENzQ3OQEIAAAABQAAAAExAQAAAAstMTk1ODI4MTA5NwMAAAADMTYwAgAAAAQzMTY4BAAAAAEwBwAAAAg0LzEvMjAyNQgAAAAKMTIvMzEvMjAyNAkAAAABMOI97mPBc90IuxXRlMRz3QgvQ0lRLk5ZU0U6SUJNLklRX1JE</t>
  </si>
  <si>
    <t>X0VYUF9GTi4yMDAwLjQvMS8yMDI1Li4uVVNELkgBAAAA3rYBAAIAAAAENzQ3OQEIAAAABQAAAAExAQAAAAstMTk1ODI4MDYxNQMAAAADMTYwAgAAAAQzMTY4BAAAAAEwBwAAAAg0LzEvMjAyNQgAAAAKMTIvMzEvMjAyNAkAAAABMOI97mPBc90IYUW/lMRz3Qg2Q0lRLk5ZU0U6SUJNLklRX05FVF9SRU5UQUxfRVhQX0ZOLjk5MC40LzEvMjAyNS4uLlVTRC5IAQAAAN62AQACAAAABDE0OTcBCAAAAAUAAAABMQEAAAAKMTgyOTkxMTk2OAMAAAADMTYwAgAAAAQzMTcwBAAAAAEwBwAAAAg0LzEvMjAyNQgAAAAKMTIvMzEvMjAxNAkAAAABMOI97mPBc90IuxXRlMRz3Qg2Q0lRLk5ZU0U6SUJNLklRX05FVF9SRU5UQUxfRVhQX0ZOLjk5MS40LzEvMjAyNS4uLlVTRC5IAQAAAN62AQACAAAABDE0NDUBCAAAAAUAAAABMQEAAAAKMTg3NjQzMjg3MgMAAAADMTYwAgAAAAQzMTcwBAAAAAEwBwAAAAg0LzEvMjAyNQgAAAAKMTIvMzEvMjAxNQkAAAABMOI97mPBc90IuxXRlMRz3QguQ0lRLk5ZU0U6SUJNLklRX1JEX0VYUF9GTi45OTQuNC8xLzIwMjUuLi5VU0QuSAEAAADetgEAAgAAAAQ1Mzc5AQgAAAAFAAAAATEBAAAACjIwODE1MDU0MDEDAAAAAzE2MAIAAAAEMzE2OAQAAAABMAcAAAAINC8xLzIwMjUIAAAACjEyLzMxLzIwMTgJAAAAATDiPe5jwXPdCLsV0ZTEc90ILkNJUS5OWVNFOklCTS5JUV9SRF9FWFBfRk4uOTk1</t>
  </si>
  <si>
    <t>LjQvMS8yMDI1Li4uVVNELkgBAAAA3rYBAAIAAAAENTkxMAEIAAAABQAAAAExAQAAAAstMjExMDc2OTM1NQMAAAADMTYwAgAAAAQzMTY4BAAAAAEwBwAAAAg0LzEvMjAyNQgAAAAKMTIvMzEvMjAxOQkAAAABMOI97mPBc90IuxXRlMRz3QguQ0lRLk5ZU0U6SUJNLklRX1JEX0VYUF9GTi45OTYuNC8xLzIwMjUuLi5VU0QuSAEAAADetgEAAgAAAAQ2MjYyAQgAAAAFAAAAATEBAAAACy0yMDU5MDczMjAyAwAAAAMxNjACAAAABDMxNjgEAAAAATAHAAAACDQvMS8yMDI1CAAAAAoxMi8zMS8yMDIwCQAAAAEw4j3uY8Fz3Qi7FdGUxHPdCC5DSVEuTllTRTpJQk0uSVFfUkRfRVhQX0ZOLjk5Ny40LzEvMjAyNS4uLlVTRC5IAQAAAN62AQACAAAABDY0ODgBCAAAAAUAAAABMQEAAAALLTIwMDg2NDcxOTgDAAAAAzE2MAIAAAAEMzE2OAQAAAABMAcAAAAINC8xLzIwMjUIAAAACjEyLzMxLzIwMjEJAAAAATDiPe5jwXPdCPmB0JTEc90ILkNJUS5OWVNFOklCTS5JUV9SRF9FWFBfRk4uOTk4LjQvMS8yMDI1Li4uVVNELkgBAAAA3rYBAAIAAAAENjU2NwEIAAAABQAAAAExAQAAAAstMTk1ODI4MTA5NgMAAAADMTYwAgAAAAQzMTY4BAAAAAEwBwAAAAg0LzEvMjAyNQgAAAAKMTIvMzEvMjAyMgkAAAABMOI97mPBc90I+YHQlMRz3QgsQ0lRLk5ZU0U6SUJNLklRX0dBX0VYUC4yMDAwLjQvMS8yMDI1Li4uVVNELkgBAAAA3rYBAAMA</t>
  </si>
  <si>
    <t>AAAAAOI97mPBc90IYUW/lMRz3QguQ0lRLk5ZU0U6SUJNLklRX1JEX0VYUF9GTi45OTAuNC8xLzIwMjUuLi5VU0QuSAEAAADetgEAAgAAAAQ1NDM3AQgAAAAFAAAAATEBAAAACjE4Mjk5MTE5NjgDAAAAAzE2MAIAAAAEMzE2OAQAAAABMAcAAAAINC8xLzIwMjUIAAAACjEyLzMxLzIwMTQJAAAAATDiPe5jwXPdCPmB0JTEc90ILkNJUS5OWVNFOklCTS5JUV9SRF9FWFBfRk4uOTkxLjQvMS8yMDI1Li4uVVNELkgBAAAA3rYBAAIAAAAENTI0NwEIAAAABQAAAAExAQAAAAoxODc2NDMyODcyAwAAAAMxNjACAAAABDMxNjgEAAAAATAHAAAACDQvMS8yMDI1CAAAAAoxMi8zMS8yMDE1CQAAAAEw4j3uY8Fz3Qi7FdGUxHPdCC5DSVEuTllTRTpJQk0uSVFfUkRfRVhQX0ZOLjk5Mi40LzEvMjAyNS4uLlVTRC5IAQAAAN62AQACAAAABDU3MjYBCAAAAAUAAAABMQEAAAAKMTk0NzE3OTU4MwMAAAADMTYwAgAAAAQzMTY4BAAAAAEwBwAAAAg0LzEvMjAyNQgAAAAKMTIvMzEvMjAxNgkAAAABMOI97mPBc90IuxXRlMRz3QguQ0lRLk5ZU0U6SUJNLklRX1JEX0VYUF9GTi45OTMuNC8xLzIwMjUuLi5VU0QuSAEAAADetgEAAgAAAAQ1NTkwAQgAAAAFAAAAATEBAAAACjIwMTcxNjQyNDQDAAAAAzE2MAIAAAAEMzE2OAQAAAABMAcAAAAINC8xLzIwMjUIAAAACjEyLzMxLzIwMTcJAAAAATDiPe5jwXPdCPmB0JTEc90IK0NJUS5OWVNF</t>
  </si>
  <si>
    <t>OklCTS5JUV9HQV9FWFAuOTk2LjQvMS8yMDI1Li4uVVNELkgBAAAA3rYBAAMAAAAAAOI97mPBc90I+YHQlMRz3QgrQ0lRLk5ZU0U6SUJNLklRX0dBX0VYUC45OTcuNC8xLzIwMjUuLi5VU0QuSAEAAADetgEAAwAAAAAA4j3uY8Fz3Qj5gdCUxHPdCCtDSVEuTllTRTpJQk0uSVFfR0FfRVhQLjk5OC40LzEvMjAyNS4uLlVTRC5IAQAAAN62AQADAAAAAADiPe5jwXPdCPmB0JTEc90IK0NJUS5OWVNFOklCTS5JUV9HQV9FWFAuOTk5LjQvMS8yMDI1Li4uVVNELkgBAAAA3rYBAAMAAAAAAOI97mPBc90IjivDlMRz3QgsQ0lRLk5ZU0U6SUJNLklRX0dBX0VYUC4xMDAwLjQvMS8yMDI1Li4uVVNELkgBAAAA3rYBAAMAAAAAAOI97mPBc90I+YHQlMRz3QgrQ0lRLk5ZU0U6SUJNLklRX0dBX0VYUC45OTEuNC8xLzIwMjUuLi5VU0QuSAEAAADetgEAAwAAAAAA4j3uY8Fz3Qj5gdCUxHPdCCtDSVEuTllTRTpJQk0uSVFfR0FfRVhQLjk5Mi40LzEvMjAyNS4uLlVTRC5IAQAAAN62AQADAAAAAADiPe5jwXPdCPmB0JTEc90IK0NJUS5OWVNFOklCTS5JUV9HQV9FWFAuOTkzLjQvMS8yMDI1Li4uVVNELkgBAAAA3rYBAAMAAAAAAOI97mPBc90I+YHQlMRz3QgrQ0lRLk5ZU0U6SUJNLklRX0dBX0VYUC45OTQuNC8xLzIwMjUuLi5VU0QuSAEAAADetgEAAwAAAAAA4j3uY8Fz3Qj5gdCUxHPdCCtDSVEuTllTRTpJQk0uSVFfR0FfRVhQ</t>
  </si>
  <si>
    <t>Ljk5NS40LzEvMjAyNS4uLlVTRC5IAQAAAN62AQADAAAAAADiPe5jwXPdCPmB0JTEc90INENJUS5OWVNFOklCTS5JUV9TQUxFU19NQVJLRVRJTkcuOTk4LjQvMS8yMDI1Li4uVVNELkgBAAAA3rYBAAIAAAAEMTMzMAEIAAAABQAAAAExAQAAAAstMTk1ODI4MTA5NgMAAAADMTYwAgAAAAUyMTU2MQQAAAABMAcAAAAINC8xLzIwMjUIAAAACjEyLzMxLzIwMjIJAAAAATDiPe5jwXPdCPmB0JTEc90INENJUS5OWVNFOklCTS5JUV9TQUxFU19NQVJLRVRJTkcuOTk5LjQvMS8yMDI1Li4uVVNELkgBAAAA3rYBAAIAAAAEMTIzNwEIAAAABQAAAAExAQAAAAstMTk1ODI4MTA5NQMAAAADMTYwAgAAAAUyMTU2MQQAAAABMAcAAAAINC8xLzIwMjUIAAAACjEyLzMxLzIwMjMJAAAAATDiPe5jwXPdCI4rw5TEc90INUNJUS5OWVNFOklCTS5JUV9TQUxFU19NQVJLRVRJTkcuMTAwMC40LzEvMjAyNS4uLlVTRC5IAQAAAN62AQACAAAABDExNzMBCAAAAAUAAAABMQEAAAALLTE5NTgyODEwOTcDAAAAAzE2MAIAAAAFMjE1NjEEAAAAATAHAAAACDQvMS8yMDI1CAAAAAoxMi8zMS8yMDI0CQAAAAEw4j3uY8Fz3Qj5gdCUxHPdCDVDSVEuTllTRTpJQk0uSVFfU0FMRVNfTUFSS0VUSU5HLjIwMDAuNC8xLzIwMjUuLi5VU0QuSAEAAADetgEAAgAAAAQxMTczAQgAAAAFAAAAATEBAAAACy0xOTU4MjgwNjE1AwAAAAMxNjACAAAABTIxNTYx</t>
  </si>
  <si>
    <t>BAAAAAEwBwAAAAg0LzEvMjAyNQgAAAAKMTIvMzEvMjAyNAkAAAABMOI97mPBc90IYUW/lMRz3QgrQ0lRLk5ZU0U6SUJNLklRX0dBX0VYUC45OTAuNC8xLzIwMjUuLi5VU0QuSAEAAADetgEAAwAAAAAA4j3uY8Fz3Qj5gdCUxHPdCDRDSVEuTllTRTpJQk0uSVFfU0FMRVNfTUFSS0VUSU5HLjk5My40LzEvMjAyNS4uLlVTRC5IAQAAAN62AQACAAAABDE0NDUBCAAAAAUAAAABMQEAAAAKMjAxNzE2NDI0NAMAAAADMTYwAgAAAAUyMTU2MQQAAAABMAcAAAAINC8xLzIwMjUIAAAACjEyLzMxLzIwMTcJAAAAATDiPe5jwXPdCPmB0JTEc90INENJUS5OWVNFOklCTS5JUV9TQUxFU19NQVJLRVRJTkcuOTk0LjQvMS8yMDI1Li4uVVNELkgBAAAA3rYBAAIAAAAEMTQ2NgEIAAAABQAAAAExAQAAAAoyMDgxNTA1NDAxAwAAAAMxNjACAAAABTIxNTYxBAAAAAEwBwAAAAg0LzEvMjAyNQgAAAAKMTIvMzEvMjAxOAkAAAABMOI97mPBc90I+YHQlMRz3Qg0Q0lRLk5ZU0U6SUJNLklRX1NBTEVTX01BUktFVElORy45OTUuNC8xLzIwMjUuLi5VU0QuSAEAAADetgEAAgAAAAQxNTA5AQgAAAAFAAAAATEBAAAACy0yMTEwNzY5MzU1AwAAAAMxNjACAAAABTIxNTYxBAAAAAEwBwAAAAg0LzEvMjAyNQgAAAAKMTIvMzEvMjAxOQkAAAABMOI97mPBc90I+YHQlMRz3Qg0Q0lRLk5ZU0U6SUJNLklRX1NBTEVTX01BUktFVElORy45OTYuNC8x</t>
  </si>
  <si>
    <t>LzIwMjUuLi5VU0QuSAEAAADetgEAAgAAAAQxNTA5AQgAAAAFAAAAATEBAAAACy0yMDU5MDczMjAyAwAAAAMxNjACAAAABTIxNTYxBAAAAAEwBwAAAAg0LzEvMjAyNQgAAAAKMTIvMzEvMjAyMAkAAAABMOI97mPBc90I+YHQlMRz3Qg0Q0lRLk5ZU0U6SUJNLklRX1NBTEVTX01BUktFVElORy45OTcuNC8xLzIwMjUuLi5VU0QuSAEAAADetgEAAgAAAAQxNDEzAQgAAAAFAAAAATEBAAAACy0yMDA4NjQ3MTk4AwAAAAMxNjACAAAABTIxNTYxBAAAAAEwBwAAAAg0LzEvMjAyNQgAAAAKMTIvMzEvMjAyMQkAAAABMOI97mPBc90I+YHQlMRz3QgvQ0lRLk5ZU0U6SUJNLklRX01BUktFVElORy4xMDAwLjQvMS8yMDI1Li4uVVNELkgBAAAA3rYBAAMAAAAAAOI97mPBc90I+YHQlMRz3QgvQ0lRLk5ZU0U6SUJNLklRX01BUktFVElORy4yMDAwLjQvMS8yMDI1Li4uVVNELkgBAAAA3rYBAAMAAAAAAOI97mPBc90IYUW/lMRz3Qg0Q0lRLk5ZU0U6SUJNLklRX1NBTEVTX01BUktFVElORy45OTAuNC8xLzIwMjUuLi5VU0QuSAEAAADetgEAAgAAAAQxMzA3AQgAAAAFAAAAATEBAAAACjE4Mjk5MTE5NjgDAAAAAzE2MAIAAAAFMjE1NjEEAAAAATAHAAAACDQvMS8yMDI1CAAAAAoxMi8zMS8yMDE0CQAAAAEw4j3uY8Fz3Qj5gdCUxHPdCDRDSVEuTllTRTpJQk0uSVFfU0FMRVNfTUFSS0VUSU5HLjk5MS40LzEvMjAyNS4uLlVTRC5I</t>
  </si>
  <si>
    <t>AQAAAN62AQACAAAABDEyOTABCAAAAAUAAAABMQEAAAAKMTg3NjQzMjg3MgMAAAADMTYwAgAAAAUyMTU2MQQAAAABMAcAAAAINC8xLzIwMjUIAAAACjEyLzMxLzIwMTUJAAAAATDiPe5jwXPdCPmB0JTEc90INENJUS5OWVNFOklCTS5JUV9TQUxFU19NQVJLRVRJTkcuOTkyLjQvMS8yMDI1Li4uVVNELkgBAAAA3rYBAAIAAAAEMTMyNwEIAAAABQAAAAExAQAAAAoxOTQ3MTc5NTgzAwAAAAMxNjACAAAABTIxNTYxBAAAAAEwBwAAAAg0LzEvMjAyNQgAAAAKMTIvMzEvMjAxNgkAAAABMOI97mPBc90I+YHQlMRz3QguQ0lRLk5ZU0U6SUJNLklRX01BUktFVElORy45OTUuNC8xLzIwMjUuLi5VU0QuSAEAAADetgEAAwAAAAAA4j3uY8Fz3Qj5gdCUxHPdCC5DSVEuTllTRTpJQk0uSVFfTUFSS0VUSU5HLjk5Ni40LzEvMjAyNS4uLlVTRC5IAQAAAN62AQADAAAAAADiPe5jwXPdCPmB0JTEc90ILkNJUS5OWVNFOklCTS5JUV9NQVJLRVRJTkcuOTk3LjQvMS8yMDI1Li4uVVNELkgBAAAA3rYBAAMAAAAAAOI97mPBc90I+YHQlMRz3QguQ0lRLk5ZU0U6SUJNLklRX01BUktFVElORy45OTguNC8xLzIwMjUuLi5VU0QuSAEAAADetgEAAwAAAAAA4j3uY8Fz3Qj5gdCUxHPdCC5DSVEuTllTRTpJQk0uSVFfTUFSS0VUSU5HLjk5OS40LzEvMjAyNS4uLlVTRC5IAQAAAN62AQADAAAAAADiPe5jwXPdCI4rw5TEc90ILkNJUS5OWVNF</t>
  </si>
  <si>
    <t>OklCTS5JUV9NQVJLRVRJTkcuOTkwLjQvMS8yMDI1Li4uVVNELkgBAAAA3rYBAAMAAAAAAOI97mPBc90I+YHQlMRz3QguQ0lRLk5ZU0U6SUJNLklRX01BUktFVElORy45OTEuNC8xLzIwMjUuLi5VU0QuSAEAAADetgEAAwAAAAAA4j3uY8Fz3Qj5gdCUxHPdCC5DSVEuTllTRTpJQk0uSVFfTUFSS0VUSU5HLjk5Mi40LzEvMjAyNS4uLlVTRC5IAQAAAN62AQADAAAAAADiPe5jwXPdCPmB0JTEc90ILkNJUS5OWVNFOklCTS5JUV9NQVJLRVRJTkcuOTkzLjQvMS8yMDI1Li4uVVNELkgBAAAA3rYBAAMAAAAAAOI97mPBc90I+YHQlMRz3QguQ0lRLk5ZU0U6SUJNLklRX01BUktFVElORy45OTQuNC8xLzIwMjUuLi5VU0QuSAEAAADetgEAAwAAAAAA4j3uY8Fz3Qj5gdCUxHPdCDBDSVEuTllTRTpJQk0uSVFfQURWRVJUSVNJTkcuOTk3LjQvMS8yMDI1Li4uVVNELkgBAAAA3rYBAAIAAAAEMTQxMwEIAAAABQAAAAExAQAAAAstMjAwODY0NzE5OAMAAAADMTYwAgAAAAQzMDEzBAAAAAEwBwAAAAg0LzEvMjAyNQgAAAAKMTIvMzEvMjAyMQkAAAABMOI97mPBc90I+YHQlMRz3QgwQ0lRLk5ZU0U6SUJNLklRX0FEVkVSVElTSU5HLjk5OC40LzEvMjAyNS4uLlVTRC5IAQAAAN62AQACAAAABDEzMzABCAAAAAUAAAABMQEAAAALLTE5NTgyODEwOTYDAAAAAzE2MAIAAAAEMzAxMwQAAAABMAcAAAAINC8xLzIwMjUIAAAACjEyLzMx</t>
  </si>
  <si>
    <t>LzIwMjIJAAAAATDiPe5jwXPdCPmB0JTEc90IMENJUS5OWVNFOklCTS5JUV9BRFZFUlRJU0lORy45OTkuNC8xLzIwMjUuLi5VU0QuSAEAAADetgEAAgAAAAQxMjM3AQgAAAAFAAAAATEBAAAACy0xOTU4MjgxMDk1AwAAAAMxNjACAAAABDMwMTMEAAAAATAHAAAACDQvMS8yMDI1CAAAAAoxMi8zMS8yMDIzCQAAAAEw4j3uY8Fz3QiOK8OUxHPdCDFDSVEuTllTRTpJQk0uSVFfQURWRVJUSVNJTkcuMTAwMC40LzEvMjAyNS4uLlVTRC5IAQAAAN62AQACAAAABDExNzMBCAAAAAUAAAABMQEAAAALLTE5NTgyODEwOTcDAAAAAzE2MAIAAAAEMzAxMwQAAAABMAcAAAAINC8xLzIwMjUIAAAACjEyLzMxLzIwMjQJAAAAATDiPe5jwXPdCPmB0JTEc90IMUNJUS5OWVNFOklCTS5JUV9BRFZFUlRJU0lORy4yMDAwLjQvMS8yMDI1Li4uVVNELkgBAAAA3rYBAAIAAAAEMTE3MwEIAAAABQAAAAExAQAAAAstMTk1ODI4MDYxNQMAAAADMTYwAgAAAAQzMDEzBAAAAAEwBwAAAAg0LzEvMjAyNQgAAAAKMTIvMzEvMjAyNAkAAAABMOI97mPBc90IYUW/lMRz3QgwQ0lRLk5ZU0U6SUJNLklRX0FEVkVSVElTSU5HLjk5Mi40LzEvMjAyNS4uLlVTRC5IAQAAAN62AQACAAAABDEzMjcBCAAAAAUAAAABMQEAAAAKMTk0NzE3OTU4MwMAAAADMTYwAgAAAAQzMDEzBAAAAAEwBwAAAAg0LzEvMjAyNQgAAAAKMTIvMzEvMjAxNgkAAAABMOI97mPB</t>
  </si>
  <si>
    <t>c90I+YHQlMRz3QgwQ0lRLk5ZU0U6SUJNLklRX0FEVkVSVElTSU5HLjk5My40LzEvMjAyNS4uLlVTRC5IAQAAAN62AQACAAAABDE0NDUBCAAAAAUAAAABMQEAAAAKMjAxNzE2NDI0NAMAAAADMTYwAgAAAAQzMDEzBAAAAAEwBwAAAAg0LzEvMjAyNQgAAAAKMTIvMzEvMjAxNwkAAAABMOI97mPBc90I+YHQlMRz3QgwQ0lRLk5ZU0U6SUJNLklRX0FEVkVSVElTSU5HLjk5NC40LzEvMjAyNS4uLlVTRC5IAQAAAN62AQACAAAABDE0NjYBCAAAAAUAAAABMQEAAAAKMjA4MTUwNTQwMQMAAAADMTYwAgAAAAQzMDEzBAAAAAEwBwAAAAg0LzEvMjAyNQgAAAAKMTIvMzEvMjAxOAkAAAABMOI97mPBc90I+YHQlMRz3QgwQ0lRLk5ZU0U6SUJNLklRX0FEVkVSVElTSU5HLjk5NS40LzEvMjAyNS4uLlVTRC5IAQAAAN62AQACAAAABDE1MDkBCAAAAAUAAAABMQEAAAALLTIxMTA3NjkzNTUDAAAAAzE2MAIAAAAEMzAxMwQAAAABMAcAAAAINC8xLzIwMjUIAAAACjEyLzMxLzIwMTkJAAAAATDiPe5jwXPdCPmB0JTEc90IMENJUS5OWVNFOklCTS5JUV9BRFZFUlRJU0lORy45OTYuNC8xLzIwMjUuLi5VU0QuSAEAAADetgEAAgAAAAQxNTA5AQgAAAAFAAAAATEBAAAACy0yMDU5MDczMjAyAwAAAAMxNjACAAAABDMwMTMEAAAAATAHAAAACDQvMS8yMDI1CAAAAAoxMi8zMS8yMDIwCQAAAAEw4j3uY8Fz3Qj5gdCUxHPdCDBDSVEuTllT</t>
  </si>
  <si>
    <t>RTpJQk0uSVFfQURWRVJUSVNJTkcuOTkwLjQvMS8yMDI1Li4uVVNELkgBAAAA3rYBAAIAAAAEMTMwNwEIAAAABQAAAAExAQAAAAoxODI5OTExOTY4AwAAAAMxNjACAAAABDMwMTMEAAAAATAHAAAACDQvMS8yMDI1CAAAAAoxMi8zMS8yMDE0CQAAAAEw4j3uY8Fz3Qj5gdCUxHPdCDBDSVEuTllTRTpJQk0uSVFfQURWRVJUSVNJTkcuOTkxLjQvMS8yMDI1Li4uVVNELkgBAAAA3rYBAAIAAAAEMTI5MAEIAAAABQAAAAExAQAAAAoxODc2NDMyODcyAwAAAAMxNjACAAAABDMwMTMEAAAAATAHAAAACDQvMS8yMDI1CAAAAAoxMi8zMS8yMDE1CQAAAAEw4j3uY8Fz3Qj5gdCUxHPdCChDSVEuTllTRTpJQk0uSVFfRElDLjk5Ny40LzEvMjAyNS4uLlVTRC5IAQAAAN62AQADAAAAAADiPe5jwXPdCPmB0JTEc90IKENJUS5OWVNFOklCTS5JUV9ESUMuOTk4LjQvMS8yMDI1Li4uVVNELkgBAAAA3rYBAAMAAAAAAOI97mPBc90I+YHQlMRz3QgoQ0lRLk5ZU0U6SUJNLklRX0RJQy45OTkuNC8xLzIwMjUuLi5VU0QuSAEAAADetgEAAwAAAAAA4j3uY8Fz3QiOK8OUxHPdCClDSVEuTllTRTpJQk0uSVFfRElDLjEwMDAuNC8xLzIwMjUuLi5VU0QuSAEAAADetgEAAwAAAAAA4j3uY8Fz3Qj5gdCUxHPdCClDSVEuTllTRTpJQk0uSVFfRElDLjIwMDAuNC8xLzIwMjUuLi5VU0QuSAEAAADetgEAAwAAAAAA4j3uY8Fz3QhhRb+UxHPdCChD</t>
  </si>
  <si>
    <t>SVEuTllTRTpJQk0uSVFfRElDLjk5Mi40LzEvMjAyNS4uLlVTRC5IAQAAAN62AQADAAAAAADiPe5jwXPdCPmB0JTEc90IKENJUS5OWVNFOklCTS5JUV9ESUMuOTkzLjQvMS8yMDI1Li4uVVNELkgBAAAA3rYBAAMAAAAAAOI97mPBc90I+YHQlMRz3QgoQ0lRLk5ZU0U6SUJNLklRX0RJQy45OTQuNC8xLzIwMjUuLi5VU0QuSAEAAADetgEAAwAAAAAA4j3uY8Fz3Qj5gdCUxHPdCChDSVEuTllTRTpJQk0uSVFfRElDLjk5NS40LzEvMjAyNS4uLlVTRC5IAQAAAN62AQADAAAAAADiPe5jwXPdCPmB0JTEc90IKENJUS5OWVNFOklCTS5JUV9ESUMuOTk2LjQvMS8yMDI1Li4uVVNELkgBAAAA3rYBAAMAAAAAAOI97mPBc90I+YHQlMRz3QgpQ0lRLk5ZU0U6SUJNLklRX1BBWU9VVF9SQVRJTy45OTkuNC8xLzIwMjUBAAAA3rYBAAIAAAAHODAuNTExOAEIAAAABQAAAAExAQAAAAstMTk1ODI4MTA5NQMAAAADMTYwAgAAAAQ0Mzc3BAAAAAEwBwAAAAg0LzEvMjAyNQgAAAAKMTIvMzEvMjAyMwkAAAABMOI97mPBc90IjivDlMRz3QgqQ0lRLk5ZU0U6SUJNLklRX1BBWU9VVF9SQVRJTy4xMDAwLjQvMS8yMDI1AQAAAN62AQACAAAACDEwMi4wNTg3AQgAAAAFAAAAATEBAAAACy0xOTU4MjgxMDk3AwAAAAMxNjACAAAABDQzNzcEAAAAATAHAAAACDQvMS8yMDI1CAAAAAoxMi8zMS8yMDI0CQAAAAEw4j3uY8Fz3Qj5gdCUxHPdCCpD</t>
  </si>
  <si>
    <t>SVEuTllTRTpJQk0uSVFfUEFZT1VUX1JBVElPLjIwMDAuNC8xLzIwMjUBAAAA3rYBAAIAAAAIMTAyLjA1ODcBCAAAAAUAAAABMQEAAAALLTE5NTgyODA2MTUDAAAAAzE2MAIAAAAENDM3NwQAAAABMAcAAAAINC8xLzIwMjUIAAAACjEyLzMxLzIwMjQJAAAAATDiPe5jwXPdCGFFv5TEc90IKENJUS5OWVNFOklCTS5JUV9ESUMuOTkwLjQvMS8yMDI1Li4uVVNELkgBAAAA3rYBAAMAAAAAAOI97mPBc90I+YHQlMRz3QgoQ0lRLk5ZU0U6SUJNLklRX0RJQy45OTEuNC8xLzIwMjUuLi5VU0QuSAEAAADetgEAAwAAAAAA4j3uY8Fz3Qj5gdCUxHPdCClDSVEuTllTRTpJQk0uSVFfUEFZT1VUX1JBVElPLjk5NC40LzEvMjAyNQEAAADetgEAAgAAAAc2NC45MTc1AQgAAAAFAAAAATEBAAAACjIwODE1MDU0MDEDAAAAAzE2MAIAAAAENDM3NwQAAAABMAcAAAAINC8xLzIwMjUIAAAACjEyLzMxLzIwMTgJAAAAATDiPe5jwXPdCPmB0JTEc90IKUNJUS5OWVNFOklCTS5JUV9QQVlPVVRfUkFUSU8uOTk1LjQvMS8yMDI1AQAAAN62AQACAAAABzYwLjUxMzIBCAAAAAUAAAABMQEAAAALLTIxMTA3NjkzNTUDAAAAAzE2MAIAAAAENDM3NwQAAAABMAcAAAAINC8xLzIwMjUIAAAACjEyLzMxLzIwMTkJAAAAATDiPe5jwXPdCPmB0JTEc90IKUNJUS5OWVNFOklCTS5JUV9QQVlPVVRfUkFUSU8uOTk2LjQvMS8yMDI1AQAAAN62AQACAAAA</t>
  </si>
  <si>
    <t>BzEwMy43MDMBCAAAAAUAAAABMQEAAAALLTIwNTkwNzMyMDIDAAAAAzE2MAIAAAAENDM3NwQAAAABMAcAAAAINC8xLzIwMjUIAAAACjEyLzMxLzIwMjAJAAAAATDiPe5jwXPdCPmB0JTEc90IKUNJUS5OWVNFOklCTS5JUV9QQVlPVVRfUkFUSU8uOTk3LjQvMS8yMDI1AQAAAN62AQACAAAACDEwMi4xOTM5AQgAAAAFAAAAATEBAAAACy0yMDA4NjQ3MTk4AwAAAAMxNjACAAAABDQzNzcEAAAAATAHAAAACDQvMS8yMDI1CAAAAAoxMi8zMS8yMDIxCQAAAAEw4j3uY8Fz3QivM9CUxHPdCClDSVEuTllTRTpJQk0uSVFfUEFZT1VUX1JBVElPLjk5OC40LzEvMjAyNQEAAADetgEAAgAAAAgzNjIuOTA0MgEIAAAABQAAAAExAQAAAAstMTk1ODI4MTA5NgMAAAADMTYwAgAAAAQ0Mzc3BAAAAAEwBwAAAAg0LzEvMjAyNQgAAAAKMTIvMzEvMjAyMgkAAAABMOI97mPBc90IrzPQlMRz3QgtQ0lRLk5ZU0U6SUJNLklRX0VGRkVDVF9UQVhfUkFURS4yMDAwLjQvMS8yMDI1AQAAAN62AQADAAAAAk5NAQgAAAAFAAAAATEBAAAACy0xOTU4MjgwNjE1AwAAAAMxNjACAAAABDQzNzYEAAAAATAHAAAACDQvMS8yMDI1CAAAAAoxMi8zMS8yMDI0CQAAAAEw4j3uY8Fz3QhhRb+UxHPdCClDSVEuTllTRTpJQk0uSVFfUEFZT1VUX1JBVElPLjk5MC40LzEvMjAyNQEAAADetgEAAgAAAAczNS40NzY2AQgAAAAFAAAAATEBAAAACjE4Mjk5MTE5</t>
  </si>
  <si>
    <t>NjgDAAAAAzE2MAIAAAAENDM3NwQAAAABMAcAAAAINC8xLzIwMjUIAAAACjEyLzMxLzIwMTQJAAAAATDiPe5jwXPdCK8z0JTEc90IKUNJUS5OWVNFOklCTS5JUV9QQVlPVVRfUkFUSU8uOTkxLjQvMS8yMDI1AQAAAN62AQACAAAABzM3LjEyNjYBCAAAAAUAAAABMQEAAAAKMTg3NjQzMjg3MgMAAAADMTYwAgAAAAQ0Mzc3BAAAAAEwBwAAAAg0LzEvMjAyNQgAAAAKMTIvMzEvMjAxNQkAAAABMOI97mPBc90I+YHQlMRz3QgpQ0lRLk5ZU0U6SUJNLklRX1BBWU9VVF9SQVRJTy45OTIuNC8xLzIwMjUBAAAA3rYBAAIAAAAHNDQuMjcyMgEIAAAABQAAAAExAQAAAAoxOTQ3MTc5NTgzAwAAAAMxNjACAAAABDQzNzcEAAAAATAHAAAACDQvMS8yMDI1CAAAAAoxMi8zMS8yMDE2CQAAAAEw4j3uY8Fz3Qj5gdCUxHPdCClDSVEuTllTRTpJQk0uSVFfUEFZT1VUX1JBVElPLjk5My40LzEvMjAyNQEAAADetgEAAgAAAAc5NS43MDY1AQgAAAAFAAAAATEBAAAACjIwMTcxNjQyNDQDAAAAAzE2MAIAAAAENDM3NwQAAAABMAcAAAAINC8xLzIwMjUIAAAACjEyLzMxLzIwMTcJAAAAATDiPe5jwXPdCK8z0JTEc90ILENJUS5OWVNFOklCTS5JUV9FRkZFQ1RfVEFYX1JBVEUuOTk2LjQvMS8yMDI1AQAAAN62AQADAAAAAk5NAQgAAAAFAAAAATEBAAAACy0yMDU5MDczMjAyAwAAAAMxNjACAAAABDQzNzYEAAAAATAHAAAACDQvMS8yMDI1</t>
  </si>
  <si>
    <t>CAAAAAoxMi8zMS8yMDIwCQAAAAEw4j3uY8Fz3QivM9CUxHPdCCxDSVEuTllTRTpJQk0uSVFfRUZGRUNUX1RBWF9SQVRFLjk5Ny40LzEvMjAyNQEAAADetgEAAgAAAAYyLjU2MzUBCAAAAAUAAAABMQEAAAALLTIwMDg2NDcxOTgDAAAAAzE2MAIAAAAENDM3NgQAAAABMAcAAAAINC8xLzIwMjUIAAAACjEyLzMxLzIwMjEJAAAAATDiPe5jwXPdCK8z0JTEc90ILENJUS5OWVNFOklCTS5JUV9FRkZFQ1RfVEFYX1JBVEUuOTk4LjQvMS8yMDI1AQAAAN62AQADAAAAAk5NAQgAAAAFAAAAATEBAAAACy0xOTU4MjgxMDk2AwAAAAMxNjACAAAABDQzNzYEAAAAATAHAAAACDQvMS8yMDI1CAAAAAoxMi8zMS8yMDIyCQAAAAEw4j3uY8Fz3QivM9CUxHPdCCxDSVEuTllTRTpJQk0uSVFfRUZGRUNUX1RBWF9SQVRFLjk5OS40LzEvMjAyNQEAAADetgEAAgAAAAcxMy41MzI3AQgAAAAFAAAAATEBAAAACy0xOTU4MjgxMDk1AwAAAAMxNjACAAAABDQzNzYEAAAAATAHAAAACDQvMS8yMDI1CAAAAAoxMi8zMS8yMDIzCQAAAAEw4j3uY8Fz3QiOK8OUxHPdCC1DSVEuTllTRTpJQk0uSVFfRUZGRUNUX1RBWF9SQVRFLjEwMDAuNC8xLzIwMjUBAAAA3rYBAAMAAAACTk0BCAAAAAUAAAABMQEAAAALLTE5NTgyODEwOTcDAAAAAzE2MAIAAAAENDM3NgQAAAABMAcAAAAINC8xLzIwMjUIAAAACjEyLzMxLzIwMjQJAAAAATDiPe5jwXPdCK8z</t>
  </si>
  <si>
    <t>0JTEc90ILENJUS5OWVNFOklCTS5JUV9FRkZFQ1RfVEFYX1JBVEUuOTkxLjQvMS8yMDI1AQAAAN62AQACAAAABzE2LjE4NjgBCAAAAAUAAAABMQEAAAAKMTg3NjQzMjg3MgMAAAADMTYwAgAAAAQ0Mzc2BAAAAAEwBwAAAAg0LzEvMjAyNQgAAAAKMTIvMzEvMjAxNQkAAAABMOI97mPBc90IrzPQlMRz3QgsQ0lRLk5ZU0U6SUJNLklRX0VGRkVDVF9UQVhfUkFURS45OTIuNC8xLzIwMjUBAAAA3rYBAAIAAAAGMy42NDE1AQgAAAAFAAAAATEBAAAACjE5NDcxNzk1ODMDAAAAAzE2MAIAAAAENDM3NgQAAAABMAcAAAAINC8xLzIwMjUIAAAACjEyLzMxLzIwMTYJAAAAATDiPe5jwXPdCK8z0JTEc90ILENJUS5OWVNFOklCTS5JUV9FRkZFQ1RfVEFYX1JBVEUuOTkzLjQvMS8yMDI1AQAAAN62AQACAAAABzQ5LjQ5MTIBCAAAAAUAAAABMQEAAAAKMjAxNzE2NDI0NAMAAAADMTYwAgAAAAQ0Mzc2BAAAAAEwBwAAAAg0LzEvMjAyNQgAAAAKMTIvMzEvMjAxNwkAAAABMOI97mPBc90IrzPQlMRz3QgsQ0lRLk5ZU0U6SUJNLklRX0VGRkVDVF9UQVhfUkFURS45OTQuNC8xLzIwMjUBAAAA3rYBAAIAAAAHMjMuMDkxMQEIAAAABQAAAAExAQAAAAoyMDgxNTA1NDAxAwAAAAMxNjACAAAABDQzNzYEAAAAATAHAAAACDQvMS8yMDI1CAAAAAoxMi8zMS8yMDE4CQAAAAEw4j3uY8Fz3QivM9CUxHPdCCxDSVEuTllTRTpJQk0uSVFfRUZG</t>
  </si>
  <si>
    <t>RUNUX1RBWF9SQVRFLjk5NS40LzEvMjAyNQEAAADetgEAAgAAAAYwLjgzMjYBCAAAAAUAAAABMQEAAAALLTIxMTA3NjkzNTUDAAAAAzE2MAIAAAAENDM3NgQAAAABMAcAAAAINC8xLzIwMjUIAAAACjEyLzMxLzIwMTkJAAAAATDiPe5jwXPdCK8z0JTEc90IL0NJUS5OWVNFOklCTS5JUV9DT01NT05fRElWLjk5OC40LzEvMjAyNS4uLlVTRC5IAQAAAN62AQACAAAABDU5NDgA4j3uY8Fz3QivM9CUxHPdCC9DSVEuTllTRTpJQk0uSVFfQ09NTU9OX0RJVi45OTkuNC8xLzIwMjUuLi5VU0QuSAEAAADetgEAAgAAAAQ2MDQwAOI97mPBc90IjivDlMRz3QgwQ0lRLk5ZU0U6SUJNLklRX0NPTU1PTl9ESVYuMTAwMC40LzEvMjAyNS4uLlVTRC5IAQAAAN62AQACAAAABDYxNDcA4j3uY8Fz3QivM9CUxHPdCDBDSVEuTllTRTpJQk0uSVFfQ09NTU9OX0RJVi4yMDAwLjQvMS8yMDI1Li4uVVNELkgBAAAA3rYBAAIAAAAENjE0NwDiPe5jwXPdCGFFv5TEc90ILENJUS5OWVNFOklCTS5JUV9FRkZFQ1RfVEFYX1JBVEUuOTkwLjQvMS8yMDI1AQAAAN62AQACAAAABzIxLjE4NTgBCAAAAAUAAAABMQEAAAAKMTgyOTkxMTk2OAMAAAADMTYwAgAAAAQ0Mzc2BAAAAAEwBwAAAAg0LzEvMjAyNQgAAAAKMTIvMzEvMjAxNAkAAAABMOI97mPBc90IrzPQlMRz3QgvQ0lRLk5ZU0U6SUJNLklRX0NPTU1PTl9ESVYuOTkzLjQvMS8yMDI1Li4u</t>
  </si>
  <si>
    <t>VVNELkgBAAAA3rYBAAIAAAAENTUwNgDiPe5jwXPdCK8z0JTEc90IL0NJUS5OWVNFOklCTS5JUV9DT01NT05fRElWLjk5NC40LzEvMjAyNS4uLlVTRC5IAQAAAN62AQACAAAABDU2NjYA4j3uY8Fz3QivM9CUxHPdCC9DSVEuTllTRTpJQk0uSVFfQ09NTU9OX0RJVi45OTUuNC8xLzIwMjUuLi5VU0QuSAEAAADetgEAAgAAAAQ1NzA3AOI97mPBc90IrzPQlMRz3QgvQ0lRLk5ZU0U6SUJNLklRX0NPTU1PTl9ESVYuOTk2LjQvMS8yMDI1Li4uVVNELkgBAAAA3rYBAAIAAAAENTc5NwDiPe5jwXPdCK8z0JTEc90IL0NJUS5OWVNFOklCTS5JUV9DT01NT05fRElWLjk5Ny40LzEvMjAyNS4uLlVTRC5IAQAAAN62AQACAAAABDU4NjkA4j3uY8Fz3QivM9CUxHPdCDdDSVEuTllTRTpJQk0uSVFfRElTVFJJQlVUQUJMRV9DQVNIX1BBWU9VVC4xMDAwLjQvMS8yMDI1AQAAAN62AQADAAAAAADiPe5jwXPdCK8z0JTEc90IN0NJUS5OWVNFOklCTS5JUV9ESVNUUklCVVRBQkxFX0NBU0hfUEFZT1VULjIwMDAuNC8xLzIwMjUBAAAA3rYBAAMAAAAAAOI97mPBc90IYUW/lMRz3QgvQ0lRLk5ZU0U6SUJNLklRX0NPTU1PTl9ESVYuOTkwLjQvMS8yMDI1Li4uVVNELkgBAAAA3rYBAAIAAAAENDI2NQDiPe5jwXPdCK8z0JTEc90IL0NJUS5OWVNFOklCTS5JUV9DT01NT05fRElWLjk5MS40LzEvMjAyNS4uLlVTRC5IAQAAAN62AQACAAAA</t>
  </si>
  <si>
    <t>BDQ4OTcA4j3uY8Fz3QivM9CUxHPdCC9DSVEuTllTRTpJQk0uSVFfQ09NTU9OX0RJVi45OTIuNC8xLzIwMjUuLi5VU0QuSAEAAADetgEAAgAAAAQ1MjU2AOI97mPBc90IrzPQlMRz3Qg2Q0lRLk5ZU0U6SUJNLklRX0RJU1RSSUJVVEFCTEVfQ0FTSF9QQVlPVVQuOTk1LjQvMS8yMDI1AQAAAN62AQADAAAAAADiPe5jwXPdCK8z0JTEc90INkNJUS5OWVNFOklCTS5JUV9ESVNUUklCVVRBQkxFX0NBU0hfUEFZT1VULjk5Ni40LzEvMjAyNQEAAADetgEAAwAAAAAA4j3uY8Fz3QivM9CUxHPdCDZDSVEuTllTRTpJQk0uSVFfRElTVFJJQlVUQUJMRV9DQVNIX1BBWU9VVC45OTcuNC8xLzIwMjUBAAAA3rYBAAMAAAAAAOI97mPBc90IrzPQlMRz3Qg2Q0lRLk5ZU0U6SUJNLklRX0RJU1RSSUJVVEFCTEVfQ0FTSF9QQVlPVVQuOTk4LjQvMS8yMDI1AQAAAN62AQADAAAAAADiPe5jwXPdCK8z0JTEc90INkNJUS5OWVNFOklCTS5JUV9ESVNUUklCVVRBQkxFX0NBU0hfUEFZT1VULjk5OS40LzEvMjAyNQEAAADetgEAAwAAAAAA4j3uY8Fz3QiOK8OUxHPdCDZDSVEuTllTRTpJQk0uSVFfRElTVFJJQlVUQUJMRV9DQVNIX1BBWU9VVC45OTAuNC8xLzIwMjUBAAAA3rYBAAMAAAAAAOI97mPBc90IrzPQlMRz3Qg2Q0lRLk5ZU0U6SUJNLklRX0RJU1RSSUJVVEFCTEVfQ0FTSF9QQVlPVVQuOTkxLjQvMS8yMDI1AQAAAN62AQADAAAA</t>
  </si>
  <si>
    <t>AADiPe5jwXPdCK8z0JTEc90INkNJUS5OWVNFOklCTS5JUV9ESVNUUklCVVRBQkxFX0NBU0hfUEFZT1VULjk5Mi40LzEvMjAyNQEAAADetgEAAwAAAAAA4j3uY8Fz3QivM9CUxHPdCDZDSVEuTllTRTpJQk0uSVFfRElTVFJJQlVUQUJMRV9DQVNIX1BBWU9VVC45OTMuNC8xLzIwMjUBAAAA3rYBAAMAAAAAAOI97mPBc90IrzPQlMRz3Qg2Q0lRLk5ZU0U6SUJNLklRX0RJU1RSSUJVVEFCTEVfQ0FTSF9QQVlPVVQuOTk0LjQvMS8yMDI1AQAAAN62AQADAAAAAADiPe5jwXPdCK8z0JTEc90IO0NJUS5OWVNFOklCTS5JUV9BTk5VX0RJU1RSSUJVVElPTl9VTklULjk5Ny40LzEvMjAyNS4uLlVTRC5IAQAAAN62AQADAAAAAADiPe5jwXPdCK8z0JTEc90IO0NJUS5OWVNFOklCTS5JUV9BTk5VX0RJU1RSSUJVVElPTl9VTklULjk5OC40LzEvMjAyNS4uLlVTRC5IAQAAAN62AQADAAAAAADiPe5jwXPdCK8z0JTEc90IO0NJUS5OWVNFOklCTS5JUV9BTk5VX0RJU1RSSUJVVElPTl9VTklULjk5OS40LzEvMjAyNS4uLlVTRC5IAQAAAN62AQADAAAAAADiPe5jwXPdCI4rw5TEc90IPENJUS5OWVNFOklCTS5JUV9BTk5VX0RJU1RSSUJVVElPTl9VTklULjEwMDAuNC8xLzIwMjUuLi5VU0QuSAEAAADetgEAAwAAAAAA4j3uY8Fz3QivM9CUxHPdCDxDSVEuTllTRTpJQk0uSVFfQU5OVV9ESVNUUklCVVRJT05fVU5JVC4yMDAwLjQv</t>
  </si>
  <si>
    <t>MS8yMDI1Li4uVVNELkgBAAAA3rYBAAMAAAAAAOI97mPBc90IYUW/lMRz3Qg7Q0lRLk5ZU0U6SUJNLklRX0FOTlVfRElTVFJJQlVUSU9OX1VOSVQuOTkyLjQvMS8yMDI1Li4uVVNELkgBAAAA3rYBAAMAAAAAAOI97mPBc90IrzPQlMRz3Qg7Q0lRLk5ZU0U6SUJNLklRX0FOTlVfRElTVFJJQlVUSU9OX1VOSVQuOTkzLjQvMS8yMDI1Li4uVVNELkgBAAAA3rYBAAMAAAAAAOI97mPBc90IXuXPlMRz3Qg7Q0lRLk5ZU0U6SUJNLklRX0FOTlVfRElTVFJJQlVUSU9OX1VOSVQuOTk0LjQvMS8yMDI1Li4uVVNELkgBAAAA3rYBAAMAAAAAAOI97mPBc90IXuXPlMRz3Qg7Q0lRLk5ZU0U6SUJNLklRX0FOTlVfRElTVFJJQlVUSU9OX1VOSVQuOTk1LjQvMS8yMDI1Li4uVVNELkgBAAAA3rYBAAMAAAAAAOI97mPBc90IXuXPlMRz3Qg7Q0lRLk5ZU0U6SUJNLklRX0FOTlVfRElTVFJJQlVUSU9OX1VOSVQuOTk2LjQvMS8yMDI1Li4uVVNELkgBAAAA3rYBAAMAAAAAAOI97mPBc90IrzPQlMRz3Qg7Q0lRLk5ZU0U6SUJNLklRX0FOTlVfRElTVFJJQlVUSU9OX1VOSVQuOTkwLjQvMS8yMDI1Li4uVVNELkgBAAAA3rYBAAMAAAAAAOI97mPBc90IXuXPlMRz3Qg7Q0lRLk5ZU0U6SUJNLklRX0FOTlVfRElTVFJJQlVUSU9OX1VOSVQuOTkxLjQvMS8yMDI1Li4uVVNELkgBAAAA3rYBAAMAAAAAAOI97mPBc90IXuXPlMRz3QhEQ0lRLk5Z</t>
  </si>
  <si>
    <t>U0U6SUJNLklRX0RJU1RSSUJVVEFCTEVfQ0FTSF9TVEFOREFSRElaRUQuOTk4LjQvMS8yMDI1Li4uVVNELkgBAAAA3rYBAAMAAAAAAOI97mPBc90IXuXPlMRz3QhEQ0lRLk5ZU0U6SUJNLklRX0RJU1RSSUJVVEFCTEVfQ0FTSF9TVEFOREFSRElaRUQuOTk5LjQvMS8yMDI1Li4uVVNELkgBAAAA3rYBAAMAAAAAAOI97mPBc90IjivDlMRz3QhFQ0lRLk5ZU0U6SUJNLklRX0RJU1RSSUJVVEFCTEVfQ0FTSF9TVEFOREFSRElaRUQuMTAwMC40LzEvMjAyNS4uLlVTRC5IAQAAAN62AQADAAAAAADiPe5jwXPdCF7lz5TEc90IRUNJUS5OWVNFOklCTS5JUV9ESVNUUklCVVRBQkxFX0NBU0hfU1RBTkRBUkRJWkVELjIwMDAuNC8xLzIwMjUuLi5VU0QuSAEAAADetgEAAwAAAAAA4j3uY8Fz3QhhRb+UxHPdCERDSVEuTllTRTpJQk0uSVFfRElTVFJJQlVUQUJMRV9DQVNIX1NUQU5EQVJESVpFRC45OTMuNC8xLzIwMjUuLi5VU0QuSAEAAADetgEAAwAAAAAA4j3uY8Fz3Qhe5c+UxHPdCERDSVEuTllTRTpJQk0uSVFfRElTVFJJQlVUQUJMRV9DQVNIX1NUQU5EQVJESVpFRC45OTQuNC8xLzIwMjUuLi5VU0QuSAEAAADetgEAAwAAAAAA4j3uY8Fz3Qhe5c+UxHPdCERDSVEuTllTRTpJQk0uSVFfRElTVFJJQlVUQUJMRV9DQVNIX1NUQU5EQVJESVpFRC45OTUuNC8xLzIwMjUuLi5VU0QuSAEAAADetgEAAwAAAAAA4j3uY8Fz3Qhe</t>
  </si>
  <si>
    <t>5c+UxHPdCERDSVEuTllTRTpJQk0uSVFfRElTVFJJQlVUQUJMRV9DQVNIX1NUQU5EQVJESVpFRC45OTYuNC8xLzIwMjUuLi5VU0QuSAEAAADetgEAAwAAAAAA4j3uY8Fz3Qhe5c+UxHPdCERDSVEuTllTRTpJQk0uSVFfRElTVFJJQlVUQUJMRV9DQVNIX1NUQU5EQVJESVpFRC45OTcuNC8xLzIwMjUuLi5VU0QuSAEAAADetgEAAwAAAAAA4j3uY8Fz3Qhe5c+UxHPdCDhDSVEuTllTRTpJQk0uSVFfRElTVFJJQlVUQUJMRV9DQVNILjEwMDAuNC8xLzIwMjUuLi5VU0QuSAEAAADetgEAAwAAAAAA4j3uY8Fz3Qhe5c+UxHPdCDhDSVEuTllTRTpJQk0uSVFfRElTVFJJQlVUQUJMRV9DQVNILjIwMDAuNC8xLzIwMjUuLi5VU0QuSAEAAADetgEAAwAAAAAA4j3uY8Fz3QhhRb+UxHPdCERDSVEuTllTRTpJQk0uSVFfRElTVFJJQlVUQUJMRV9DQVNIX1NUQU5EQVJESVpFRC45OTAuNC8xLzIwMjUuLi5VU0QuSAEAAADetgEAAwAAAAAA4j3uY8Fz3Qhe5c+UxHPdCERDSVEuTllTRTpJQk0uSVFfRElTVFJJQlVUQUJMRV9DQVNIX1NUQU5EQVJESVpFRC45OTEuNC8xLzIwMjUuLi5VU0QuSAEAAADetgEAAwAAAAAA4j3uY8Fz3Qhe5c+UxHPdCERDSVEuTllTRTpJQk0uSVFfRElTVFJJQlVUQUJMRV9DQVNIX1NUQU5EQVJESVpFRC45OTIuNC8xLzIwMjUuLi5VU0QuSAEAAADetgEAAwAAAAAA4j3uY8Fz3Qhe5c+UxHPdCDdDSVEu</t>
  </si>
  <si>
    <t>TllTRTpJQk0uSVFfRElTVFJJQlVUQUJMRV9DQVNILjk5NS40LzEvMjAyNS4uLlVTRC5IAQAAAN62AQADAAAAAADiPe5jwXPdCF7lz5TEc90IN0NJUS5OWVNFOklCTS5JUV9ESVNUUklCVVRBQkxFX0NBU0guOTk2LjQvMS8yMDI1Li4uVVNELkgBAAAA3rYBAAMAAAAAAOI97mPBc90IXuXPlMRz3Qg3Q0lRLk5ZU0U6SUJNLklRX0RJU1RSSUJVVEFCTEVfQ0FTSC45OTcuNC8xLzIwMjUuLi5VU0QuSAEAAADetgEAAwAAAAAA4j3uY8Fz3Qhe5c+UxHPdCDdDSVEuTllTRTpJQk0uSVFfRElTVFJJQlVUQUJMRV9DQVNILjk5OC40LzEvMjAyNS4uLlVTRC5IAQAAAN62AQADAAAAAADiPe5jwXPdCF7lz5TEc90IN0NJUS5OWVNFOklCTS5JUV9ESVNUUklCVVRBQkxFX0NBU0guOTk5LjQvMS8yMDI1Li4uVVNELkgBAAAA3rYBAAMAAAAAAOI97mPBc90IjivDlMRz3Qg3Q0lRLk5ZU0U6SUJNLklRX0RJU1RSSUJVVEFCTEVfQ0FTSC45OTAuNC8xLzIwMjUuLi5VU0QuSAEAAADetgEAAwAAAAAA4j3uY8Fz3QgOl8+UxHPdCDdDSVEuTllTRTpJQk0uSVFfRElTVFJJQlVUQUJMRV9DQVNILjk5MS40LzEvMjAyNS4uLlVTRC5IAQAAAN62AQADAAAAAADiPe5jwXPdCA6Xz5TEc90IN0NJUS5OWVNFOklCTS5JUV9ESVNUUklCVVRBQkxFX0NBU0guOTkyLjQvMS8yMDI1Li4uVVNELkgBAAAA3rYBAAMAAAAAAOI97mPBc90IDpfPlMRz</t>
  </si>
  <si>
    <t>3Qg3Q0lRLk5ZU0U6SUJNLklRX0RJU1RSSUJVVEFCTEVfQ0FTSC45OTMuNC8xLzIwMjUuLi5VU0QuSAEAAADetgEAAwAAAAAA4j3uY8Fz3QgOl8+UxHPdCDdDSVEuTllTRTpJQk0uSVFfRElTVFJJQlVUQUJMRV9DQVNILjk5NC40LzEvMjAyNS4uLlVTRC5IAQAAAN62AQADAAAAAADiPe5jwXPdCF7lz5TEc90ILkNJUS5OWVNFOklCTS5JUV9EQV9FQklUREEuOTk3LjQvMS8yMDI1Li4uVVNELkgBAAAA3rYBAAIAAAAENjQxNwEIAAAABQAAAAExAQAAAAstMjAwODY0NzE5OAMAAAADMTYwAgAAAAQyMjA2BAAAAAEwBwAAAAg0LzEvMjAyNQgAAAAKMTIvMzEvMjAyMQkAAAABMOI97mPBc90IDpfPlMRz3QguQ0lRLk5ZU0U6SUJNLklRX0RBX0VCSVREQS45OTguNC8xLzIwMjUuLi5VU0QuSAEAAADetgEAAgAAAAQzOTAyAQgAAAAFAAAAATEBAAAACy0xOTU4MjgxMDk2AwAAAAMxNjACAAAABDIyMDYEAAAAATAHAAAACDQvMS8yMDI1CAAAAAoxMi8zMS8yMDIyCQAAAAEw4j3uY8Fz3QgOl8+UxHPdCC5DSVEuTllTRTpJQk0uSVFfREFfRUJJVERBLjk5OS40LzEvMjAyNS4uLlVTRC5IAQAAAN62AQACAAAABDM0OTYBCAAAAAUAAAABMQEAAAALLTE5NTgyODEwOTUDAAAAAzE2MAIAAAAEMjIwNgQAAAABMAcAAAAINC8xLzIwMjUIAAAACjEyLzMxLzIwMjMJAAAAATDiPe5jwXPdCI4rw5TEc90IL0NJUS5OWVNFOklCTS5J</t>
  </si>
  <si>
    <t>UV9EQV9FQklUREEuMTAwMC40LzEvMjAyNS4uLlVTRC5IAQAAAN62AQACAAAABDM3NjcBCAAAAAUAAAABMQEAAAALLTE5NTgyODEwOTcDAAAAAzE2MAIAAAAEMjIwNgQAAAABMAcAAAAINC8xLzIwMjUIAAAACjEyLzMxLzIwMjQJAAAAATDiPe5jwXPdCA6Xz5TEc90IL0NJUS5OWVNFOklCTS5JUV9EQV9FQklUREEuMjAwMC40LzEvMjAyNS4uLlVTRC5IAQAAAN62AQACAAAABDM3NjcBCAAAAAUAAAABMQEAAAALLTE5NTgyODA2MTUDAAAAAzE2MAIAAAAEMjIwNgQAAAABMAcAAAAINC8xLzIwMjUIAAAACjEyLzMxLzIwMjQJAAAAATDiPe5jwXPdCGFFv5TEc90ILkNJUS5OWVNFOklCTS5JUV9EQV9FQklUREEuOTkyLjQvMS8yMDI1Li4uVVNELkgBAAAA3rYBAAIAAAAENDM4MQEIAAAABQAAAAExAQAAAAoxOTQ3MTc5NTgzAwAAAAMxNjACAAAABDIyMDYEAAAAATAHAAAACDQvMS8yMDI1CAAAAAoxMi8zMS8yMDE2CQAAAAEw4j3uY8Fz3QgOl8+UxHPdCC5DSVEuTllTRTpJQk0uSVFfREFfRUJJVERBLjk5My40LzEvMjAyNS4uLlVTRC5IAQAAAN62AQACAAAABDQ1NDEBCAAAAAUAAAABMQEAAAAKMjAxNzE2NDI0NAMAAAADMTYwAgAAAAQyMjA2BAAAAAEwBwAAAAg0LzEvMjAyNQgAAAAKMTIvMzEvMjAxNwkAAAABMOI97mPBc90IDpfPlMRz3QguQ0lRLk5ZU0U6SUJNLklRX0RBX0VCSVREQS45OTQuNC8xLzIwMjUu</t>
  </si>
  <si>
    <t>Li5VU0QuSAEAAADetgEAAgAAAAQ0NDgwAQgAAAAFAAAAATEBAAAACjIwODE1MDU0MDEDAAAAAzE2MAIAAAAEMjIwNgQAAAABMAcAAAAINC8xLzIwMjUIAAAACjEyLzMxLzIwMTgJAAAAATDiPe5jwXPdCA6Xz5TEc90ILkNJUS5OWVNFOklCTS5JUV9EQV9FQklUREEuOTk1LjQvMS8yMDI1Li4uVVNELkgBAAAA3rYBAAIAAAAENjA1OQEIAAAABQAAAAExAQAAAAstMjExMDc2OTM1NQMAAAADMTYwAgAAAAQyMjA2BAAAAAEwBwAAAAg0LzEvMjAyNQgAAAAKMTIvMzEvMjAxOQkAAAABMOI97mPBc90IDpfPlMRz3QguQ0lRLk5ZU0U6SUJNLklRX0RBX0VCSVREQS45OTYuNC8xLzIwMjUuLi5VU0QuSAEAAADetgEAAgAAAAQ2Njk1AQgAAAAFAAAAATEBAAAACy0yMDU5MDczMjAyAwAAAAMxNjACAAAABDIyMDYEAAAAATAHAAAACDQvMS8yMDI1CAAAAAoxMi8zMS8yMDIwCQAAAAEw4j3uY8Fz3QgOl8+UxHPdCDhDSVEuTllTRTpJQk0uSVFfTk9OQ0FTSF9QRU5TSU9OX0VYUC45OTkuNC8xLzIwMjUuLi5VU0QuSAEAAADetgEAAgAAAAQtMTQ3AQgAAAAFAAAAATEBAAAACy0xOTU4MjgxMDk1AwAAAAMxNjACAAAABTIxNjc4BAAAAAEwBwAAAAg0LzEvMjAyNQgAAAAKMTIvMzEvMjAyMwkAAAABMOI97mPBc90IjivDlMRz3Qg5Q0lRLk5ZU0U6SUJNLklRX05PTkNBU0hfUEVOU0lPTl9FWFAuMTAwMC40LzEvMjAyNS4uLlVT</t>
  </si>
  <si>
    <t>RC5IAQAAAN62AQACAAAABDMzNTMBCAAAAAUAAAABMQEAAAALLTE5NTgyODEwOTcDAAAAAzE2MAIAAAAFMjE2NzgEAAAAATAHAAAACDQvMS8yMDI1CAAAAAoxMi8zMS8yMDI0CQAAAAEw4j3uY8Fz3QgOl8+UxHPdCDlDSVEuTllTRTpJQk0uSVFfTk9OQ0FTSF9QRU5TSU9OX0VYUC4yMDAwLjQvMS8yMDI1Li4uVVNELkgBAAAA3rYBAAIAAAAEMzM1MwEIAAAABQAAAAExAQAAAAstMTk1ODI4MDYxNQMAAAADMTYwAgAAAAUyMTY3OAQAAAABMAcAAAAINC8xLzIwMjUIAAAACjEyLzMxLzIwMjQJAAAAATDiPe5jwXPdCGFFv5TEc90ILkNJUS5OWVNFOklCTS5JUV9EQV9FQklUREEuOTkwLjQvMS8yMDI1Li4uVVNELkgBAAAA3rYBAAIAAAAENDQ5MgEIAAAABQAAAAExAQAAAAoxODI5OTExOTY4AwAAAAMxNjACAAAABDIyMDYEAAAAATAHAAAACDQvMS8yMDI1CAAAAAoxMi8zMS8yMDE0CQAAAAEw4j3uY8Fz3QgOl8+UxHPdCC5DSVEuTllTRTpJQk0uSVFfREFfRUJJVERBLjk5MS40LzEvMjAyNS4uLlVTRC5IAQAAAN62AQACAAAABDM4NTUBCAAAAAUAAAABMQEAAAAKMTg3NjQzMjg3MgMAAAADMTYwAgAAAAQyMjA2BAAAAAEwBwAAAAg0LzEvMjAyNQgAAAAKMTIvMzEvMjAxNQkAAAABMOI97mPBc90IDpfPlMRz3Qg4Q0lRLk5ZU0U6SUJNLklRX05PTkNBU0hfUEVOU0lPTl9FWFAuOTk0LjQvMS8yMDI1Li4uVVNELkgB</t>
  </si>
  <si>
    <t>AAAA3rYBAAIAAAAEMTQzMAEIAAAABQAAAAExAQAAAAoyMDgxNTA1NDAxAwAAAAMxNjACAAAABTIxNjc4BAAAAAEwBwAAAAg0LzEvMjAyNQgAAAAKMTIvMzEvMjAxOAkAAAABMOI97mPBc90IDpfPlMRz3Qg4Q0lRLk5ZU0U6SUJNLklRX05PTkNBU0hfUEVOU0lPTl9FWFAuOTk1LjQvMS8yMDI1Li4uVVNELkgBAAAA3rYBAAIAAAADMzk2AQgAAAAFAAAAATEBAAAACy0yMTEwNzY5MzU1AwAAAAMxNjACAAAABTIxNjc4BAAAAAEwBwAAAAg0LzEvMjAyNQgAAAAKMTIvMzEvMjAxOQkAAAABMOI97mPBc90IDpfPlMRz3Qg4Q0lRLk5ZU0U6SUJNLklRX05PTkNBU0hfUEVOU0lPTl9FWFAuOTk2LjQvMS8yMDI1Li4uVVNELkgBAAAA3rYBAAIAAAADOTA3AQgAAAAFAAAAATEBAAAACy0yMDU5MDczMjAyAwAAAAMxNjACAAAABTIxNjc4BAAAAAEwBwAAAAg0LzEvMjAyNQgAAAAKMTIvMzEvMjAyMAkAAAABMOI97mPBc90IDpfPlMRz3Qg4Q0lRLk5ZU0U6SUJNLklRX05PTkNBU0hfUEVOU0lPTl9FWFAuOTk3LjQvMS8yMDI1Li4uVVNELkgBAAAA3rYBAAIAAAAEMTEzOAEIAAAABQAAAAExAQAAAAstMjAwODY0NzE5OAMAAAADMTYwAgAAAAUyMTY3OAQAAAABMAcAAAAINC8xLzIwMjUIAAAACjEyLzMxLzIwMjEJAAAAATDiPe5jwXPdCA6Xz5TEc90IOENJUS5OWVNFOklCTS5JUV9OT05DQVNIX1BFTlNJT05fRVhQLjk5OC40</t>
  </si>
  <si>
    <t>LzEvMjAyNS4uLlVTRC5IAQAAAN62AQACAAAABDY0NTYBCAAAAAUAAAABMQEAAAALLTE5NTgyODEwOTYDAAAAAzE2MAIAAAAFMjE2NzgEAAAAATAHAAAACDQvMS8yMDI1CAAAAAoxMi8zMS8yMDIyCQAAAAEw4j3uY8Fz3QgOl8+UxHPdCDZDSVEuTllTRTpJQk0uSVFfSU5UX0VYUF9JTkNMX0NBUC4yMDAwLjQvMS8yMDI1Li4uVVNELkgBAAAA3rYBAAIAAAAEMTcyNAEIAAAABQAAAAExAQAAAAstMTk1ODI4MDYxNQMAAAADMTYwAgAAAAUyMTg2MQQAAAABMAcAAAAINC8xLzIwMjUIAAAACjEyLzMxLzIwMjQJAAAAATDiPe5jwXPdCGFFv5TEc90IOENJUS5OWVNFOklCTS5JUV9OT05DQVNIX1BFTlNJT05fRVhQLjk5MC40LzEvMjAyNS4uLlVTRC5IAQAAAN62AQACAAAAATABCAAAAAUAAAABMQEAAAAKMTgyOTkxMTk2OAMAAAADMTYwAgAAAAUyMTY3OAQAAAABMAcAAAAINC8xLzIwMjUIAAAACjEyLzMxLzIwMTQJAAAAATDiPe5jwXPdCA6Xz5TEc90IOENJUS5OWVNFOklCTS5JUV9OT05DQVNIX1BFTlNJT05fRVhQLjk5MS40LzEvMjAyNS4uLlVTRC5IAQAAAN62AQACAAAAAzcwNgEIAAAABQAAAAExAQAAAAoxODc2NDMyODcyAwAAAAMxNjACAAAABTIxNjc4BAAAAAEwBwAAAAg0LzEvMjAyNQgAAAAKMTIvMzEvMjAxNQkAAAABMOI97mPBc90IDpfPlMRz3Qg4Q0lRLk5ZU0U6SUJNLklRX05PTkNBU0hfUEVOU0lP</t>
  </si>
  <si>
    <t>Tl9FWFAuOTkyLjQvMS8yMDI1Li4uVVNELkgBAAAA3rYBAAIAAAADMzAyAQgAAAAFAAAAATEBAAAACjE5NDcxNzk1ODMDAAAAAzE2MAIAAAAFMjE2NzgEAAAAATAHAAAACDQvMS8yMDI1CAAAAAoxMi8zMS8yMDE2CQAAAAEw4j3uY8Fz3QgOl8+UxHPdCDhDSVEuTllTRTpJQk0uSVFfTk9OQ0FTSF9QRU5TSU9OX0VYUC45OTMuNC8xLzIwMjUuLi5VU0QuSAEAAADetgEAAgAAAAQxMTU4AQgAAAAFAAAAATEBAAAACjIwMTcxNjQyNDQDAAAAAzE2MAIAAAAFMjE2NzgEAAAAATAHAAAACDQvMS8yMDI1CAAAAAoxMi8zMS8yMDE3CQAAAAEw4j3uY8Fz3QgOl8+UxHPdCDVDSVEuTllTRTpJQk0uSVFfSU5UX0VYUF9JTkNMX0NBUC45OTYuNC8xLzIwMjUuLi5VU0QuSAEAAADetgEAAgAAAAQxMjkzAQgAAAAFAAAAATEBAAAACy0yMDU5MDczMjAyAwAAAAMxNjACAAAABTIxODYxBAAAAAEwBwAAAAg0LzEvMjAyNQgAAAAKMTIvMzEvMjAyMAkAAAABMOI97mPBc90IDpfPlMRz3Qg1Q0lRLk5ZU0U6SUJNLklRX0lOVF9FWFBfSU5DTF9DQVAuOTk3LjQvMS8yMDI1Li4uVVNELkgBAAAA3rYBAAIAAAAEMTE1OAEIAAAABQAAAAExAQAAAAstMjAwODY0NzE5OAMAAAADMTYwAgAAAAUyMTg2MQQAAAABMAcAAAAINC8xLzIwMjUIAAAACjEyLzMxLzIwMjEJAAAAATDiPe5jwXPdCA6Xz5TEc90INUNJUS5OWVNFOklCTS5JUV9JTlRf</t>
  </si>
  <si>
    <t>RVhQX0lOQ0xfQ0FQLjk5OC40LzEvMjAyNS4uLlVTRC5IAQAAAN62AQACAAAABDEyMjEBCAAAAAUAAAABMQEAAAALLTE5NTgyODEwOTYDAAAAAzE2MAIAAAAFMjE4NjEEAAAAATAHAAAACDQvMS8yMDI1CAAAAAoxMi8zMS8yMDIyCQAAAAEw4j3uY8Fz3QgOl8+UxHPdCDVDSVEuTllTRTpJQk0uSVFfSU5UX0VYUF9JTkNMX0NBUC45OTkuNC8xLzIwMjUuLi5VU0QuSAEAAADetgEAAgAAAAQxNjE2AQgAAAAFAAAAATEBAAAACy0xOTU4MjgxMDk1AwAAAAMxNjACAAAABTIxODYxBAAAAAEwBwAAAAg0LzEvMjAyNQgAAAAKMTIvMzEvMjAyMwkAAAABMOI97mPBc90IjivDlMRz3Qg2Q0lRLk5ZU0U6SUJNLklRX0lOVF9FWFBfSU5DTF9DQVAuMTAwMC40LzEvMjAyNS4uLlVTRC5IAQAAAN62AQACAAAABDE3MjQBCAAAAAUAAAABMQEAAAALLTE5NTgyODEwOTcDAAAAAzE2MAIAAAAFMjE4NjEEAAAAATAHAAAACDQvMS8yMDI1CAAAAAoxMi8zMS8yMDI0CQAAAAEw4j3uY8Fz3QgOl8+UxHPdCDVDSVEuTllTRTpJQk0uSVFfSU5UX0VYUF9JTkNMX0NBUC45OTEuNC8xLzIwMjUuLi5VU0QuSAEAAADetgEAAgAAAAM0NjgBCAAAAAUAAAABMQEAAAAKMTg3NjQzMjg3MgMAAAADMTYwAgAAAAUyMTg2MQQAAAABMAcAAAAINC8xLzIwMjUIAAAACjEyLzMxLzIwMTUJAAAAATDiPe5jwXPdCA6Xz5TEc90INUNJUS5OWVNFOklCTS5J</t>
  </si>
  <si>
    <t>UV9JTlRfRVhQX0lOQ0xfQ0FQLjk5Mi40LzEvMjAyNS4uLlVTRC5IAQAAAN62AQACAAAAAzYzMgEIAAAABQAAAAExAQAAAAoxOTQ3MTc5NTgzAwAAAAMxNjACAAAABTIxODYxBAAAAAEwBwAAAAg0LzEvMjAyNQgAAAAKMTIvMzEvMjAxNgkAAAABMOI97mPBc90IDpfPlMRz3Qg1Q0lRLk5ZU0U6SUJNLklRX0lOVF9FWFBfSU5DTF9DQVAuOTkzLjQvMS8yMDI1Li4uVVNELkgBAAAA3rYBAAIAAAADNjIwAQgAAAAFAAAAATEBAAAACjIwMTcxNjQyNDQDAAAAAzE2MAIAAAAFMjE4NjEEAAAAATAHAAAACDQvMS8yMDI1CAAAAAoxMi8zMS8yMDE3CQAAAAEw4j3uY8Fz3QgOl8+UxHPdCDVDSVEuTllTRTpJQk0uSVFfSU5UX0VYUF9JTkNMX0NBUC45OTQuNC8xLzIwMjUuLi5VU0QuSAEAAADetgEAAgAAAAM3MjYBCAAAAAUAAAABMQEAAAAKMjA4MTUwNTQwMQMAAAADMTYwAgAAAAUyMTg2MQQAAAABMAcAAAAINC8xLzIwMjUIAAAACjEyLzMxLzIwMTgJAAAAATDiPe5jwXPdCA6Xz5TEc90INUNJUS5OWVNFOklCTS5JUV9JTlRfRVhQX0lOQ0xfQ0FQLjk5NS40LzEvMjAyNS4uLlVTRC5IAQAAAN62AQACAAAABDEzNDgBCAAAAAUAAAABMQEAAAALLTIxMTA3NjkzNTUDAAAAAzE2MAIAAAAFMjE4NjEEAAAAATAHAAAACDQvMS8yMDI1CAAAAAoxMi8zMS8yMDE5CQAAAAEw4j3uY8Fz3QgOl8+UxHPdCEZDSVEuTllTRTpJQk0u</t>
  </si>
  <si>
    <t>SVFfSU5URVJFU1RfRVhQX0xFQVNFX0xJQUJJTElUWV9ERUJULjk5OC40LzEvMjAyNS4uLlVTRC5IAQAAAN62AQADAAAAAADiPe5jwXPdCA6Xz5TEc90IRkNJUS5OWVNFOklCTS5JUV9JTlRFUkVTVF9FWFBfTEVBU0VfTElBQklMSVRZX0RFQlQuOTk5LjQvMS8yMDI1Li4uVVNELkgBAAAA3rYBAAMAAAAAAOI97mPBc90IjivDlMRz3QhHQ0lRLk5ZU0U6SUJNLklRX0lOVEVSRVNUX0VYUF9MRUFTRV9MSUFCSUxJVFlfREVCVC4xMDAwLjQvMS8yMDI1Li4uVVNELkgBAAAA3rYBAAMAAAAAAOI97mPBc90IsEjPlMRz3QhHQ0lRLk5ZU0U6SUJNLklRX0lOVEVSRVNUX0VYUF9MRUFTRV9MSUFCSUxJVFlfREVCVC4yMDAwLjQvMS8yMDI1Li4uVVNELkgBAAAA3rYBAAMAAAAAAOI97mPBc90IYUW/lMRz3Qg1Q0lRLk5ZU0U6SUJNLklRX0lOVF9FWFBfSU5DTF9DQVAuOTkwLjQvMS8yMDI1Li4uVVNELkgBAAAA3rYBAAIAAAADNDg4AQgAAAAFAAAAATEBAAAACjE4Mjk5MTE5NjgDAAAAAzE2MAIAAAAFMjE4NjEEAAAAATAHAAAACDQvMS8yMDI1CAAAAAoxMi8zMS8yMDE0CQAAAAEw4j3uY8Fz3QgOl8+UxHPdCEZDSVEuTllTRTpJQk0uSVFfSU5URVJFU1RfRVhQX0xFQVNFX0xJQUJJTElUWV9ERUJULjk5My40LzEvMjAyNS4uLlVTRC5IAQAAAN62AQADAAAAAADiPe5jwXPdCA6Xz5TEc90IRkNJUS5OWVNFOklCTS5JUV9J</t>
  </si>
  <si>
    <t>TlRFUkVTVF9FWFBfTEVBU0VfTElBQklMSVRZX0RFQlQuOTk0LjQvMS8yMDI1Li4uVVNELkgBAAAA3rYBAAMAAAAAAOI97mPBc90IDpfPlMRz3QhGQ0lRLk5ZU0U6SUJNLklRX0lOVEVSRVNUX0VYUF9MRUFTRV9MSUFCSUxJVFlfREVCVC45OTUuNC8xLzIwMjUuLi5VU0QuSAEAAADetgEAAwAAAAAA4j3uY8Fz3QiwSM+UxHPdCEZDSVEuTllTRTpJQk0uSVFfSU5URVJFU1RfRVhQX0xFQVNFX0xJQUJJTElUWV9ERUJULjk5Ni40LzEvMjAyNS4uLlVTRC5IAQAAAN62AQADAAAAAADiPe5jwXPdCLBIz5TEc90IRkNJUS5OWVNFOklCTS5JUV9JTlRFUkVTVF9FWFBfTEVBU0VfTElBQklMSVRZX0RFQlQuOTk3LjQvMS8yMDI1Li4uVVNELkgBAAAA3rYBAAMAAAAAAOI97mPBc90IsEjPlMRz3QgxQ0lRLk5ZU0U6SUJNLklRX0lOVF9FWFBfTFRELjEwMDAuNC8xLzIwMjUuLi5VU0QuSAEAAADetgEAAwAAAAAA4j3uY8Fz3QiwSM+UxHPdCDFDSVEuTllTRTpJQk0uSVFfSU5UX0VYUF9MVEQuMjAwMC40LzEvMjAyNS4uLlVTRC5IAQAAAN62AQADAAAAAADiPe5jwXPdCGFFv5TEc90IRkNJUS5OWVNFOklCTS5JUV9JTlRFUkVTVF9FWFBfTEVBU0VfTElBQklMSVRZX0RFQlQuOTkwLjQvMS8yMDI1Li4uVVNELkgBAAAA3rYBAAMAAAAAAOI97mPBc90IsEjPlMRz3QhGQ0lRLk5ZU0U6SUJNLklRX0lOVEVSRVNUX0VYUF9MRUFT</t>
  </si>
  <si>
    <t>RV9MSUFCSUxJVFlfREVCVC45OTEuNC8xLzIwMjUuLi5VU0QuSAEAAADetgEAAwAAAAAA4j3uY8Fz3QiwSM+UxHPdCEZDSVEuTllTRTpJQk0uSVFfSU5URVJFU1RfRVhQX0xFQVNFX0xJQUJJTElUWV9ERUJULjk5Mi40LzEvMjAyNS4uLlVTRC5IAQAAAN62AQADAAAAAADiPe5jwXPdCLBIz5TEc90IMENJUS5OWVNFOklCTS5JUV9JTlRfRVhQX0xURC45OTUuNC8xLzIwMjUuLi5VU0QuSAEAAADetgEAAwAAAAAA4j3uY8Fz3QiwSM+UxHPdCDBDSVEuTllTRTpJQk0uSVFfSU5UX0VYUF9MVEQuOTk2LjQvMS8yMDI1Li4uVVNELkgBAAAA3rYBAAMAAAAAAOI97mPBc90IsEjPlMRz3QgwQ0lRLk5ZU0U6SUJNLklRX0lOVF9FWFBfTFRELjk5Ny40LzEvMjAyNS4uLlVTRC5IAQAAAN62AQADAAAAAADiPe5jwXPdCLBIz5TEc90IMENJUS5OWVNFOklCTS5JUV9JTlRfRVhQX0xURC45OTguNC8xLzIwMjUuLi5VU0QuSAEAAADetgEAAwAAAAAA4j3uY8Fz3QiwSM+UxHPdCDBDSVEuTllTRTpJQk0uSVFfSU5UX0VYUF9MVEQuOTk5LjQvMS8yMDI1Li4uVVNELkgBAAAA3rYBAAMAAAAAAOI97mPBc90IjivDlMRz3QgwQ0lRLk5ZU0U6SUJNLklRX0lOVF9FWFBfTFRELjk5MC40LzEvMjAyNS4uLlVTRC5IAQAAAN62AQADAAAAAADiPe5jwXPdCLBIz5TEc90IMENJUS5OWVNFOklCTS5JUV9JTlRfRVhQX0xURC45OTEuNC8xLzIw</t>
  </si>
  <si>
    <t>MjUuLi5VU0QuSAEAAADetgEAAwAAAAAA4j3uY8Fz3QiwSM+UxHPdCDBDSVEuTllTRTpJQk0uSVFfSU5UX0VYUF9MVEQuOTkyLjQvMS8yMDI1Li4uVVNELkgBAAAA3rYBAAMAAAAAAOI97mPBc90IsEjPlMRz3QgwQ0lRLk5ZU0U6SUJNLklRX0lOVF9FWFBfTFRELjk5My40LzEvMjAyNS4uLlVTRC5IAQAAAN62AQADAAAAAADiPe5jwXPdCLBIz5TEc90IMENJUS5OWVNFOklCTS5JUV9JTlRfRVhQX0xURC45OTQuNC8xLzIwMjUuLi5VU0QuSAEAAADetgEAAwAAAAAA4j3uY8Fz3QiwSM+UxHPdCDlDSVEuTllTRTpJQk0uSVFfQ0FQSVRBTElaRURfSU5URVJFU1QuOTk3LjQvMS8yMDI1Li4uVVNELkgBAAAA3rYBAAIAAAABMwEIAAAABQAAAAExAQAAAAstMjAwODY0NzE5OAMAAAADMTYwAgAAAAQzMDMyBAAAAAEwBwAAAAg0LzEvMjAyNQgAAAAKMTIvMzEvMjAyMQkAAAABMOI97mPBc90IsEjPlMRz3Qg5Q0lRLk5ZU0U6SUJNLklRX0NBUElUQUxJWkVEX0lOVEVSRVNULjk5OC40LzEvMjAyNS4uLlVTRC5IAQAAAN62AQACAAAAATUBCAAAAAUAAAABMQEAAAALLTE5NTgyODEwOTYDAAAAAzE2MAIAAAAEMzAzMgQAAAABMAcAAAAINC8xLzIwMjUIAAAACjEyLzMxLzIwMjIJAAAAATDiPe5jwXPdCLBIz5TEc90IOUNJUS5OWVNFOklCTS5JUV9DQVBJVEFMSVpFRF9JTlRFUkVTVC45OTkuNC8xLzIwMjUuLi5VU0QuSAEA</t>
  </si>
  <si>
    <t>AADetgEAAgAAAAE5AQgAAAAFAAAAATEBAAAACy0xOTU4MjgxMDk1AwAAAAMxNjACAAAABDMwMzIEAAAAATAHAAAACDQvMS8yMDI1CAAAAAoxMi8zMS8yMDIzCQAAAAEw4j3uY8Fz3QiOK8OUxHPdCDpDSVEuTllTRTpJQk0uSVFfQ0FQSVRBTElaRURfSU5URVJFU1QuMTAwMC40LzEvMjAyNS4uLlVTRC5IAQAAAN62AQACAAAAAjEyAQgAAAAFAAAAATEBAAAACy0xOTU4MjgxMDk3AwAAAAMxNjACAAAABDMwMzIEAAAAATAHAAAACDQvMS8yMDI1CAAAAAoxMi8zMS8yMDI0CQAAAAEw4j3uY8Fz3QiwSM+UxHPdCDpDSVEuTllTRTpJQk0uSVFfQ0FQSVRBTElaRURfSU5URVJFU1QuMjAwMC40LzEvMjAyNS4uLlVTRC5IAQAAAN62AQACAAAAAjEyAQgAAAAFAAAAATEBAAAACy0xOTU4MjgwNjE1AwAAAAMxNjACAAAABDMwMzIEAAAAATAHAAAACDQvMS8yMDI1CAAAAAoxMi8zMS8yMDI0CQAAAAEw4j3uY8Fz3QhhRb+UxHPdCDlDSVEuTllTRTpJQk0uSVFfQ0FQSVRBTElaRURfSU5URVJFU1QuOTkyLjQvMS8yMDI1Li4uVVNELkgBAAAA3rYBAAIAAAABMgEIAAAABQAAAAExAQAAAAoxOTQ3MTc5NTgzAwAAAAMxNjACAAAABDMwMzIEAAAAATAHAAAACDQvMS8yMDI1CAAAAAoxMi8zMS8yMDE2CQAAAAEw4j3uY8Fz3QiwSM+UxHPdCDlDSVEuTllTRTpJQk0uSVFfQ0FQSVRBTElaRURfSU5URVJFU1QuOTkzLjQvMS8yMDI1</t>
  </si>
  <si>
    <t>Li4uVVNELkgBAAAA3rYBAAIAAAABNQEIAAAABQAAAAExAQAAAAoyMDE3MTY0MjQ0AwAAAAMxNjACAAAABDMwMzIEAAAAATAHAAAACDQvMS8yMDI1CAAAAAoxMi8zMS8yMDE3CQAAAAEw4j3uY8Fz3QiwSM+UxHPdCDlDSVEuTllTRTpJQk0uSVFfQ0FQSVRBTElaRURfSU5URVJFU1QuOTk0LjQvMS8yMDI1Li4uVVNELkgBAAAA3rYBAAIAAAABMwEIAAAABQAAAAExAQAAAAoyMDgxNTA1NDAxAwAAAAMxNjACAAAABDMwMzIEAAAAATAHAAAACDQvMS8yMDI1CAAAAAoxMi8zMS8yMDE4CQAAAAEw4j3uY8Fz3QiwSM+UxHPdCDlDSVEuTllTRTpJQk0uSVFfQ0FQSVRBTElaRURfSU5URVJFU1QuOTk1LjQvMS8yMDI1Li4uVVNELkgBAAAA3rYBAAIAAAABNAEIAAAABQAAAAExAQAAAAstMjExMDc2OTM1NQMAAAADMTYwAgAAAAQzMDMyBAAAAAEwBwAAAAg0LzEvMjAyNQgAAAAKMTIvMzEvMjAxOQkAAAABMOI97mPBc90IsEjPlMRz3Qg5Q0lRLk5ZU0U6SUJNLklRX0NBUElUQUxJWkVEX0lOVEVSRVNULjk5Ni40LzEvMjAyNS4uLlVTRC5IAQAAAN62AQACAAAAATUBCAAAAAUAAAABMQEAAAALLTIwNTkwNzMyMDIDAAAAAzE2MAIAAAAEMzAzMgQAAAABMAcAAAAINC8xLzIwMjUIAAAACjEyLzMxLzIwMjAJAAAAATDiPe5jwXPdCLBIz5TEc90ILUNJUS5OWVNFOklCTS5JUV9ESUxVVF9OSS45OTkuNC8xLzIwMjUuLi5VU0Qu</t>
  </si>
  <si>
    <t>SAEAAADetgEAAgAAAAs3NTE0LjkwMTY5OAEIAAAABQAAAAExAQAAAAstMTk1ODI4MTA5NQMAAAADMTYwAgAAAAQzNTIyBAAAAAEwBwAAAAg0LzEvMjAyNQgAAAAKMTIvMzEvMjAyMwkAAAABMOI97mPBc90IjivDlMRz3QguQ0lRLk5ZU0U6SUJNLklRX0RJTFVUX05JLjEwMDAuNC8xLzIwMjUuLi5VU0QuSAEAAADetgEAAgAAAAs2MDE2LjU3NTA1OAEIAAAABQAAAAExAQAAAAstMTk1ODI4MTA5NwMAAAADMTYwAgAAAAQzNTIyBAAAAAEwBwAAAAg0LzEvMjAyNQgAAAAKMTIvMzEvMjAyNAkAAAABMOI97mPBc90IsEjPlMRz3QguQ0lRLk5ZU0U6SUJNLklRX0RJTFVUX05JLjIwMDAuNC8xLzIwMjUuLi5VU0QuSAEAAADetgEAAgAAAAs2MDE2LjU3NTA1OAEIAAAABQAAAAExAQAAAAstMTk1ODI4MDYxNQMAAAADMTYwAgAAAAQzNTIyBAAAAAEwBwAAAAg0LzEvMjAyNQgAAAAKMTIvMzEvMjAyNAkAAAABMOI97mPBc90IYUW/lMRz3Qg5Q0lRLk5ZU0U6SUJNLklRX0NBUElUQUxJWkVEX0lOVEVSRVNULjk5MC40LzEvMjAyNS4uLlVTRC5IAQAAAN62AQACAAAAATQBCAAAAAUAAAABMQEAAAAKMTgyOTkxMTk2OAMAAAADMTYwAgAAAAQzMDMyBAAAAAEwBwAAAAg0LzEvMjAyNQgAAAAKMTIvMzEvMjAxNAkAAAABMOI97mPBc90IsEjPlMRz3Qg5Q0lRLk5ZU0U6SUJNLklRX0NBUElUQUxJWkVEX0lOVEVSRVNULjk5MS40</t>
  </si>
  <si>
    <t>LzEvMjAyNS4uLlVTRC5IAQAAAN62AQADAAAAAADiPe5jwXPdCLBIz5TEc90ILUNJUS5OWVNFOklCTS5JUV9ESUxVVF9OSS45OTQuNC8xLzIwMjUuLi5VU0QuSAEAAADetgEAAgAAAAQ4NzE4AQgAAAAFAAAAATEBAAAACjIwODE1MDU0MDEDAAAAAzE2MAIAAAAEMzUyMgQAAAABMAcAAAAINC8xLzIwMjUIAAAACjEyLzMxLzIwMTgJAAAAATDiPe5jwXPdCLBIz5TEc90ILUNJUS5OWVNFOklCTS5JUV9ESUxVVF9OSS45OTUuNC8xLzIwMjUuLi5VU0QuSAEAAADetgEAAgAAAAs3MTQyLjUwNzAwOAEIAAAABQAAAAExAQAAAAstMjExMDc2OTM1NQMAAAADMTYwAgAAAAQzNTIyBAAAAAEwBwAAAAg0LzEvMjAyNQgAAAAKMTIvMzEvMjAxOQkAAAABMOI97mPBc90IsEjPlMRz3QgtQ0lRLk5ZU0U6SUJNLklRX0RJTFVUX05JLjk5Ni40LzEvMjAyNS4uLlVTRC5IAQAAAN62AQACAAAABDM5MzABCAAAAAUAAAABMQEAAAALLTIwNTkwNzMyMDIDAAAAAzE2MAIAAAAEMzUyMgQAAAABMAcAAAAINC8xLzIwMjUIAAAACjEyLzMxLzIwMjAJAAAAATDiPe5jwXPdCLBIz5TEc90ILUNJUS5OWVNFOklCTS5JUV9ESUxVVF9OSS45OTcuNC8xLzIwMjUuLi5VU0QuSAEAAADetgEAAgAAAAs0NzEzLjE3OTYxNQEIAAAABQAAAAExAQAAAAstMjAwODY0NzE5OAMAAAADMTYwAgAAAAQzNTIyBAAAAAEwBwAAAAg0LzEvMjAyNQgAAAAKMTIv</t>
  </si>
  <si>
    <t>MzEvMjAyMQkAAAABMOI97mPBc90IWyHPlMRz3QgtQ0lRLk5ZU0U6SUJNLklRX0RJTFVUX05JLjk5OC40LzEvMjAyNS4uLlVTRC5IAQAAAN62AQACAAAACzE3NzguOTI0NjcxAQgAAAAFAAAAATEBAAAACy0xOTU4MjgxMDk2AwAAAAMxNjACAAAABDM1MjIEAAAAATAHAAAACDQvMS8yMDI1CAAAAAoxMi8zMS8yMDIyCQAAAAEw4j3uY8Fz3QiwSM+UxHPdCC1DSVEuTllTRTpJQk0uSVFfTklfTk9STS4yMDAwLjQvMS8yMDI1Li4uVVNELkgBAAAA3rYBAAIAAAAINjA2OC4xMjUBCAAAAAUAAAABMQEAAAALLTE5NTgyODA2MTUDAAAAAzE2MAIAAAAENDM3OAQAAAABMAcAAAAINC8xLzIwMjUIAAAACjEyLzMxLzIwMjQJAAAAATDiPe5jwXPdCGFFv5TEc90ILUNJUS5OWVNFOklCTS5JUV9ESUxVVF9OSS45OTAuNC8xLzIwMjUuLi5VU0QuSAEAAADetgEAAgAAAAUxNTc0OQEIAAAABQAAAAExAQAAAAoxODI5OTExOTY4AwAAAAMxNjACAAAABDM1MjIEAAAAATAHAAAACDQvMS8yMDI1CAAAAAoxMi8zMS8yMDE0CQAAAAEw4j3uY8Fz3QiwSM+UxHPdCC1DSVEuTllTRTpJQk0uSVFfRElMVVRfTkkuOTkxLjQvMS8yMDI1Li4uVVNELkgBAAAA3rYBAAIAAAAFMTMzNjMBCAAAAAUAAAABMQEAAAAKMTg3NjQzMjg3MgMAAAADMTYwAgAAAAQzNTIyBAAAAAEwBwAAAAg0LzEvMjAyNQgAAAAKMTIvMzEvMjAxNQkAAAABMOI97mPB</t>
  </si>
  <si>
    <t>c90IsEjPlMRz3QgtQ0lRLk5ZU0U6SUJNLklRX0RJTFVUX05JLjk5Mi40LzEvMjAyNS4uLlVTRC5IAQAAAN62AQACAAAADDExODc4LjQ2NzY2MgEIAAAABQAAAAExAQAAAAoxOTQ3MTc5NTgzAwAAAAMxNjACAAAABDM1MjIEAAAAATAHAAAACDQvMS8yMDI1CAAAAAoxMi8zMS8yMDE2CQAAAAEw4j3uY8Fz3QiwSM+UxHPdCC1DSVEuTllTRTpJQk0uSVFfRElMVVRfTkkuOTkzLjQvMS8yMDI1Li4uVVNELkgBAAAA3rYBAAIAAAAENTc1NgEIAAAABQAAAAExAQAAAAoyMDE3MTY0MjQ0AwAAAAMxNjACAAAABDM1MjIEAAAAATAHAAAACDQvMS8yMDI1CAAAAAoxMi8zMS8yMDE3CQAAAAEw4j3uY8Fz3QhbIc+UxHPdCCxDSVEuTllTRTpJQk0uSVFfTklfTk9STS45OTYuNC8xLzIwMjUuLi5VU0QuSAEAAADetgEAAgAAAAYxNjA3LjUBCAAAAAUAAAABMQEAAAALLTIwNTkwNzMyMDIDAAAAAzE2MAIAAAAENDM3OAQAAAABMAcAAAAINC8xLzIwMjUIAAAACjEyLzMxLzIwMjAJAAAAATDiPe5jwXPdCFshz5TEc90ILENJUS5OWVNFOklCTS5JUV9OSV9OT1JNLjk5Ny40LzEvMjAyNS4uLlVTRC5IAQAAAN62AQACAAAABDI5NDABCAAAAAUAAAABMQEAAAALLTIwMDg2NDcxOTgDAAAAAzE2MAIAAAAENDM3OAQAAAABMAcAAAAINC8xLzIwMjUIAAAACjEyLzMxLzIwMjEJAAAAATDiPe5jwXPdCFshz5TEc90ILENJUS5OWVNFOklC</t>
  </si>
  <si>
    <t>TS5JUV9OSV9OT1JNLjk5OC40LzEvMjAyNS4uLlVTRC5IAQAAAN62AQACAAAABDQ1ODABCAAAAAUAAAABMQEAAAALLTE5NTgyODEwOTYDAAAAAzE2MAIAAAAENDM3OAQAAAABMAcAAAAINC8xLzIwMjUIAAAACjEyLzMxLzIwMjIJAAAAATDiPe5jwXPdCFshz5TEc90ILENJUS5OWVNFOklCTS5JUV9OSV9OT1JNLjk5OS40LzEvMjAyNS4uLlVTRC5IAQAAAN62AQACAAAABzU3MDEuMjUBCAAAAAUAAAABMQEAAAALLTE5NTgyODEwOTUDAAAAAzE2MAIAAAAENDM3OAQAAAABMAcAAAAINC8xLzIwMjUIAAAACjEyLzMxLzIwMjMJAAAAATDiPe5jwXPdCI4rw5TEc90ILUNJUS5OWVNFOklCTS5JUV9OSV9OT1JNLjEwMDAuNC8xLzIwMjUuLi5VU0QuSAEAAADetgEAAgAAAAg2MDY4LjEyNQEIAAAABQAAAAExAQAAAAstMTk1ODI4MTA5NwMAAAADMTYwAgAAAAQ0Mzc4BAAAAAEwBwAAAAg0LzEvMjAyNQgAAAAKMTIvMzEvMjAyNAkAAAABMOI97mPBc90IWyHPlMRz3QgsQ0lRLk5ZU0U6SUJNLklRX05JX05PUk0uOTkxLjQvMS8yMDI1Li4uVVNELkgBAAAA3rYBAAIAAAAJMTA1MTEuODc1AQgAAAAFAAAAATEBAAAACjE4NzY0MzI4NzIDAAAAAzE2MAIAAAAENDM3OAQAAAABMAcAAAAINC8xLzIwMjUIAAAACjEyLzMxLzIwMTUJAAAAATDiPe5jwXPdCFshz5TEc90ILENJUS5OWVNFOklCTS5JUV9OSV9OT1JNLjk5Mi40LzEv</t>
  </si>
  <si>
    <t>MjAyNS4uLlVTRC5IAQAAAN62AQACAAAACDgzOTAuNjI1AQgAAAAFAAAAATEBAAAACjE5NDcxNzk1ODMDAAAAAzE2MAIAAAAENDM3OAQAAAABMAcAAAAINC8xLzIwMjUIAAAACjEyLzMxLzIwMTYJAAAAATDiPe5jwXPdCFshz5TEc90ILENJUS5OWVNFOklCTS5JUV9OSV9OT1JNLjk5My40LzEvMjAyNS4uLlVTRC5IAQAAAN62AQACAAAABDcxMjUBCAAAAAUAAAABMQEAAAAKMjAxNzE2NDI0NAMAAAADMTYwAgAAAAQ0Mzc4BAAAAAEwBwAAAAg0LzEvMjAyNQgAAAAKMTIvMzEvMjAxNwkAAAABMOI97mPBc90IWyHPlMRz3QgsQ0lRLk5ZU0U6SUJNLklRX05JX05PUk0uOTk0LjQvMS8yMDI1Li4uVVNELkgBAAAA3rYBAAIAAAAHNzA4OC43NQEIAAAABQAAAAExAQAAAAoyMDgxNTA1NDAxAwAAAAMxNjACAAAABDQzNzgEAAAAATAHAAAACDQvMS8yMDI1CAAAAAoxMi8zMS8yMDE4CQAAAAEw4j3uY8Fz3QhbIc+UxHPdCCxDSVEuTllTRTpJQk0uSVFfTklfTk9STS45OTUuNC8xLzIwMjUuLi5VU0QuSAEAAADetgEAAgAAAAY0MDI3LjUBCAAAAAUAAAABMQEAAAALLTIxMTA3NjkzNTUDAAAAAzE2MAIAAAAENDM3OAQAAAABMAcAAAAINC8xLzIwMjUIAAAACjEyLzMxLzIwMTkJAAAAATDiPe5jwXPdCFshz5TEc90IPkNJUS5OWVNFOklCTS5JUV9OT05SRUNVUlJJTkdfSU5DT01FX1RBWEVTLjk5OC40LzEvMjAyNS4uLlVT</t>
  </si>
  <si>
    <t>RC5IAQAAAN62AQADAAAAAADiPe5jwXPdCFshz5TEc90IPkNJUS5OWVNFOklCTS5JUV9OT05SRUNVUlJJTkdfSU5DT01FX1RBWEVTLjk5OS40LzEvMjAyNS4uLlVTRC5IAQAAAN62AQACAAAAAjk1AQgAAAAFAAAAATEBAAAACy0xOTU4MjgxMDk1AwAAAAMxNjACAAAABTQ4ODM5BAAAAAEwBwAAAAg0LzEvMjAyNQgAAAAKMTIvMzEvMjAyMwkAAAABMOI97mPBc90IjivDlMRz3Qg/Q0lRLk5ZU0U6SUJNLklRX05PTlJFQ1VSUklOR19JTkNPTUVfVEFYRVMuMTAwMC40LzEvMjAyNS4uLlVTRC5IAQAAAN62AQACAAAABC00NTUBCAAAAAUAAAABMQEAAAALLTE5NTgyODEwOTcDAAAAAzE2MAIAAAAFNDg4MzkEAAAAATAHAAAACDQvMS8yMDI1CAAAAAoxMi8zMS8yMDI0CQAAAAEw4j3uY8Fz3QhbIc+UxHPdCD9DSVEuTllTRTpJQk0uSVFfTk9OUkVDVVJSSU5HX0lOQ09NRV9UQVhFUy4yMDAwLjQvMS8yMDI1Li4uVVNELkgBAAAA3rYBAAIAAAAELTQ1NQEIAAAABQAAAAExAQAAAAstMTk1ODI4MDYxNQMAAAADMTYwAgAAAAU0ODgzOQQAAAABMAcAAAAINC8xLzIwMjUIAAAACjEyLzMxLzIwMjQJAAAAATDiPe5jwXPdCGFFv5TEc90ILENJUS5OWVNFOklCTS5JUV9OSV9OT1JNLjk5MC40LzEvMjAyNS4uLlVTRC5IAQAAAN62AQACAAAACDEzMzM4Ljc1AQgAAAAFAAAAATEBAAAACjE4Mjk5MTE5NjgDAAAAAzE2MAIAAAAE</t>
  </si>
  <si>
    <t>NDM3OAQAAAABMAcAAAAINC8xLzIwMjUIAAAACjEyLzMxLzIwMTQJAAAAATDiPe5jwXPdCFshz5TEc90IPkNJUS5OWVNFOklCTS5JUV9OT05SRUNVUlJJTkdfSU5DT01FX1RBWEVTLjk5My40LzEvMjAyNS4uLlVTRC5IAQAAAN62AQACAAAABDU0NzUBCAAAAAUAAAABMQEAAAAKMjAxNzE2NDI0NAMAAAADMTYwAgAAAAU0ODgzOQQAAAABMAcAAAAINC8xLzIwMjUIAAAACjEyLzMxLzIwMTcJAAAAATDiPe5jwXPdCFshz5TEc90IPkNJUS5OWVNFOklCTS5JUV9OT05SRUNVUlJJTkdfSU5DT01FX1RBWEVTLjk5NC40LzEvMjAyNS4uLlVTRC5IAQAAAN62AQADAAAAAADiPe5jwXPdCFshz5TEc90IPkNJUS5OWVNFOklCTS5JUV9OT05SRUNVUlJJTkdfSU5DT01FX1RBWEVTLjk5NS40LzEvMjAyNS4uLlVTRC5IAQAAAN62AQACAAAAAzE0NgEIAAAABQAAAAExAQAAAAstMjExMDc2OTM1NQMAAAADMTYwAgAAAAU0ODgzOQQAAAABMAcAAAAINC8xLzIwMjUIAAAACjEyLzMxLzIwMTkJAAAAATDiPe5jwXPdCJPSzpTEc90IPkNJUS5OWVNFOklCTS5JUV9OT05SRUNVUlJJTkdfSU5DT01FX1RBWEVTLjk5Ni40LzEvMjAyNS4uLlVTRC5IAQAAAN62AQADAAAAAADiPe5jwXPdCJPSzpTEc90IPkNJUS5OWVNFOklCTS5JUV9OT05SRUNVUlJJTkdfSU5DT01FX1RBWEVTLjk5Ny40LzEvMjAyNS4uLlVTRC5IAQAAAN62AQADAAAA</t>
  </si>
  <si>
    <t>AADiPe5jwXPdCFshz5TEc90IOkNJUS5OWVNFOklCTS5JUV9ERUZFUlJFRF9UQVhFU19UT1RBTC4xMDAwLjQvMS8yMDI1Li4uVVNELkgBAAAA3rYBAAIAAAAFLTIzMzYBCAAAAAUAAAABMQEAAAALLTE5NTgyODEwOTcDAAAAAzE2MAIAAAAFMzUzODUEAAAAATAHAAAACDQvMS8yMDI1CAAAAAoxMi8zMS8yMDI0CQAAAAEw4j3uY8Fz3QhbIc+UxHPdCDpDSVEuTllTRTpJQk0uSVFfREVGRVJSRURfVEFYRVNfVE9UQUwuMjAwMC40LzEvMjAyNS4uLlVTRC5IAQAAAN62AQACAAAABS0yMzM2AQgAAAAFAAAAATEBAAAACy0xOTU4MjgwNjE1AwAAAAMxNjACAAAABTM1Mzg1BAAAAAEwBwAAAAg0LzEvMjAyNQgAAAAKMTIvMzEvMjAyNAkAAAABMOI97mPBc90IYUW/lMRz3Qg+Q0lRLk5ZU0U6SUJNLklRX05PTlJFQ1VSUklOR19JTkNPTUVfVEFYRVMuOTkwLjQvMS8yMDI1Li4uVVNELkgBAAAA3rYBAAMAAAAAAOI97mPBc90IWyHPlMRz3Qg+Q0lRLk5ZU0U6SUJNLklRX05PTlJFQ1VSUklOR19JTkNPTUVfVEFYRVMuOTkxLjQvMS8yMDI1Li4uVVNELkgBAAAA3rYBAAMAAAAAAOI97mPBc90Ik9LOlMRz3Qg+Q0lRLk5ZU0U6SUJNLklRX05PTlJFQ1VSUklOR19JTkNPTUVfVEFYRVMuOTkyLjQvMS8yMDI1Li4uVVNELkgBAAAA3rYBAAMAAAAAAOI97mPBc90Ik9LOlMRz3Qg5Q0lRLk5ZU0U6SUJNLklRX0RFRkVSUkVEX1RB</t>
  </si>
  <si>
    <t>WEVTX1RPVEFMLjk5NS40LzEvMjAyNS4uLlVTRC5IAQAAAN62AQACAAAABS0xNTg4AQgAAAAFAAAAATEBAAAACy0yMTEwNzY5MzU1AwAAAAMxNjACAAAABTM1Mzg1BAAAAAEwBwAAAAg0LzEvMjAyNQgAAAAKMTIvMzEvMjAxOQkAAAABMOI97mPBc90Ik9LOlMRz3Qg5Q0lRLk5ZU0U6SUJNLklRX0RFRkVSUkVEX1RBWEVTX1RPVEFMLjk5Ni40LzEvMjAyNS4uLlVTRC5IAQAAAN62AQACAAAABS0zMjI1AQgAAAAFAAAAATEBAAAACy0yMDU5MDczMjAyAwAAAAMxNjACAAAABTM1Mzg1BAAAAAEwBwAAAAg0LzEvMjAyNQgAAAAKMTIvMzEvMjAyMAkAAAABMOI97mPBc90Ik9LOlMRz3Qg5Q0lRLk5ZU0U6SUJNLklRX0RFRkVSUkVEX1RBWEVTX1RPVEFMLjk5Ny40LzEvMjAyNS4uLlVTRC5IAQAAAN62AQACAAAABS0xNzUzAQgAAAAFAAAAATEBAAAACy0yMDA4NjQ3MTk4AwAAAAMxNjACAAAABTM1Mzg1BAAAAAEwBwAAAAg0LzEvMjAyNQgAAAAKMTIvMzEvMjAyMQkAAAABMOI97mPBc90Ik9LOlMRz3Qg5Q0lRLk5ZU0U6SUJNLklRX0RFRkVSUkVEX1RBWEVTX1RPVEFMLjk5OC40LzEvMjAyNS4uLlVTRC5IAQAAAN62AQACAAAABS0yODc5AQgAAAAFAAAAATEBAAAACy0xOTU4MjgxMDk2AwAAAAMxNjACAAAABTM1Mzg1BAAAAAEwBwAAAAg0LzEvMjAyNQgAAAAKMTIvMzEvMjAyMgkAAAABMOI97mPBc90Ik9LOlMRz3Qg5</t>
  </si>
  <si>
    <t>Q0lRLk5ZU0U6SUJNLklRX0RFRkVSUkVEX1RBWEVTX1RPVEFMLjk5OS40LzEvMjAyNS4uLlVTRC5IAQAAAN62AQACAAAABS0xMTA1AQgAAAAFAAAAATEBAAAACy0xOTU4MjgxMDk1AwAAAAMxNjACAAAABTM1Mzg1BAAAAAEwBwAAAAg0LzEvMjAyNQgAAAAKMTIvMzEvMjAyMwkAAAABMOI97mPBc90IjivDlMRz3Qg5Q0lRLk5ZU0U6SUJNLklRX0RFRkVSUkVEX1RBWEVTX1RPVEFMLjk5MC40LzEvMjAyNS4uLlVTRC5IAQAAAN62AQACAAAABC0yNjYBCAAAAAUAAAABMQEAAAAKMTgyOTkxMTk2OAMAAAADMTYwAgAAAAUzNTM4NQQAAAABMAcAAAAINC8xLzIwMjUIAAAACjEyLzMxLzIwMTQJAAAAATDiPe5jwXPdCJPSzpTEc90IOUNJUS5OWVNFOklCTS5JUV9ERUZFUlJFRF9UQVhFU19UT1RBTC45OTEuNC8xLzIwMjUuLi5VU0QuSAEAAADetgEAAgAAAAM2NzMBCAAAAAUAAAABMQEAAAAKMTg3NjQzMjg3MgMAAAADMTYwAgAAAAUzNTM4NQQAAAABMAcAAAAINC8xLzIwMjUIAAAACjEyLzMxLzIwMTUJAAAAATDiPe5jwXPdCJPSzpTEc90IOUNJUS5OWVNFOklCTS5JUV9ERUZFUlJFRF9UQVhFU19UT1RBTC45OTIuNC8xLzIwMjUuLi5VU0QuSAEAAADetgEAAgAAAAQtOTY5AQgAAAAFAAAAATEBAAAACjE5NDcxNzk1ODMDAAAAAzE2MAIAAAAFMzUzODUEAAAAATAHAAAACDQvMS8yMDI1CAAAAAoxMi8zMS8yMDE2CQAA</t>
  </si>
  <si>
    <t>AAEw4j3uY8Fz3QiT0s6UxHPdCDlDSVEuTllTRTpJQk0uSVFfREVGRVJSRURfVEFYRVNfVE9UQUwuOTkzLjQvMS8yMDI1Li4uVVNELkgBAAAA3rYBAAIAAAAELTY5MgEIAAAABQAAAAExAQAAAAoyMDE3MTY0MjQ0AwAAAAMxNjACAAAABTM1Mzg1BAAAAAEwBwAAAAg0LzEvMjAyNQgAAAAKMTIvMzEvMjAxNwkAAAABMOI97mPBc90Ik9LOlMRz3Qg5Q0lRLk5ZU0U6SUJNLklRX0RFRkVSUkVEX1RBWEVTX1RPVEFMLjk5NC40LzEvMjAyNS4uLlVTRC5IAQAAAN62AQACAAAAAzY5OQEIAAAABQAAAAExAQAAAAoyMDgxNTA1NDAxAwAAAAMxNjACAAAABTM1Mzg1BAAAAAEwBwAAAAg0LzEvMjAyNQgAAAAKMTIvMzEvMjAxOAkAAAABMOI97mPBc90Ik9LOlMRz3Qg7Q0lRLk5ZU0U6SUJNLklRX0RFRkVSUkVEX0ZPUkVJR05fVEFYRVMuOTk3LjQvMS8yMDI1Li4uVVNELkgBAAAA3rYBAAIAAAADLTI1AQgAAAAFAAAAATEBAAAACy0yMDA4NjQ3MTk4AwAAAAMxNjACAAAABDMwNTUEAAAAATAHAAAACDQvMS8yMDI1CAAAAAoxMi8zMS8yMDIxCQAAAAEw4j3uY8Fz3QiT0s6UxHPdCDtDSVEuTllTRTpJQk0uSVFfREVGRVJSRURfRk9SRUlHTl9UQVhFUy45OTguNC8xLzIwMjUuLi5VU0QuSAEAAADetgEAAgAAAAMyNTIBCAAAAAUAAAABMQEAAAALLTE5NTgyODEwOTYDAAAAAzE2MAIAAAAEMzA1NQQAAAABMAcAAAAINC8xLzIw</t>
  </si>
  <si>
    <t>MjUIAAAACjEyLzMxLzIwMjIJAAAAATDiPe5jwXPdCJPSzpTEc90IO0NJUS5OWVNFOklCTS5JUV9ERUZFUlJFRF9GT1JFSUdOX1RBWEVTLjk5OS40LzEvMjAyNS4uLlVTRC5IAQAAAN62AQACAAAAAzQyOAEIAAAABQAAAAExAQAAAAstMTk1ODI4MTA5NQMAAAADMTYwAgAAAAQzMDU1BAAAAAEwBwAAAAg0LzEvMjAyNQgAAAAKMTIvMzEvMjAyMwkAAAABMOI97mPBc90IjivDlMRz3Qg8Q0lRLk5ZU0U6SUJNLklRX0RFRkVSUkVEX0ZPUkVJR05fVEFYRVMuMTAwMC40LzEvMjAyNS4uLlVTRC5IAQAAAN62AQACAAAAAzIwMwEIAAAABQAAAAExAQAAAAstMTk1ODI4MTA5NwMAAAADMTYwAgAAAAQzMDU1BAAAAAEwBwAAAAg0LzEvMjAyNQgAAAAKMTIvMzEvMjAyNAkAAAABMOI97mPBc90Ik9LOlMRz3Qg8Q0lRLk5ZU0U6SUJNLklRX0RFRkVSUkVEX0ZPUkVJR05fVEFYRVMuMjAwMC40LzEvMjAyNS4uLlVTRC5IAQAAAN62AQACAAAAAzIwMwEIAAAABQAAAAExAQAAAAstMTk1ODI4MDYxNQMAAAADMTYwAgAAAAQzMDU1BAAAAAEwBwAAAAg0LzEvMjAyNQgAAAAKMTIvMzEvMjAyNAkAAAABMOI97mPBc90IYUW/lMRz3Qg7Q0lRLk5ZU0U6SUJNLklRX0RFRkVSUkVEX0ZPUkVJR05fVEFYRVMuOTkyLjQvMS8yMDI1Li4uVVNELkgBAAAA3rYBAAIAAAAELTE3OQEIAAAABQAAAAExAQAAAAoxOTQ3MTc5NTgzAwAAAAMxNjAC</t>
  </si>
  <si>
    <t>AAAABDMwNTUEAAAAATAHAAAACDQvMS8yMDI1CAAAAAoxMi8zMS8yMDE2CQAAAAEw4j3uY8Fz3QiT0s6UxHPdCDtDSVEuTllTRTpJQk0uSVFfREVGRVJSRURfRk9SRUlHTl9UQVhFUy45OTMuNC8xLzIwMjUuLi5VU0QuSAEAAADetgEAAgAAAAQtNzk3AQgAAAAFAAAAATEBAAAACjIwMTcxNjQyNDQDAAAAAzE2MAIAAAAEMzA1NQQAAAABMAcAAAAINC8xLzIwMjUIAAAACjEyLzMxLzIwMTcJAAAAATDiPe5jwXPdCJPSzpTEc90IO0NJUS5OWVNFOklCTS5JUV9ERUZFUlJFRF9GT1JFSUdOX1RBWEVTLjk5NC40LzEvMjAyNS4uLlVTRC5IAQAAAN62AQACAAAABC0zODYBCAAAAAUAAAABMQEAAAAKMjA4MTUwNTQwMQMAAAADMTYwAgAAAAQzMDU1BAAAAAEwBwAAAAg0LzEvMjAyNQgAAAAKMTIvMzEvMjAxOAkAAAABMOI97mPBc90Ik9LOlMRz3Qg7Q0lRLk5ZU0U6SUJNLklRX0RFRkVSUkVEX0ZPUkVJR05fVEFYRVMuOTk1LjQvMS8yMDI1Li4uVVNELkgBAAAA3rYBAAIAAAAELTYzMAEIAAAABQAAAAExAQAAAAstMjExMDc2OTM1NQMAAAADMTYwAgAAAAQzMDU1BAAAAAEwBwAAAAg0LzEvMjAyNQgAAAAKMTIvMzEvMjAxOQkAAAABMOI97mPBc90Ik9LOlMRz3Qg7Q0lRLk5ZU0U6SUJNLklRX0RFRkVSUkVEX0ZPUkVJR05fVEFYRVMuOTk2LjQvMS8yMDI1Li4uVVNELkgBAAAA3rYBAAIAAAAFLTM5NjkBCAAAAAUAAAAB</t>
  </si>
  <si>
    <t>MQEAAAALLTIwNTkwNzMyMDIDAAAAAzE2MAIAAAAEMzA1NQQAAAABMAcAAAAINC8xLzIwMjUIAAAACjEyLzMxLzIwMjAJAAAAATDiPe5jwXPdCJPSzpTEc90IPENJUS5OWVNFOklCTS5JUV9ERUZFUlJFRF9ET01FU1RJQ19UQVhFUy45OTkuNC8xLzIwMjUuLi5VU0QuSAEAAADetgEAAgAAAAUtMTUzMwEIAAAABQAAAAExAQAAAAstMTk1ODI4MTA5NQMAAAADMTYwAgAAAAQzMDU0BAAAAAEwBwAAAAg0LzEvMjAyNQgAAAAKMTIvMzEvMjAyMwkAAAABMOI97mPBc90IjivDlMRz3Qg9Q0lRLk5ZU0U6SUJNLklRX0RFRkVSUkVEX0RPTUVTVElDX1RBWEVTLjEwMDAuNC8xLzIwMjUuLi5VU0QuSAEAAADetgEAAgAAAAUtMjUzOQEIAAAABQAAAAExAQAAAAstMTk1ODI4MTA5NwMAAAADMTYwAgAAAAQzMDU0BAAAAAEwBwAAAAg0LzEvMjAyNQgAAAAKMTIvMzEvMjAyNAkAAAABMOI97mPBc90Ik9LOlMRz3Qg9Q0lRLk5ZU0U6SUJNLklRX0RFRkVSUkVEX0RPTUVTVElDX1RBWEVTLjIwMDAuNC8xLzIwMjUuLi5VU0QuSAEAAADetgEAAgAAAAUtMjUzOQEIAAAABQAAAAExAQAAAAstMTk1ODI4MDYxNQMAAAADMTYwAgAAAAQzMDU0BAAAAAEwBwAAAAg0LzEvMjAyNQgAAAAKMTIvMzEvMjAyNAkAAAABMOI97mPBc90IYUW/lMRz3Qg7Q0lRLk5ZU0U6SUJNLklRX0RFRkVSUkVEX0ZPUkVJR05fVEFYRVMuOTkwLjQvMS8yMDI1</t>
  </si>
  <si>
    <t>Li4uVVNELkgBAAAA3rYBAAIAAAAELTI2NgEIAAAABQAAAAExAQAAAAoxODI5OTExOTY4AwAAAAMxNjACAAAABDMwNTUEAAAAATAHAAAACDQvMS8yMDI1CAAAAAoxMi8zMS8yMDE0CQAAAAEw4j3uY8Fz3QiT0s6UxHPdCDtDSVEuTllTRTpJQk0uSVFfREVGRVJSRURfRk9SRUlHTl9UQVhFUy45OTEuNC8xLzIwMjUuLi5VU0QuSAEAAADetgEAAgAAAAE0AQgAAAAFAAAAATEBAAAACjE4NzY0MzI4NzIDAAAAAzE2MAIAAAAEMzA1NQQAAAABMAcAAAAINC8xLzIwMjUIAAAACjEyLzMxLzIwMTUJAAAAATDiPe5jwXPdCJPSzpTEc90IPENJUS5OWVNFOklCTS5JUV9ERUZFUlJFRF9ET01FU1RJQ19UQVhFUy45OTQuNC8xLzIwMjUuLi5VU0QuSAEAAADetgEAAgAAAAQxMDg1AQgAAAAFAAAAATEBAAAACjIwODE1MDU0MDEDAAAAAzE2MAIAAAAEMzA1NAQAAAABMAcAAAAINC8xLzIwMjUIAAAACjEyLzMxLzIwMTgJAAAAATDiPe5jwXPdCJPSzpTEc90IPENJUS5OWVNFOklCTS5JUV9ERUZFUlJFRF9ET01FU1RJQ19UQVhFUy45OTUuNC8xLzIwMjUuLi5VU0QuSAEAAADetgEAAgAAAAQtOTU4AQgAAAAFAAAAATEBAAAACy0yMTEwNzY5MzU1AwAAAAMxNjACAAAABDMwNTQEAAAAATAHAAAACDQvMS8yMDI1CAAAAAoxMi8zMS8yMDE5CQAAAAEw4j3uY8Fz3QiT0s6UxHPdCDxDSVEuTllTRTpJQk0uSVFfREVGRVJSRURfRE9N</t>
  </si>
  <si>
    <t>RVNUSUNfVEFYRVMuOTk2LjQvMS8yMDI1Li4uVVNELkgBAAAA3rYBAAIAAAADNzQ0AQgAAAAFAAAAATEBAAAACy0yMDU5MDczMjAyAwAAAAMxNjACAAAABDMwNTQEAAAAATAHAAAACDQvMS8yMDI1CAAAAAoxMi8zMS8yMDIwCQAAAAEw4j3uY8Fz3QiT0s6UxHPdCDxDSVEuTllTRTpJQk0uSVFfREVGRVJSRURfRE9NRVNUSUNfVEFYRVMuOTk3LjQvMS8yMDI1Li4uVVNELkgBAAAA3rYBAAIAAAAFLTE3MjgBCAAAAAUAAAABMQEAAAALLTIwMDg2NDcxOTgDAAAAAzE2MAIAAAAEMzA1NAQAAAABMAcAAAAINC8xLzIwMjUIAAAACjEyLzMxLzIwMjEJAAAAATDiPe5jwXPdCJPSzpTEc90IPENJUS5OWVNFOklCTS5JUV9ERUZFUlJFRF9ET01FU1RJQ19UQVhFUy45OTguNC8xLzIwMjUuLi5VU0QuSAEAAADetgEAAgAAAAUtMzEzMQEIAAAABQAAAAExAQAAAAstMTk1ODI4MTA5NgMAAAADMTYwAgAAAAQzMDU0BAAAAAEwBwAAAAg0LzEvMjAyNQgAAAAKMTIvMzEvMjAyMgkAAAABMOI97mPBc90Ik9LOlMRz3QgwQ0lRLk5ZU0U6SUJNLklRX0NVUlJfVEFYRVMuMjAwMC40LzEvMjAyNS4uLlVTRC5IAQAAAN62AQACAAAABDIxMTgBCAAAAAUAAAABMQEAAAALLTE5NTgyODA2MTUDAAAAAzE2MAIAAAAFMzUzODMEAAAAATAHAAAACDQvMS8yMDI1CAAAAAoxMi8zMS8yMDI0CQAAAAEw4j3uY8Fz3Qj99r6UxHPdCDxDSVEuTllT</t>
  </si>
  <si>
    <t>RTpJQk0uSVFfREVGRVJSRURfRE9NRVNUSUNfVEFYRVMuOTkwLjQvMS8yMDI1Li4uVVNELkgBAAAA3rYBAAIAAAABMAEIAAAABQAAAAExAQAAAAoxODI5OTExOTY4AwAAAAMxNjACAAAABDMwNTQEAAAAATAHAAAACDQvMS8yMDI1CAAAAAoxMi8zMS8yMDE0CQAAAAEw4j3uY8Fz3QiT0s6UxHPdCDxDSVEuTllTRTpJQk0uSVFfREVGRVJSRURfRE9NRVNUSUNfVEFYRVMuOTkxLjQvMS8yMDI1Li4uVVNELkgBAAAA3rYBAAIAAAADNjY5AQgAAAAFAAAAATEBAAAACjE4NzY0MzI4NzIDAAAAAzE2MAIAAAAEMzA1NAQAAAABMAcAAAAINC8xLzIwMjUIAAAACjEyLzMxLzIwMTUJAAAAATDiPe5jwXPdCJPSzpTEc90IPENJUS5OWVNFOklCTS5JUV9ERUZFUlJFRF9ET01FU1RJQ19UQVhFUy45OTIuNC8xLzIwMjUuLi5VU0QuSAEAAADetgEAAgAAAAQtNzkwAQgAAAAFAAAAATEBAAAACjE5NDcxNzk1ODMDAAAAAzE2MAIAAAAEMzA1NAQAAAABMAcAAAAINC8xLzIwMjUIAAAACjEyLzMxLzIwMTYJAAAAATDiPe5jwXPdCJPSzpTEc90IPENJUS5OWVNFOklCTS5JUV9ERUZFUlJFRF9ET01FU1RJQ19UQVhFUy45OTMuNC8xLzIwMjUuLi5VU0QuSAEAAADetgEAAgAAAAMxMDUBCAAAAAUAAAABMQEAAAAKMjAxNzE2NDI0NAMAAAADMTYwAgAAAAQzMDU0BAAAAAEwBwAAAAg0LzEvMjAyNQgAAAAKMTIvMzEvMjAxNwkAAAABMOI9</t>
  </si>
  <si>
    <t>7mPBc90ITlXOlMRz3QgvQ0lRLk5ZU0U6SUJNLklRX0NVUlJfVEFYRVMuOTk2LjQvMS8yMDI1Li4uVVNELkgBAAAA3rYBAAIAAAAEMTg2NQEIAAAABQAAAAExAQAAAAstMjA1OTA3MzIwMgMAAAADMTYwAgAAAAUzNTM4MwQAAAABMAcAAAAINC8xLzIwMjUIAAAACjEyLzMxLzIwMjAJAAAAATDiPe5jwXPdCE5VzpTEc90IL0NJUS5OWVNFOklCTS5JUV9DVVJSX1RBWEVTLjk5Ny40LzEvMjAyNS4uLlVTRC5IAQAAAN62AQACAAAABDE4NzcBCAAAAAUAAAABMQEAAAALLTIwMDg2NDcxOTgDAAAAAzE2MAIAAAAFMzUzODMEAAAAATAHAAAACDQvMS8yMDI1CAAAAAoxMi8zMS8yMDIxCQAAAAEw4j3uY8Fz3QhOVc6UxHPdCC9DSVEuTllTRTpJQk0uSVFfQ1VSUl9UQVhFUy45OTguNC8xLzIwMjUuLi5VU0QuSAEAAADetgEAAgAAAAQyMjUxAQgAAAAFAAAAATEBAAAACy0xOTU4MjgxMDk2AwAAAAMxNjACAAAABTM1MzgzBAAAAAEwBwAAAAg0LzEvMjAyNQgAAAAKMTIvMzEvMjAyMgkAAAABMOI97mPBc90Ik9LOlMRz3QgvQ0lRLk5ZU0U6SUJNLklRX0NVUlJfVEFYRVMuOTk5LjQvMS8yMDI1Li4uVVNELkgBAAAA3rYBAAIAAAAEMjI4MQEIAAAABQAAAAExAQAAAAstMTk1ODI4MTA5NQMAAAADMTYwAgAAAAUzNTM4MwQAAAABMAcAAAAINC8xLzIwMjUIAAAACjEyLzMxLzIwMjMJAAAAATDiPe5jwXPdCI4rw5TEc90IMENJ</t>
  </si>
  <si>
    <t>US5OWVNFOklCTS5JUV9DVVJSX1RBWEVTLjEwMDAuNC8xLzIwMjUuLi5VU0QuSAEAAADetgEAAgAAAAQyMTE4AQgAAAAFAAAAATEBAAAACy0xOTU4MjgxMDk3AwAAAAMxNjACAAAABTM1MzgzBAAAAAEwBwAAAAg0LzEvMjAyNQgAAAAKMTIvMzEvMjAyNAkAAAABMOI97mPBc90Ik9LOlMRz3QgvQ0lRLk5ZU0U6SUJNLklRX0NVUlJfVEFYRVMuOTkxLjQvMS8yMDI1Li4uVVNELkgBAAAA3rYBAAIAAAAEMTkwOAEIAAAABQAAAAExAQAAAAoxODc2NDMyODcyAwAAAAMxNjACAAAABTM1MzgzBAAAAAEwBwAAAAg0LzEvMjAyNQgAAAAKMTIvMzEvMjAxNQkAAAABMOI97mPBc90ITlXOlMRz3QgvQ0lRLk5ZU0U6SUJNLklRX0NVUlJfVEFYRVMuOTkyLjQvMS8yMDI1Li4uVVNELkgBAAAA3rYBAAIAAAAEMTQxOAEIAAAABQAAAAExAQAAAAoxOTQ3MTc5NTgzAwAAAAMxNjACAAAABTM1MzgzBAAAAAEwBwAAAAg0LzEvMjAyNQgAAAAKMTIvMzEvMjAxNgkAAAABMOI97mPBc90ITlXOlMRz3QgvQ0lRLk5ZU0U6SUJNLklRX0NVUlJfVEFYRVMuOTkzLjQvMS8yMDI1Li4uVVNELkgBAAAA3rYBAAIAAAAENjMzNAEIAAAABQAAAAExAQAAAAoyMDE3MTY0MjQ0AwAAAAMxNjACAAAABTM1MzgzBAAAAAEwBwAAAAg0LzEvMjAyNQgAAAAKMTIvMzEvMjAxNwkAAAABMOI97mPBc90ITlXOlMRz3QgvQ0lRLk5ZU0U6SUJNLklRX0NVUlJf</t>
  </si>
  <si>
    <t>VEFYRVMuOTk0LjQvMS8yMDI1Li4uVVNELkgBAAAA3rYBAAIAAAAEMTkyMAEIAAAABQAAAAExAQAAAAoyMDgxNTA1NDAxAwAAAAMxNjACAAAABTM1MzgzBAAAAAEwBwAAAAg0LzEvMjAyNQgAAAAKMTIvMzEvMjAxOAkAAAABMOI97mPBc90ITlXOlMRz3QgvQ0lRLk5ZU0U6SUJNLklRX0NVUlJfVEFYRVMuOTk1LjQvMS8yMDI1Li4uVVNELkgBAAAA3rYBAAIAAAAEMTY0OAEIAAAABQAAAAExAQAAAAstMjExMDc2OTM1NQMAAAADMTYwAgAAAAUzNTM4MwQAAAABMAcAAAAINC8xLzIwMjUIAAAACjEyLzMxLzIwMTkJAAAAATDiPe5jwXPdCE5VzpTEc90IN0NJUS5OWVNFOklCTS5JUV9DVVJSX0ZPUkVJR05fVEFYRVMuOTk4LjQvMS8yMDI1Li4uVVNELkgBAAAA3rYBAAIAAAAEMTY3NgEIAAAABQAAAAExAQAAAAstMTk1ODI4MTA5NgMAAAADMTYwAgAAAAQzMDMwBAAAAAEwBwAAAAg0LzEvMjAyNQgAAAAKMTIvMzEvMjAyMgkAAAABMOI97mPBc90ITlXOlMRz3Qg3Q0lRLk5ZU0U6SUJNLklRX0NVUlJfRk9SRUlHTl9UQVhFUy45OTkuNC8xLzIwMjUuLi5VU0QuSAEAAADetgEAAgAAAAQxNTk0AQgAAAAFAAAAATEBAAAACy0xOTU4MjgxMDk1AwAAAAMxNjACAAAABDMwMzAEAAAAATAHAAAACDQvMS8yMDI1CAAAAAoxMi8zMS8yMDIzCQAAAAEw4j3uY8Fz3QiOK8OUxHPdCDhDSVEuTllTRTpJQk0uSVFfQ1VSUl9GT1JF</t>
  </si>
  <si>
    <t>SUdOX1RBWEVTLjEwMDAuNC8xLzIwMjUuLi5VU0QuSAEAAADetgEAAgAAAAQyMzAxAQgAAAAFAAAAATEBAAAACy0xOTU4MjgxMDk3AwAAAAMxNjACAAAABDMwMzAEAAAAATAHAAAACDQvMS8yMDI1CAAAAAoxMi8zMS8yMDI0CQAAAAEw4j3uY8Fz3QhOVc6UxHPdCDhDSVEuTllTRTpJQk0uSVFfQ1VSUl9GT1JFSUdOX1RBWEVTLjIwMDAuNC8xLzIwMjUuLi5VU0QuSAEAAADetgEAAgAAAAQyMzAxAQgAAAAFAAAAATEBAAAACy0xOTU4MjgwNjE1AwAAAAMxNjACAAAABDMwMzAEAAAAATAHAAAACDQvMS8yMDI1CAAAAAoxMi8zMS8yMDI0CQAAAAEw4j3uY8Fz3Qj99r6UxHPdCC9DSVEuTllTRTpJQk0uSVFfQ1VSUl9UQVhFUy45OTAuNC8xLzIwMjUuLi5VU0QuSAEAAADetgEAAgAAAAQ0NTAwAQgAAAAFAAAAATEBAAAACjE4Mjk5MTE5NjgDAAAAAzE2MAIAAAAFMzUzODMEAAAAATAHAAAACDQvMS8yMDI1CAAAAAoxMi8zMS8yMDE0CQAAAAEw4j3uY8Fz3QhOVc6UxHPdCDdDSVEuTllTRTpJQk0uSVFfQ1VSUl9GT1JFSUdOX1RBWEVTLjk5My40LzEvMjAyNS4uLlVTRC5IAQAAAN62AQACAAAABDM4OTEBCAAAAAUAAAABMQEAAAAKMjAxNzE2NDI0NAMAAAADMTYwAgAAAAQzMDMwBAAAAAEwBwAAAAg0LzEvMjAyNQgAAAAKMTIvMzEvMjAxNwkAAAABMOI97mPBc90ITlXOlMRz3Qg3Q0lRLk5ZU0U6SUJNLklRX0NVUlJf</t>
  </si>
  <si>
    <t>Rk9SRUlHTl9UQVhFUy45OTQuNC8xLzIwMjUuLi5VU0QuSAEAAADetgEAAgAAAAQyMTM1AQgAAAAFAAAAATEBAAAACjIwODE1MDU0MDEDAAAAAzE2MAIAAAAEMzAzMAQAAAABMAcAAAAINC8xLzIwMjUIAAAACjEyLzMxLzIwMTgJAAAAATDiPe5jwXPdCE5VzpTEc90IN0NJUS5OWVNFOklCTS5JUV9DVVJSX0ZPUkVJR05fVEFYRVMuOTk1LjQvMS8yMDI1Li4uVVNELkgBAAAA3rYBAAIAAAAEMTM3NgEIAAAABQAAAAExAQAAAAstMjExMDc2OTM1NQMAAAADMTYwAgAAAAQzMDMwBAAAAAEwBwAAAAg0LzEvMjAyNQgAAAAKMTIvMzEvMjAxOQkAAAABMOI97mPBc90ITlXOlMRz3Qg3Q0lRLk5ZU0U6SUJNLklRX0NVUlJfRk9SRUlHTl9UQVhFUy45OTYuNC8xLzIwMjUuLi5VU0QuSAEAAADetgEAAgAAAAQxMjA4AQgAAAAFAAAAATEBAAAACy0yMDU5MDczMjAyAwAAAAMxNjACAAAABDMwMzAEAAAAATAHAAAACDQvMS8yMDI1CAAAAAoxMi8zMS8yMDIwCQAAAAEw4j3uY8Fz3QhOVc6UxHPdCDdDSVEuTllTRTpJQk0uSVFfQ1VSUl9GT1JFSUdOX1RBWEVTLjk5Ny40LzEvMjAyNS4uLlVTRC5IAQAAAN62AQACAAAABDEzNDIBCAAAAAUAAAABMQEAAAALLTIwMDg2NDcxOTgDAAAAAzE2MAIAAAAEMzAzMAQAAAABMAcAAAAINC8xLzIwMjUIAAAACjEyLzMxLzIwMjEJAAAAATDiPe5jwXPdCE5VzpTEc90IOUNJUS5OWVNFOklC</t>
  </si>
  <si>
    <t>TS5JUV9DVVJSX0RPTUVTVElDX1RBWEVTLjEwMDAuNC8xLzIwMjUuLi5VU0QuSAEAAADetgEAAgAAAAQtMTgzAQgAAAAFAAAAATEBAAAACy0xOTU4MjgxMDk3AwAAAAMxNjACAAAABDMwMjcEAAAAATAHAAAACDQvMS8yMDI1CAAAAAoxMi8zMS8yMDI0CQAAAAEw4j3uY8Fz3QhOVc6UxHPdCDlDSVEuTllTRTpJQk0uSVFfQ1VSUl9ET01FU1RJQ19UQVhFUy4yMDAwLjQvMS8yMDI1Li4uVVNELkgBAAAA3rYBAAIAAAAELTE4MwEIAAAABQAAAAExAQAAAAstMTk1ODI4MDYxNQMAAAADMTYwAgAAAAQzMDI3BAAAAAEwBwAAAAg0LzEvMjAyNQgAAAAKMTIvMzEvMjAyNAkAAAABMOI97mPBc90I/fa+lMRz3Qg3Q0lRLk5ZU0U6SUJNLklRX0NVUlJfRk9SRUlHTl9UQVhFUy45OTAuNC8xLzIwMjUuLi5VU0QuSAEAAADetgEAAgAAAAQyODI1AQgAAAAFAAAAATEBAAAACjE4Mjk5MTE5NjgDAAAAAzE2MAIAAAAEMzAzMAQAAAABMAcAAAAINC8xLzIwMjUIAAAACjEyLzMxLzIwMTQJAAAAATDiPe5jwXPdCE5VzpTEc90IN0NJUS5OWVNFOklCTS5JUV9DVVJSX0ZPUkVJR05fVEFYRVMuOTkxLjQvMS8yMDI1Li4uVVNELkgBAAAA3rYBAAIAAAAEMjEwMQEIAAAABQAAAAExAQAAAAoxODc2NDMyODcyAwAAAAMxNjACAAAABDMwMzAEAAAAATAHAAAACDQvMS8yMDI1CAAAAAoxMi8zMS8yMDE1CQAAAAEw4j3uY8Fz3QhOVc6UxHPd</t>
  </si>
  <si>
    <t>CDdDSVEuTllTRTpJQk0uSVFfQ1VSUl9GT1JFSUdOX1RBWEVTLjk5Mi40LzEvMjAyNS4uLlVTRC5IAQAAAN62AQACAAAAAzk4OAEIAAAABQAAAAExAQAAAAoxOTQ3MTc5NTgzAwAAAAMxNjACAAAABDMwMzAEAAAAATAHAAAACDQvMS8yMDI1CAAAAAoxMi8zMS8yMDE2CQAAAAEw4j3uY8Fz3QhOVc6UxHPdCDhDSVEuTllTRTpJQk0uSVFfQ1VSUl9ET01FU1RJQ19UQVhFUy45OTUuNC8xLzIwMjUuLi5VU0QuSAEAAADetgEAAgAAAAMyNzIBCAAAAAUAAAABMQEAAAALLTIxMTA3NjkzNTUDAAAAAzE2MAIAAAAEMzAyNwQAAAABMAcAAAAINC8xLzIwMjUIAAAACjEyLzMxLzIwMTkJAAAAATDiPe5jwXPdCE5VzpTEc90IOENJUS5OWVNFOklCTS5JUV9DVVJSX0RPTUVTVElDX1RBWEVTLjk5Ni40LzEvMjAyNS4uLlVTRC5IAQAAAN62AQACAAAAAzY1NwEIAAAABQAAAAExAQAAAAstMjA1OTA3MzIwMgMAAAADMTYwAgAAAAQzMDI3BAAAAAEwBwAAAAg0LzEvMjAyNQgAAAAKMTIvMzEvMjAyMAkAAAABMOI97mPBc90ITlXOlMRz3Qg4Q0lRLk5ZU0U6SUJNLklRX0NVUlJfRE9NRVNUSUNfVEFYRVMuOTk3LjQvMS8yMDI1Li4uVVNELkgBAAAA3rYBAAIAAAADNTM1AQgAAAAFAAAAATEBAAAACy0yMDA4NjQ3MTk4AwAAAAMxNjACAAAABDMwMjcEAAAAATAHAAAACDQvMS8yMDI1CAAAAAoxMi8zMS8yMDIxCQAAAAEw4j3uY8Fz</t>
  </si>
  <si>
    <t>3QhOVc6UxHPdCDhDSVEuTllTRTpJQk0uSVFfQ1VSUl9ET01FU1RJQ19UQVhFUy45OTguNC8xLzIwMjUuLi5VU0QuSAEAAADetgEAAgAAAAM1NzUBCAAAAAUAAAABMQEAAAALLTE5NTgyODEwOTYDAAAAAzE2MAIAAAAEMzAyNwQAAAABMAcAAAAINC8xLzIwMjUIAAAACjEyLzMxLzIwMjIJAAAAATDiPe5jwXPdCE5VzpTEc90IOENJUS5OWVNFOklCTS5JUV9DVVJSX0RPTUVTVElDX1RBWEVTLjk5OS40LzEvMjAyNS4uLlVTRC5IAQAAAN62AQACAAAAAzY4NwEIAAAABQAAAAExAQAAAAstMTk1ODI4MTA5NQMAAAADMTYwAgAAAAQzMDI3BAAAAAEwBwAAAAg0LzEvMjAyNQgAAAAKMTIvMzEvMjAyMwkAAAABMOI97mPBc90IjivDlMRz3Qg4Q0lRLk5ZU0U6SUJNLklRX0NVUlJfRE9NRVNUSUNfVEFYRVMuOTkwLjQvMS8yMDI1Li4uVVNELkgBAAAA3rYBAAIAAAAEMTY3NQEIAAAABQAAAAExAQAAAAoxODI5OTExOTY4AwAAAAMxNjACAAAABDMwMjcEAAAAATAHAAAACDQvMS8yMDI1CAAAAAoxMi8zMS8yMDE0CQAAAAEw4j3uY8Fz3QhOVc6UxHPdCDhDSVEuTllTRTpJQk0uSVFfQ1VSUl9ET01FU1RJQ19UQVhFUy45OTEuNC8xLzIwMjUuLi5VU0QuSAEAAADetgEAAgAAAAQtMTkzAQgAAAAFAAAAATEBAAAACjE4NzY0MzI4NzIDAAAAAzE2MAIAAAAEMzAyNwQAAAABMAcAAAAINC8xLzIwMjUIAAAACjEyLzMxLzIwMTUJ</t>
  </si>
  <si>
    <t>AAAAATDiPe5jwXPdCE5VzpTEc90IOENJUS5OWVNFOklCTS5JUV9DVVJSX0RPTUVTVElDX1RBWEVTLjk5Mi40LzEvMjAyNS4uLlVTRC5IAQAAAN62AQACAAAAAzQzMAEIAAAABQAAAAExAQAAAAoxOTQ3MTc5NTgzAwAAAAMxNjACAAAABDMwMjcEAAAAATAHAAAACDQvMS8yMDI1CAAAAAoxMi8zMS8yMDE2CQAAAAEw4j3uY8Fz3QhOVc6UxHPdCDhDSVEuTllTRTpJQk0uSVFfQ1VSUl9ET01FU1RJQ19UQVhFUy45OTMuNC8xLzIwMjUuLi5VU0QuSAEAAADetgEAAgAAAAQyNDQzAQgAAAAFAAAAATEBAAAACjIwMTcxNjQyNDQDAAAAAzE2MAIAAAAEMzAyNwQAAAABMAcAAAAINC8xLzIwMjUIAAAACjEyLzMxLzIwMTcJAAAAATDiPe5jwXPdCE5VzpTEc90IOENJUS5OWVNFOklCTS5JUV9DVVJSX0RPTUVTVElDX1RBWEVTLjk5NC40LzEvMjAyNS4uLlVTRC5IAQAAAN62AQACAAAABC0yMTUBCAAAAAUAAAABMQEAAAAKMjA4MTUwNTQwMQMAAAADMTYwAgAAAAQzMDI3BAAAAAEwBwAAAAg0LzEvMjAyNQgAAAAKMTIvMzEvMjAxOAkAAAABMOI97mPBc90ITlXOlMRz3Qg8Q0lRLk5ZU0U6SUJNLklRX0VYQ0lTRV9UQVhFU19JTkNMX1NBTEVTLjk5Ny40LzEvMjAyNS4uLlVTRC5IAQAAAN62AQADAAAAAADiPe5jwXPdCE5VzpTEc90IPENJUS5OWVNFOklCTS5JUV9FWENJU0VfVEFYRVNfSU5DTF9TQUxFUy45OTguNC8xLzIw</t>
  </si>
  <si>
    <t>MjUuLi5VU0QuSAEAAADetgEAAwAAAAAA4j3uY8Fz3QhOVc6UxHPdCDxDSVEuTllTRTpJQk0uSVFfRVhDSVNFX1RBWEVTX0lOQ0xfU0FMRVMuOTk5LjQvMS8yMDI1Li4uVVNELkgBAAAA3rYBAAMAAAAAAOI97mPBc90IjivDlMRz3Qg9Q0lRLk5ZU0U6SUJNLklRX0VYQ0lTRV9UQVhFU19JTkNMX1NBTEVTLjEwMDAuNC8xLzIwMjUuLi5VU0QuSAEAAADetgEAAwAAAAAA4j3uY8Fz3QhOVc6UxHPdCD1DSVEuTllTRTpJQk0uSVFfRVhDSVNFX1RBWEVTX0lOQ0xfU0FMRVMuMjAwMC40LzEvMjAyNS4uLlVTRC5IAQAAAN62AQADAAAAAADiPe5jwXPdCP32vpTEc90IPENJUS5OWVNFOklCTS5JUV9FWENJU0VfVEFYRVNfSU5DTF9TQUxFUy45OTIuNC8xLzIwMjUuLi5VU0QuSAEAAADetgEAAwAAAAAA4j3uY8Fz3QhOVc6UxHPdCDxDSVEuTllTRTpJQk0uSVFfRVhDSVNFX1RBWEVTX0lOQ0xfU0FMRVMuOTkzLjQvMS8yMDI1Li4uVVNELkgBAAAA3rYBAAMAAAAAAOI97mPBc90ITlXOlMRz3Qg8Q0lRLk5ZU0U6SUJNLklRX0VYQ0lTRV9UQVhFU19JTkNMX1NBTEVTLjk5NC40LzEvMjAyNS4uLlVTRC5IAQAAAN62AQADAAAAAADiPe5jwXPdCE5VzpTEc90IPENJUS5OWVNFOklCTS5JUV9FWENJU0VfVEFYRVNfSU5DTF9TQUxFUy45OTUuNC8xLzIwMjUuLi5VU0QuSAEAAADetgEAAwAAAAAA4j3uY8Fz3QhOVc6UxHPdCDxD</t>
  </si>
  <si>
    <t>SVEuTllTRTpJQk0uSVFfRVhDSVNFX1RBWEVTX0lOQ0xfU0FMRVMuOTk2LjQvMS8yMDI1Li4uVVNELkgBAAAA3rYBAAMAAAAAAOI97mPBc90ITlXOlMRz3Qg8Q0lRLk5ZU0U6SUJNLklRX0VYQ0lTRV9UQVhFU19FWENMX1NBTEVTLjk5OS40LzEvMjAyNS4uLlVTRC5IAQAAAN62AQADAAAAAADiPe5jwXPdCI4rw5TEc90IPUNJUS5OWVNFOklCTS5JUV9FWENJU0VfVEFYRVNfRVhDTF9TQUxFUy4xMDAwLjQvMS8yMDI1Li4uVVNELkgBAAAA3rYBAAMAAAAAAOI97mPBc90ITlXOlMRz3Qg9Q0lRLk5ZU0U6SUJNLklRX0VYQ0lTRV9UQVhFU19FWENMX1NBTEVTLjIwMDAuNC8xLzIwMjUuLi5VU0QuSAEAAADetgEAAwAAAAAA4j3uY8Fz3Qj99r6UxHPdCDxDSVEuTllTRTpJQk0uSVFfRVhDSVNFX1RBWEVTX0lOQ0xfU0FMRVMuOTkwLjQvMS8yMDI1Li4uVVNELkgBAAAA3rYBAAMAAAAAAOI97mPBc90ITlXOlMRz3Qg8Q0lRLk5ZU0U6SUJNLklRX0VYQ0lTRV9UQVhFU19JTkNMX1NBTEVTLjk5MS40LzEvMjAyNS4uLlVTRC5IAQAAAN62AQADAAAAAADiPe5jwXPdCE5VzpTEc90IPENJUS5OWVNFOklCTS5JUV9FWENJU0VfVEFYRVNfRVhDTF9TQUxFUy45OTQuNC8xLzIwMjUuLi5VU0QuSAEAAADetgEAAwAAAAAA4j3uY8Fz3QhOVc6UxHPdCDxDSVEuTllTRTpJQk0uSVFfRVhDSVNFX1RBWEVTX0VYQ0xfU0FMRVMuOTk1</t>
  </si>
  <si>
    <t>LjQvMS8yMDI1Li4uVVNELkgBAAAA3rYBAAMAAAAAAOI97mPBc90ITlXOlMRz3Qg8Q0lRLk5ZU0U6SUJNLklRX0VYQ0lTRV9UQVhFU19FWENMX1NBTEVTLjk5Ni40LzEvMjAyNS4uLlVTRC5IAQAAAN62AQADAAAAAADiPe5jwXPdCE5VzpTEc90IPENJUS5OWVNFOklCTS5JUV9FWENJU0VfVEFYRVNfRVhDTF9TQUxFUy45OTcuNC8xLzIwMjUuLi5VU0QuSAEAAADetgEAAwAAAAAA4j3uY8Fz3QhOVc6UxHPdCDxDSVEuTllTRTpJQk0uSVFfRVhDSVNFX1RBWEVTX0VYQ0xfU0FMRVMuOTk4LjQvMS8yMDI1Li4uVVNELkgBAAAA3rYBAAMAAAAAAOI97mPBc90ITlXOlMRz3Qg3Q0lRLk5ZU0U6SUJNLklRX0lOVkVTVE1FTlRfSU5DT01FLjIwMDAuNC8xLzIwMjUuLi5VU0QuSAEAAADetgEAAwAAAAAA4j3uY8Fz3Qj99r6UxHPdCDxDSVEuTllTRTpJQk0uSVFfRVhDSVNFX1RBWEVTX0VYQ0xfU0FMRVMuOTkwLjQvMS8yMDI1Li4uVVNELkgBAAAA3rYBAAMAAAAAAOI97mPBc90ITlXOlMRz3Qg8Q0lRLk5ZU0U6SUJNLklRX0VYQ0lTRV9UQVhFU19FWENMX1NBTEVTLjk5MS40LzEvMjAyNS4uLlVTRC5IAQAAAN62AQADAAAAAADiPe5jwXPdCE5VzpTEc90IPENJUS5OWVNFOklCTS5JUV9FWENJU0VfVEFYRVNfRVhDTF9TQUxFUy45OTIuNC8xLzIwMjUuLi5VU0QuSAEAAADetgEAAwAAAAAA4j3uY8Fz3QhOVc6UxHPdCDxD</t>
  </si>
  <si>
    <t>SVEuTllTRTpJQk0uSVFfRVhDSVNFX1RBWEVTX0VYQ0xfU0FMRVMuOTkzLjQvMS8yMDI1Li4uVVNELkgBAAAA3rYBAAMAAAAAAOI97mPBc90ITlXOlMRz3Qg2Q0lRLk5ZU0U6SUJNLklRX0lOVkVTVE1FTlRfSU5DT01FLjk5Ni40LzEvMjAyNS4uLlVTRC5IAQAAAN62AQADAAAAAADiPe5jwXPdCE5VzpTEc90INkNJUS5OWVNFOklCTS5JUV9JTlZFU1RNRU5UX0lOQ09NRS45OTcuNC8xLzIwMjUuLi5VU0QuSAEAAADetgEAAwAAAAAA4j3uY8Fz3QhOVc6UxHPdCDZDSVEuTllTRTpJQk0uSVFfSU5WRVNUTUVOVF9JTkNPTUUuOTk4LjQvMS8yMDI1Li4uVVNELkgBAAAA3rYBAAMAAAAAAOI97mPBc90ITlXOlMRz3Qg2Q0lRLk5ZU0U6SUJNLklRX0lOVkVTVE1FTlRfSU5DT01FLjk5OS40LzEvMjAyNS4uLlVTRC5IAQAAAN62AQADAAAAAADiPe5jwXPdCI4rw5TEc90IN0NJUS5OWVNFOklCTS5JUV9JTlZFU1RNRU5UX0lOQ09NRS4xMDAwLjQvMS8yMDI1Li4uVVNELkgBAAAA3rYBAAMAAAAAAOI97mPBc90ITlXOlMRz3Qg2Q0lRLk5ZU0U6SUJNLklRX0lOVkVTVE1FTlRfSU5DT01FLjk5MS40LzEvMjAyNS4uLlVTRC5IAQAAAN62AQADAAAAAADiPe5jwXPdCF39zZTEc90INkNJUS5OWVNFOklCTS5JUV9JTlZFU1RNRU5UX0lOQ09NRS45OTIuNC8xLzIwMjUuLi5VU0QuSAEAAADetgEAAwAAAAAA4j3uY8Fz3Qhd/c2U</t>
  </si>
  <si>
    <t>xHPdCDZDSVEuTllTRTpJQk0uSVFfSU5WRVNUTUVOVF9JTkNPTUUuOTkzLjQvMS8yMDI1Li4uVVNELkgBAAAA3rYBAAMAAAAAAOI97mPBc90IXf3NlMRz3Qg2Q0lRLk5ZU0U6SUJNLklRX0lOVkVTVE1FTlRfSU5DT01FLjk5NC40LzEvMjAyNS4uLlVTRC5IAQAAAN62AQADAAAAAADiPe5jwXPdCF39zZTEc90INkNJUS5OWVNFOklCTS5JUV9JTlZFU1RNRU5UX0lOQ09NRS45OTUuNC8xLzIwMjUuLi5VU0QuSAEAAADetgEAAwAAAAAA4j3uY8Fz3QhOVc6UxHPdCDRDSVEuTllTRTpJQk0uSVFfSU5URVJFU1RfSU5DT01FLjk5OC40LzEvMjAyNS4uLlVTRC5IAQAAAN62AQACAAAAAzE2MgEIAAAABQAAAAExAQAAAAstMTk1ODI4MTA5NgMAAAADMTYwAgAAAAMyMTAEAAAAATAHAAAACDQvMS8yMDI1CAAAAAoxMi8zMS8yMDIyCQAAAAEw4j3uY8Fz3QhOVc6UxHPdCDRDSVEuTllTRTpJQk0uSVFfSU5URVJFU1RfSU5DT01FLjk5OS40LzEvMjAyNS4uLlVTRC5IAQAAAN62AQACAAAAAzY3MAEIAAAABQAAAAExAQAAAAstMTk1ODI4MTA5NQMAAAADMTYwAgAAAAMyMTAEAAAAATAHAAAACDQvMS8yMDI1CAAAAAoxMi8zMS8yMDIzCQAAAAEw4j3uY8Fz3QiOK8OUxHPdCDVDSVEuTllTRTpJQk0uSVFfSU5URVJFU1RfSU5DT01FLjEwMDAuNC8xLzIwMjUuLi5VU0QuSAEAAADetgEAAgAAAAM3NDcBCAAAAAUAAAABMQEAAAAL</t>
  </si>
  <si>
    <t>LTE5NTgyODEwOTcDAAAAAzE2MAIAAAADMjEwBAAAAAEwBwAAAAg0LzEvMjAyNQgAAAAKMTIvMzEvMjAyNAkAAAABMOI97mPBc90IXf3NlMRz3Qg1Q0lRLk5ZU0U6SUJNLklRX0lOVEVSRVNUX0lOQ09NRS4yMDAwLjQvMS8yMDI1Li4uVVNELkgBAAAA3rYBAAIAAAADNzQ3AQgAAAAFAAAAATEBAAAACy0xOTU4MjgwNjE1AwAAAAMxNjACAAAAAzIxMAQAAAABMAcAAAAINC8xLzIwMjUIAAAACjEyLzMxLzIwMjQJAAAAATDiPe5jwXPdCP32vpTEc90INkNJUS5OWVNFOklCTS5JUV9JTlZFU1RNRU5UX0lOQ09NRS45OTAuNC8xLzIwMjUuLi5VU0QuSAEAAADetgEAAwAAAAAA4j3uY8Fz3Qhd/c2UxHPdCDRDSVEuTllTRTpJQk0uSVFfSU5URVJFU1RfSU5DT01FLjk5My40LzEvMjAyNS4uLlVTRC5IAQAAAN62AQADAAAAAADiPe5jwXPdCF39zZTEc90INENJUS5OWVNFOklCTS5JUV9JTlRFUkVTVF9JTkNPTUUuOTk0LjQvMS8yMDI1Li4uVVNELkgBAAAA3rYBAAMAAAAAAOI97mPBc90IXf3NlMRz3Qg0Q0lRLk5ZU0U6SUJNLklRX0lOVEVSRVNUX0lOQ09NRS45OTUuNC8xLzIwMjUuLi5VU0QuSAEAAADetgEAAwAAAAAA4j3uY8Fz3Qhd/c2UxHPdCDRDSVEuTllTRTpJQk0uSVFfSU5URVJFU1RfSU5DT01FLjk5Ni40LzEvMjAyNS4uLlVTRC5IAQAAAN62AQADAAAAAADiPe5jwXPdCF39zZTEc90INENJUS5OWVNFOklC</t>
  </si>
  <si>
    <t>TS5JUV9JTlRFUkVTVF9JTkNPTUUuOTk3LjQvMS8yMDI1Li4uVVNELkgBAAAA3rYBAAIAAAACNTIBCAAAAAUAAAABMQEAAAALLTIwMDg2NDcxOTgDAAAAAzE2MAIAAAADMjEwBAAAAAEwBwAAAAg0LzEvMjAyNQgAAAAKMTIvMzEvMjAyMQkAAAABMOI97mPBc90IXf3NlMRz3QgtQ0lRLk5ZU0U6SUJNLklRX05JX1NGQVMuMTAwMC40LzEvMjAyNS4uLlVTRC5IAQAAAN62AQADAAAAAADiPe5jwXPdCF39zZTEc90ILUNJUS5OWVNFOklCTS5JUV9OSV9TRkFTLjIwMDAuNC8xLzIwMjUuLi5VU0QuSAEAAADetgEAAwAAAAAA4j3uY8Fz3Qj99r6UxHPdCDRDSVEuTllTRTpJQk0uSVFfSU5URVJFU1RfSU5DT01FLjk5MC40LzEvMjAyNS4uLlVTRC5IAQAAAN62AQACAAAAAjkwAQgAAAAFAAAAATEBAAAACjE4Mjk5MTE5NjgDAAAAAzE2MAIAAAADMjEwBAAAAAEwBwAAAAg0LzEvMjAyNQgAAAAKMTIvMzEvMjAxNAkAAAABMOI97mPBc90IXf3NlMRz3Qg0Q0lRLk5ZU0U6SUJNLklRX0lOVEVSRVNUX0lOQ09NRS45OTEuNC8xLzIwMjUuLi5VU0QuSAEAAADetgEAAgAAAAI3MgEIAAAABQAAAAExAQAAAAoxODc2NDMyODcyAwAAAAMxNjACAAAAAzIxMAQAAAABMAcAAAAINC8xLzIwMjUIAAAACjEyLzMxLzIwMTUJAAAAATDiPe5jwXPdCF39zZTEc90INENJUS5OWVNFOklCTS5JUV9JTlRFUkVTVF9JTkNPTUUuOTkyLjQvMS8y</t>
  </si>
  <si>
    <t>MDI1Li4uVVNELkgBAAAA3rYBAAIAAAADMTA4AQgAAAAFAAAAATEBAAAACjE5NDcxNzk1ODMDAAAAAzE2MAIAAAADMjEwBAAAAAEwBwAAAAg0LzEvMjAyNQgAAAAKMTIvMzEvMjAxNgkAAAABMOI97mPBc90IXf3NlMRz3QgsQ0lRLk5ZU0U6SUJNLklRX05JX1NGQVMuOTk1LjQvMS8yMDI1Li4uVVNELkgBAAAA3rYBAAMAAAAAAOI97mPBc90IXf3NlMRz3QgsQ0lRLk5ZU0U6SUJNLklRX05JX1NGQVMuOTk2LjQvMS8yMDI1Li4uVVNELkgBAAAA3rYBAAMAAAAAAOI97mPBc90IXf3NlMRz3QgsQ0lRLk5ZU0U6SUJNLklRX05JX1NGQVMuOTk3LjQvMS8yMDI1Li4uVVNELkgBAAAA3rYBAAMAAAAAAOI97mPBc90IXf3NlMRz3QgsQ0lRLk5ZU0U6SUJNLklRX05JX1NGQVMuOTk4LjQvMS8yMDI1Li4uVVNELkgBAAAA3rYBAAMAAAAAAOI97mPBc90IXf3NlMRz3QgsQ0lRLk5ZU0U6SUJNLklRX05JX1NGQVMuOTk5LjQvMS8yMDI1Li4uVVNELkgBAAAA3rYBAAMAAAAAAOI97mPBc90IWqzDlMRz3QgsQ0lRLk5ZU0U6SUJNLklRX05JX1NGQVMuOTkwLjQvMS8yMDI1Li4uVVNELkgBAAAA3rYBAAMAAAAAAOI97mPBc90IXf3NlMRz3QgsQ0lRLk5ZU0U6SUJNLklRX05JX1NGQVMuOTkxLjQvMS8yMDI1Li4uVVNELkgBAAAA3rYBAAMAAAAAAOI97mPBc90IXf3NlMRz3QgsQ0lRLk5ZU0U6SUJNLklRX05JX1NGQVMuOTkyLjQv</t>
  </si>
  <si>
    <t>MS8yMDI1Li4uVVNELkgBAAAA3rYBAAMAAAAAAOI97mPBc90IXf3NlMRz3QgsQ0lRLk5ZU0U6SUJNLklRX05JX1NGQVMuOTkzLjQvMS8yMDI1Li4uVVNELkgBAAAA3rYBAAMAAAAAAOI97mPBc90IXf3NlMRz3QgsQ0lRLk5ZU0U6SUJNLklRX05JX1NGQVMuOTk0LjQvMS8yMDI1Li4uVVNELkgBAAAA3rYBAAMAAAAAAOI97mPBc90IXf3NlMRz3Qg+Q0lRLk5ZU0U6SUJNLklRX0VBUk5JTkdfUEFSRU5UX0VYQ0xfRVhUUkEuOTk3LjQvMS8yMDI1Li4uVVNELkgBAAAA3rYBAAIAAAAENDcxMwEIAAAABQAAAAExAQAAAAstMjAwODY0NzE5OAMAAAADMTYwAgAAAAU0MTU5NgQAAAABMAcAAAAINC8xLzIwMjUIAAAACjEyLzMxLzIwMjEJAAAAATDiPe5jwXPdCF39zZTEc90IPkNJUS5OWVNFOklCTS5JUV9FQVJOSU5HX1BBUkVOVF9FWENMX0VYVFJBLjk5OC40LzEvMjAyNS4uLlVTRC5IAQAAAN62AQACAAAABDE3ODIBCAAAAAUAAAABMQEAAAALLTE5NTgyODEwOTYDAAAAAzE2MAIAAAAFNDE1OTYEAAAAATAHAAAACDQvMS8yMDI1CAAAAAoxMi8zMS8yMDIyCQAAAAEw4j3uY8Fz3Qhd/c2UxHPdCD5DSVEuTllTRTpJQk0uSVFfRUFSTklOR19QQVJFTlRfRVhDTF9FWFRSQS45OTkuNC8xLzIwMjUuLi5VU0QuSAEAAADetgEAAgAAAAQ3NTE0AQgAAAAFAAAAATEBAAAACy0xOTU4MjgxMDk1AwAAAAMxNjACAAAABTQxNTk2</t>
  </si>
  <si>
    <t>BAAAAAEwBwAAAAg0LzEvMjAyNQgAAAAKMTIvMzEvMjAyMwkAAAABMOI97mPBc90IWqzDlMRz3Qg/Q0lRLk5ZU0U6SUJNLklRX0VBUk5JTkdfUEFSRU5UX0VYQ0xfRVhUUkEuMTAwMC40LzEvMjAyNS4uLlVTRC5IAQAAAN62AQACAAAABDYwMTUBCAAAAAUAAAABMQEAAAALLTE5NTgyODEwOTcDAAAAAzE2MAIAAAAFNDE1OTYEAAAAATAHAAAACDQvMS8yMDI1CAAAAAoxMi8zMS8yMDI0CQAAAAEw4j3uY8Fz3Qhd/c2UxHPdCD9DSVEuTllTRTpJQk0uSVFfRUFSTklOR19QQVJFTlRfRVhDTF9FWFRSQS4yMDAwLjQvMS8yMDI1Li4uVVNELkgBAAAA3rYBAAIAAAAENjAxNQEIAAAABQAAAAExAQAAAAstMTk1ODI4MDYxNQMAAAADMTYwAgAAAAU0MTU5NgQAAAABMAcAAAAINC8xLzIwMjUIAAAACjEyLzMxLzIwMjQJAAAAATDiPe5jwXPdCP32vpTEc90IPkNJUS5OWVNFOklCTS5JUV9FQVJOSU5HX1BBUkVOVF9FWENMX0VYVFJBLjk5Mi40LzEvMjAyNS4uLlVTRC5IAQAAAN62AQACAAAABTExODgxAQgAAAAFAAAAATEBAAAACjE5NDcxNzk1ODMDAAAAAzE2MAIAAAAFNDE1OTYEAAAAATAHAAAACDQvMS8yMDI1CAAAAAoxMi8zMS8yMDE2CQAAAAEw4j3uY8Fz3Qhd/c2UxHPdCD5DSVEuTllTRTpJQk0uSVFfRUFSTklOR19QQVJFTlRfRVhDTF9FWFRSQS45OTMuNC8xLzIwMjUuLi5VU0QuSAEAAADetgEAAgAAAAQ1NzU4</t>
  </si>
  <si>
    <t>AQgAAAAFAAAAATEBAAAACjIwMTcxNjQyNDQDAAAAAzE2MAIAAAAFNDE1OTYEAAAAATAHAAAACDQvMS8yMDI1CAAAAAoxMi8zMS8yMDE3CQAAAAEw4j3uY8Fz3QgOr82UxHPdCD5DSVEuTllTRTpJQk0uSVFfRUFSTklOR19QQVJFTlRfRVhDTF9FWFRSQS45OTQuNC8xLzIwMjUuLi5VU0QuSAEAAADetgEAAgAAAAQ4NzIzAQgAAAAFAAAAATEBAAAACjIwODE1MDU0MDEDAAAAAzE2MAIAAAAFNDE1OTYEAAAAATAHAAAACDQvMS8yMDI1CAAAAAoxMi8zMS8yMDE4CQAAAAEw4j3uY8Fz3QgOr82UxHPdCD5DSVEuTllTRTpJQk0uSVFfRUFSTklOR19QQVJFTlRfRVhDTF9FWFRSQS45OTUuNC8xLzIwMjUuLi5VU0QuSAEAAADetgEAAgAAAAQ3MTQ2AQgAAAAFAAAAATEBAAAACy0yMTEwNzY5MzU1AwAAAAMxNjACAAAABTQxNTk2BAAAAAEwBwAAAAg0LzEvMjAyNQgAAAAKMTIvMzEvMjAxOQkAAAABMOI97mPBc90IDq/NlMRz3Qg+Q0lRLk5ZU0U6SUJNLklRX0VBUk5JTkdfUEFSRU5UX0VYQ0xfRVhUUkEuOTk2LjQvMS8yMDI1Li4uVVNELkgBAAAA3rYBAAIAAAAEMzkzMgEIAAAABQAAAAExAQAAAAstMjA1OTA3MzIwMgMAAAADMTYwAgAAAAU0MTU5NgQAAAABMAcAAAAINC8xLzIwMjUIAAAACjEyLzMxLzIwMjAJAAAAATDiPe5jwXPdCF39zZTEc90IR0NJUS5OWVNFOklCTS5JUV9QUk9WX0JBRF9ERUJUU19QQVRJRU5U</t>
  </si>
  <si>
    <t>X1NFUlZJQ0VfUkVWLjk5OS40LzEvMjAyNS4uLlVTRC5IAQAAAN62AQADAAAAAADiPe5jwXPdCFqsw5TEc90ISENJUS5OWVNFOklCTS5JUV9QUk9WX0JBRF9ERUJUU19QQVRJRU5UX1NFUlZJQ0VfUkVWLjEwMDAuNC8xLzIwMjUuLi5VU0QuSAEAAADetgEAAwAAAAAA4j3uY8Fz3Qhd/c2UxHPdCEhDSVEuTllTRTpJQk0uSVFfUFJPVl9CQURfREVCVFNfUEFUSUVOVF9TRVJWSUNFX1JFVi4yMDAwLjQvMS8yMDI1Li4uVVNELkgBAAAA3rYBAAMAAAAAAOI97mPBc90I/fa+lMRz3Qg+Q0lRLk5ZU0U6SUJNLklRX0VBUk5JTkdfUEFSRU5UX0VYQ0xfRVhUUkEuOTkwLjQvMS8yMDI1Li4uVVNELkgBAAAA3rYBAAIAAAAFMTU3NTEBCAAAAAUAAAABMQEAAAAKMTgyOTkxMTk2OAMAAAADMTYwAgAAAAU0MTU5NgQAAAABMAcAAAAINC8xLzIwMjUIAAAACjEyLzMxLzIwMTQJAAAAATDiPe5jwXPdCA6vzZTEc90IPkNJUS5OWVNFOklCTS5JUV9FQVJOSU5HX1BBUkVOVF9FWENMX0VYVFJBLjk5MS40LzEvMjAyNS4uLlVTRC5IAQAAAN62AQACAAAABTEzMzY0AQgAAAAFAAAAATEBAAAACjE4NzY0MzI4NzIDAAAAAzE2MAIAAAAFNDE1OTYEAAAAATAHAAAACDQvMS8yMDI1CAAAAAoxMi8zMS8yMDE1CQAAAAEw4j3uY8Fz3QgOr82UxHPdCEdDSVEuTllTRTpJQk0uSVFfUFJPVl9CQURfREVCVFNfUEFUSUVOVF9TRVJWSUNFX1JF</t>
  </si>
  <si>
    <t>Vi45OTQuNC8xLzIwMjUuLi5VU0QuSAEAAADetgEAAwAAAAAA4j3uY8Fz3QgOr82UxHPdCEdDSVEuTllTRTpJQk0uSVFfUFJPVl9CQURfREVCVFNfUEFUSUVOVF9TRVJWSUNFX1JFVi45OTUuNC8xLzIwMjUuLi5VU0QuSAEAAADetgEAAwAAAAAA4j3uY8Fz3QgOr82UxHPdCEdDSVEuTllTRTpJQk0uSVFfUFJPVl9CQURfREVCVFNfUEFUSUVOVF9TRVJWSUNFX1JFVi45OTYuNC8xLzIwMjUuLi5VU0QuSAEAAADetgEAAwAAAAAA4j3uY8Fz3QgOr82UxHPdCEdDSVEuTllTRTpJQk0uSVFfUFJPVl9CQURfREVCVFNfUEFUSUVOVF9TRVJWSUNFX1JFVi45OTcuNC8xLzIwMjUuLi5VU0QuSAEAAADetgEAAwAAAAAA4j3uY8Fz3QgOr82UxHPdCEdDSVEuTllTRTpJQk0uSVFfUFJPVl9CQURfREVCVFNfUEFUSUVOVF9TRVJWSUNFX1JFVi45OTguNC8xLzIwMjUuLi5VU0QuSAEAAADetgEAAwAAAAAA4j3uY8Fz3QgOr82UxHPdCDhDSVEuTllTRTpJQk0uSVFfQVNfUkVQT1JURURfRUJJVERBLjIwMDAuNC8xLzIwMjUuLi5VU0QuSAEAAADetgEAAwAAAAAA4j3uY8Fz3Qj99r6UxHPdCEdDSVEuTllTRTpJQk0uSVFfUFJPVl9CQURfREVCVFNfUEFUSUVOVF9TRVJWSUNFX1JFVi45OTAuNC8xLzIwMjUuLi5VU0QuSAEAAADetgEAAwAAAAAA4j3uY8Fz3QgOr82UxHPdCEdDSVEuTllTRTpJQk0uSVFfUFJPVl9CQURfREVCVFNf</t>
  </si>
  <si>
    <t>UEFUSUVOVF9TRVJWSUNFX1JFVi45OTEuNC8xLzIwMjUuLi5VU0QuSAEAAADetgEAAwAAAAAA4j3uY8Fz3QgOr82UxHPdCEdDSVEuTllTRTpJQk0uSVFfUFJPVl9CQURfREVCVFNfUEFUSUVOVF9TRVJWSUNFX1JFVi45OTIuNC8xLzIwMjUuLi5VU0QuSAEAAADetgEAAwAAAAAA4j3uY8Fz3QgOr82UxHPdCEdDSVEuTllTRTpJQk0uSVFfUFJPVl9CQURfREVCVFNfUEFUSUVOVF9TRVJWSUNFX1JFVi45OTMuNC8xLzIwMjUuLi5VU0QuSAEAAADetgEAAwAAAAAA4j3uY8Fz3QgOr82UxHPdCDdDSVEuTllTRTpJQk0uSVFfQVNfUkVQT1JURURfRUJJVERBLjk5Ni40LzEvMjAyNS4uLlVTRC5IAQAAAN62AQADAAAAAADiPe5jwXPdCA6vzZTEc90IN0NJUS5OWVNFOklCTS5JUV9BU19SRVBPUlRFRF9FQklUREEuOTk3LjQvMS8yMDI1Li4uVVNELkgBAAAA3rYBAAMAAAAAAOI97mPBc90IDq/NlMRz3Qg3Q0lRLk5ZU0U6SUJNLklRX0FTX1JFUE9SVEVEX0VCSVREQS45OTguNC8xLzIwMjUuLi5VU0QuSAEAAADetgEAAwAAAAAA4j3uY8Fz3QgOr82UxHPdCDdDSVEuTllTRTpJQk0uSVFfQVNfUkVQT1JURURfRUJJVERBLjk5OS40LzEvMjAyNS4uLlVTRC5IAQAAAN62AQADAAAAAADiPe5jwXPdCFqsw5TEc90IOENJUS5OWVNFOklCTS5JUV9BU19SRVBPUlRFRF9FQklUREEuMTAwMC40LzEvMjAyNS4uLlVTRC5IAQAAAN62</t>
  </si>
  <si>
    <t>AQADAAAAAADiPe5jwXPdCA6vzZTEc90IN0NJUS5OWVNFOklCTS5JUV9BU19SRVBPUlRFRF9FQklUREEuOTkxLjQvMS8yMDI1Li4uVVNELkgBAAAA3rYBAAMAAAAAAOI97mPBc90IDq/NlMRz3Qg3Q0lRLk5ZU0U6SUJNLklRX0FTX1JFUE9SVEVEX0VCSVREQS45OTIuNC8xLzIwMjUuLi5VU0QuSAEAAADetgEAAwAAAAAA4j3uY8Fz3QgOr82UxHPdCDdDSVEuTllTRTpJQk0uSVFfQVNfUkVQT1JURURfRUJJVERBLjk5My40LzEvMjAyNS4uLlVTRC5IAQAAAN62AQADAAAAAADiPe5jwXPdCA6vzZTEc90IN0NJUS5OWVNFOklCTS5JUV9BU19SRVBPUlRFRF9FQklUREEuOTk0LjQvMS8yMDI1Li4uVVNELkgBAAAA3rYBAAMAAAAAAOI97mPBc90IDq/NlMRz3Qg3Q0lRLk5ZU0U6SUJNLklRX0FTX1JFUE9SVEVEX0VCSVREQS45OTUuNC8xLzIwMjUuLi5VU0QuSAEAAADetgEAAwAAAAAA4j3uY8Fz3QgOr82UxHPdCDpDSVEuTllTRTpJQk0uSVFfVE9UQUxfUkVWX0FTX1JFUE9SVEVELjk5OC40LzEvMjAyNS4uLlVTRC5IAQAAAN62AQACAAAABTYwNTMwAQgAAAAFAAAAATEBAAAACy0xOTU4MjgxMDk2AwAAAAMxNjACAAAAAzMzOQQAAAABMAcAAAAINC8xLzIwMjUIAAAACjEyLzMxLzIwMjIJAAAAATDiPe5jwXPdCA6vzZTEc90IOkNJUS5OWVNFOklCTS5JUV9UT1RBTF9SRVZfQVNfUkVQT1JURUQuOTk5LjQvMS8yMDI1</t>
  </si>
  <si>
    <t>Li4uVVNELkgBAAAA3rYBAAIAAAAFNjE4NjABCAAAAAUAAAABMQEAAAALLTE5NTgyODEwOTUDAAAAAzE2MAIAAAADMzM5BAAAAAEwBwAAAAg0LzEvMjAyNQgAAAAKMTIvMzEvMjAyMwkAAAABMOI97mPBc90IWqzDlMRz3Qg7Q0lRLk5ZU0U6SUJNLklRX1RPVEFMX1JFVl9BU19SRVBPUlRFRC4xMDAwLjQvMS8yMDI1Li4uVVNELkgBAAAA3rYBAAIAAAAFNjI3NTMBCAAAAAUAAAABMQEAAAALLTE5NTgyODEwOTcDAAAAAzE2MAIAAAADMzM5BAAAAAEwBwAAAAg0LzEvMjAyNQgAAAAKMTIvMzEvMjAyNAkAAAABMOI97mPBc90IDq/NlMRz3Qg7Q0lRLk5ZU0U6SUJNLklRX1RPVEFMX1JFVl9BU19SRVBPUlRFRC4yMDAwLjQvMS8yMDI1Li4uVVNELkgBAAAA3rYBAAIAAAAFNjI3NTMBCAAAAAUAAAABMQEAAAALLTE5NTgyODA2MTUDAAAAAzE2MAIAAAADMzM5BAAAAAEwBwAAAAg0LzEvMjAyNQgAAAAKMTIvMzEvMjAyNAkAAAABMOI97mPBc90I/fa+lMRz3Qg3Q0lRLk5ZU0U6SUJNLklRX0FTX1JFUE9SVEVEX0VCSVREQS45OTAuNC8xLzIwMjUuLi5VU0QuSAEAAADetgEAAwAAAAAA4j3uY8Fz3QgOr82UxHPdCDpDSVEuTllTRTpJQk0uSVFfVE9UQUxfUkVWX0FTX1JFUE9SVEVELjk5My40LzEvMjAyNS4uLlVTRC5IAQAAAN62AQACAAAABTc5MTM5AQgAAAAFAAAAATEBAAAACjIwMTcxNjQyNDQDAAAAAzE2MAIAAAAD</t>
  </si>
  <si>
    <t>MzM5BAAAAAEwBwAAAAg0LzEvMjAyNQgAAAAKMTIvMzEvMjAxNwkAAAABMOI97mPBc90IDq/NlMRz3Qg6Q0lRLk5ZU0U6SUJNLklRX1RPVEFMX1JFVl9BU19SRVBPUlRFRC45OTQuNC8xLzIwMjUuLi5VU0QuSAEAAADetgEAAgAAAAU3OTU5MQEIAAAABQAAAAExAQAAAAoyMDgxNTA1NDAxAwAAAAMxNjACAAAAAzMzOQQAAAABMAcAAAAINC8xLzIwMjUIAAAACjEyLzMxLzIwMTgJAAAAATDiPe5jwXPdCA6vzZTEc90IOkNJUS5OWVNFOklCTS5JUV9UT1RBTF9SRVZfQVNfUkVQT1JURUQuOTk1LjQvMS8yMDI1Li4uVVNELkgBAAAA3rYBAAIAAAAFNTc3MTQBCAAAAAUAAAABMQEAAAALLTIxMTA3NjkzNTUDAAAAAzE2MAIAAAADMzM5BAAAAAEwBwAAAAg0LzEvMjAyNQgAAAAKMTIvMzEvMjAxOQkAAAABMOI97mPBc90IDq/NlMRz3Qg6Q0lRLk5ZU0U6SUJNLklRX1RPVEFMX1JFVl9BU19SRVBPUlRFRC45OTYuNC8xLzIwMjUuLi5VU0QuSAEAAADetgEAAgAAAAU1NTE3OQEIAAAABQAAAAExAQAAAAstMjA1OTA3MzIwMgMAAAADMTYwAgAAAAMzMzkEAAAAATAHAAAACDQvMS8yMDI1CAAAAAoxMi8zMS8yMDIwCQAAAAEw4j3uY8Fz3QgOr82UxHPdCDpDSVEuTllTRTpJQk0uSVFfVE9UQUxfUkVWX0FTX1JFUE9SVEVELjk5Ny40LzEvMjAyNS4uLlVTRC5IAQAAAN62AQACAAAABTU3MzUwAQgAAAAFAAAAATEBAAAACy0y</t>
  </si>
  <si>
    <t>MDA4NjQ3MTk4AwAAAAMxNjACAAAAAzMzOQQAAAABMAcAAAAINC8xLzIwMjUIAAAACjEyLzMxLzIwMjEJAAAAATDiPe5jwXPdCA6vzZTEc90IKENJUS5OWVNFOklCTS5JUV9TQU1FX1NUT1JFLjEwMDAuNC8xLzIwMjUBAAAA3rYBAAMAAAAAAOI97mPBc90IDq/NlMRz3QgoQ0lRLk5ZU0U6SUJNLklRX1NBTUVfU1RPUkUuMjAwMC40LzEvMjAyNQEAAADetgEAAwAAAAAA4j3uY8Fz3Qj99r6UxHPdCDpDSVEuTllTRTpJQk0uSVFfVE9UQUxfUkVWX0FTX1JFUE9SVEVELjk5MC40LzEvMjAyNS4uLlVTRC5IAQAAAN62AQACAAAABTkyNzkzAQgAAAAFAAAAATEBAAAACjE4Mjk5MTE5NjgDAAAAAzE2MAIAAAADMzM5BAAAAAEwBwAAAAg0LzEvMjAyNQgAAAAKMTIvMzEvMjAxNAkAAAABMOI97mPBc90IDq/NlMRz3Qg6Q0lRLk5ZU0U6SUJNLklRX1RPVEFMX1JFVl9BU19SRVBPUlRFRC45OTEuNC8xLzIwMjUuLi5VU0QuSAEAAADetgEAAgAAAAU4MTc0MQEIAAAABQAAAAExAQAAAAoxODc2NDMyODcyAwAAAAMxNjACAAAAAzMzOQQAAAABMAcAAAAINC8xLzIwMjUIAAAACjEyLzMxLzIwMTUJAAAAATDiPe5jwXPdCD7bzJTEc90IOkNJUS5OWVNFOklCTS5JUV9UT1RBTF9SRVZfQVNfUkVQT1JURUQuOTkyLjQvMS8yMDI1Li4uVVNELkgBAAAA3rYBAAIAAAAFNzk5MTkBCAAAAAUAAAABMQEAAAAKMTk0NzE3OTU4MwMAAAAD</t>
  </si>
  <si>
    <t>MTYwAgAAAAMzMzkEAAAAATAHAAAACDQvMS8yMDI1CAAAAAoxMi8zMS8yMDE2CQAAAAEw4j3uY8Fz3Qg+28yUxHPdCCdDSVEuTllTRTpJQk0uSVFfU0FNRV9TVE9SRS45OTUuNC8xLzIwMjUBAAAA3rYBAAMAAAAAAOI97mPBc90IDq/NlMRz3QgnQ0lRLk5ZU0U6SUJNLklRX1NBTUVfU1RPUkUuOTk2LjQvMS8yMDI1AQAAAN62AQADAAAAAADiPe5jwXPdCA6vzZTEc90IJ0NJUS5OWVNFOklCTS5JUV9TQU1FX1NUT1JFLjk5Ny40LzEvMjAyNQEAAADetgEAAwAAAAAA4j3uY8Fz3QgOr82UxHPdCCdDSVEuTllTRTpJQk0uSVFfU0FNRV9TVE9SRS45OTguNC8xLzIwMjUBAAAA3rYBAAMAAAAAAOI97mPBc90IDq/NlMRz3QgnQ0lRLk5ZU0U6SUJNLklRX1NBTUVfU1RPUkUuOTk5LjQvMS8yMDI1AQAAAN62AQADAAAAAADiPe5jwXPdCFqsw5TEc90IJ0NJUS5OWVNFOklCTS5JUV9TQU1FX1NUT1JFLjk5MC40LzEvMjAyNQEAAADetgEAAwAAAAAA4j3uY8Fz3Qg+28yUxHPdCCdDSVEuTllTRTpJQk0uSVFfU0FNRV9TVE9SRS45OTEuNC8xLzIwMjUBAAAA3rYBAAMAAAAAAOI97mPBc90IPtvMlMRz3QgnQ0lRLk5ZU0U6SUJNLklRX1NBTUVfU1RPUkUuOTkyLjQvMS8yMDI1AQAAAN62AQADAAAAAADiPe5jwXPdCD7bzJTEc90IJ0NJUS5OWVNFOklCTS5JUV9TQU1FX1NUT1JFLjk5My40LzEvMjAyNQEAAADetgEAAwAAAAAA</t>
  </si>
  <si>
    <t>4j3uY8Fz3Qg+28yUxHPdCCdDSVEuTllTRTpJQk0uSVFfU0FNRV9TVE9SRS45OTQuNC8xLzIwMjUBAAAA3rYBAAMAAAAAAOI97mPBc90IPtvMlMRz3Qg2Q0lRLk5ZU0U6SUJNLklRX0ZFRVNfT1RIRVJfSU5DT01FLjk5Ny40LzEvMjAyNS4uLlVTRC5IAQAAAN62AQADAAAAAADiPe5jwXPdCD7bzJTEc90INkNJUS5OWVNFOklCTS5JUV9GRUVTX09USEVSX0lOQ09NRS45OTguNC8xLzIwMjUuLi5VU0QuSAEAAADetgEAAwAAAAAA4j3uY8Fz3Qg+28yUxHPdCDZDSVEuTllTRTpJQk0uSVFfRkVFU19PVEhFUl9JTkNPTUUuOTk5LjQvMS8yMDI1Li4uVVNELkgBAAAA3rYBAAMAAAAAAOI97mPBc90IbsXDlMRz3Qg3Q0lRLk5ZU0U6SUJNLklRX0ZFRVNfT1RIRVJfSU5DT01FLjEwMDAuNC8xLzIwMjUuLi5VU0QuSAEAAADetgEAAwAAAAAA4j3uY8Fz3Qg+28yUxHPdCDdDSVEuTllTRTpJQk0uSVFfRkVFU19PVEhFUl9JTkNPTUUuMjAwMC40LzEvMjAyNS4uLlVTRC5IAQAAAN62AQADAAAAAADiPe5jwXPdCP32vpTEc90INkNJUS5OWVNFOklCTS5JUV9GRUVTX09USEVSX0lOQ09NRS45OTIuNC8xLzIwMjUuLi5VU0QuSAEAAADetgEAAwAAAAAA4j3uY8Fz3Qg+28yUxHPdCDZDSVEuTllTRTpJQk0uSVFfRkVFU19PVEhFUl9JTkNPTUUuOTkzLjQvMS8yMDI1Li4uVVNELkgBAAAA3rYBAAMAAAAAAOI97mPBc90IPtvMlMRz</t>
  </si>
  <si>
    <t>3Qg2Q0lRLk5ZU0U6SUJNLklRX0ZFRVNfT1RIRVJfSU5DT01FLjk5NC40LzEvMjAyNS4uLlVTRC5IAQAAAN62AQADAAAAAADiPe5jwXPdCD7bzJTEc90INkNJUS5OWVNFOklCTS5JUV9GRUVTX09USEVSX0lOQ09NRS45OTUuNC8xLzIwMjUuLi5VU0QuSAEAAADetgEAAwAAAAAA4j3uY8Fz3Qg+28yUxHPdCDZDSVEuTllTRTpJQk0uSVFfRkVFU19PVEhFUl9JTkNPTUUuOTk2LjQvMS8yMDI1Li4uVVNELkgBAAAA3rYBAAMAAAAAAOI97mPBc90IPtvMlMRz3QgxQ0lRLk5ZU0U6SUJNLklRX0VCSVREQV9DQVBFWC45OTkuNC8xLzIwMjUuLi5VU0QuSAEAAADetgEAAgAAAAUxMjE1NAEIAAAABQAAAAExAQAAAAstMTk1ODI4MTA5NQMAAAADMTYwAgAAAAUzNTM3OQQAAAABMAcAAAAINC8xLzIwMjUIAAAACjEyLzMxLzIwMjMJAAAAATDiPe5jwXPdCG7Fw5TEc90IMkNJUS5OWVNFOklCTS5JUV9FQklUREFfQ0FQRVguMTAwMC40LzEvMjAyNS4uLlVTRC5IAQAAAN62AQACAAAABDkzOTQBCAAAAAUAAAABMQEAAAALLTE5NTgyODEwOTcDAAAAAzE2MAIAAAAFMzUzNzkEAAAAATAHAAAACDQvMS8yMDI1CAAAAAoxMi8zMS8yMDI0CQAAAAEw4j3uY8Fz3Qg+28yUxHPdCDJDSVEuTllTRTpJQk0uSVFfRUJJVERBX0NBUEVYLjIwMDAuNC8xLzIwMjUuLi5VU0QuSAEAAADetgEAAgAAAAQ5Mzk0AQgAAAAFAAAAATEBAAAACy0x</t>
  </si>
  <si>
    <t>OTU4MjgwNjE1AwAAAAMxNjACAAAABTM1Mzc5BAAAAAEwBwAAAAg0LzEvMjAyNQgAAAAKMTIvMzEvMjAyNAkAAAABMOI97mPBc90I/fa+lMRz3Qg2Q0lRLk5ZU0U6SUJNLklRX0ZFRVNfT1RIRVJfSU5DT01FLjk5MC40LzEvMjAyNS4uLlVTRC5IAQAAAN62AQADAAAAAADiPe5jwXPdCD7bzJTEc90INkNJUS5OWVNFOklCTS5JUV9GRUVTX09USEVSX0lOQ09NRS45OTEuNC8xLzIwMjUuLi5VU0QuSAEAAADetgEAAwAAAAAA4j3uY8Fz3Qg+28yUxHPdCDFDSVEuTllTRTpJQk0uSVFfRUJJVERBX0NBUEVYLjk5NC40LzEvMjAyNS4uLlVTRC5IAQAAAN62AQACAAAABTE0MzAzAQgAAAAFAAAAATEBAAAACjIwODE1MDU0MDEDAAAAAzE2MAIAAAAFMzUzNzkEAAAAATAHAAAACDQvMS8yMDI1CAAAAAoxMi8zMS8yMDE4CQAAAAEw4j3uY8Fz3Qg+28yUxHPdCDFDSVEuTllTRTpJQk0uSVFfRUJJVERBX0NBUEVYLjk5NS40LzEvMjAyNS4uLlVTRC5IAQAAAN62AQACAAAABTExMzEyAQgAAAAFAAAAATEBAAAACy0yMTEwNzY5MzU1AwAAAAMxNjACAAAABTM1Mzc5BAAAAAEwBwAAAAg0LzEvMjAyNQgAAAAKMTIvMzEvMjAxOQkAAAABMOI97mPBc90IPtvMlMRz3QgxQ0lRLk5ZU0U6SUJNLklRX0VCSVREQV9DQVBFWC45OTYuNC8xLzIwMjUuLi5VU0QuSAEAAADetgEAAgAAAAQ4NzM5AQgAAAAFAAAAATEBAAAACy0yMDU5MDcz</t>
  </si>
  <si>
    <t>MjAyAwAAAAMxNjACAAAABTM1Mzc5BAAAAAEwBwAAAAg0LzEvMjAyNQgAAAAKMTIvMzEvMjAyMAkAAAABMOI97mPBc90IPtvMlMRz3QgxQ0lRLk5ZU0U6SUJNLklRX0VCSVREQV9DQVBFWC45OTcuNC8xLzIwMjUuLi5VU0QuSAEAAADetgEAAgAAAAQ5OTM4AQgAAAAFAAAAATEBAAAACy0yMDA4NjQ3MTk4AwAAAAMxNjACAAAABTM1Mzc5BAAAAAEwBwAAAAg0LzEvMjAyNQgAAAAKMTIvMzEvMjAyMQkAAAABMOI97mPBc90IPtvMlMRz3QgxQ0lRLk5ZU0U6SUJNLklRX0VCSVREQV9DQVBFWC45OTguNC8xLzIwMjUuLi5VU0QuSAEAAADetgEAAgAAAAQ0MTgzAQgAAAAFAAAAATEBAAAACy0xOTU4MjgxMDk2AwAAAAMxNjACAAAABTM1Mzc5BAAAAAEwBwAAAAg0LzEvMjAyNQgAAAAKMTIvMzEvMjAyMgkAAAABMOI97mPBc90IPtvMlMRz3Qg2Q0lRLk5ZU0U6SUJNLklRX0VCSVREQVJfRVhDTF9TQkMuMjAwMC40LzEvMjAyNS4uLlVTRC5IAQAAAN62AQACAAAABTEzMDYyAQgAAAAFAAAAATEBAAAACy0xOTU4MjgwNjE1AwAAAAMxNjACAAAABTI0MTM3BAAAAAEwBwAAAAg0LzEvMjAyNQgAAAAKMTIvMzEvMjAyNAkAAAABMOI97mPBc90I/fa+lMRz3QgxQ0lRLk5ZU0U6SUJNLklRX0VCSVREQV9DQVBFWC45OTAuNC8xLzIwMjUuLi5VU0QuSAEAAADetgEAAgAAAAUyMDg4MQEIAAAABQAAAAExAQAAAAoxODI5OTExOTY4</t>
  </si>
  <si>
    <t>AwAAAAMxNjACAAAABTM1Mzc5BAAAAAEwBwAAAAg0LzEvMjAyNQgAAAAKMTIvMzEvMjAxNAkAAAABMOI97mPBc90IPtvMlMRz3QgxQ0lRLk5ZU0U6SUJNLklRX0VCSVREQV9DQVBFWC45OTEuNC8xLzIwMjUuLi5VU0QuSAEAAADetgEAAgAAAAUxNjc5MwEIAAAABQAAAAExAQAAAAoxODc2NDMyODcyAwAAAAMxNjACAAAABTM1Mzc5BAAAAAEwBwAAAAg0LzEvMjAyNQgAAAAKMTIvMzEvMjAxNQkAAAABMOI97mPBc90IPtvMlMRz3QgxQ0lRLk5ZU0U6SUJNLklRX0VCSVREQV9DQVBFWC45OTIuNC8xLzIwMjUuLi5VU0QuSAEAAADetgEAAgAAAAUxNDk4NAEIAAAABQAAAAExAQAAAAoxOTQ3MTc5NTgzAwAAAAMxNjACAAAABTM1Mzc5BAAAAAEwBwAAAAg0LzEvMjAyNQgAAAAKMTIvMzEvMjAxNgkAAAABMOI97mPBc90IPtvMlMRz3QgxQ0lRLk5ZU0U6SUJNLklRX0VCSVREQV9DQVBFWC45OTMuNC8xLzIwMjUuLi5VU0QuSAEAAADetgEAAgAAAAUxMjk5NAEIAAAABQAAAAExAQAAAAoyMDE3MTY0MjQ0AwAAAAMxNjACAAAABTM1Mzc5BAAAAAEwBwAAAAg0LzEvMjAyNQgAAAAKMTIvMzEvMjAxNwkAAAABMOI97mPBc90IPtvMlMRz3Qg1Q0lRLk5ZU0U6SUJNLklRX0VCSVREQVJfRVhDTF9TQkMuOTk2LjQvMS8yMDI1Li4uVVNELkgBAAAA3rYBAAIAAAAFMTM4MTgBCAAAAAUAAAABMQEAAAALLTIwNTkwNzMyMDIDAAAA</t>
  </si>
  <si>
    <t>AzE2MAIAAAAFMjQxMzcEAAAAATAHAAAACDQvMS8yMDI1CAAAAAoxMi8zMS8yMDIwCQAAAAEw4j3uY8Fz3Qg+28yUxHPdCDVDSVEuTllTRTpJQk0uSVFfRUJJVERBUl9FWENMX1NCQy45OTcuNC8xLzIwMjUuLi5VU0QuSAEAAADetgEAAgAAAAUxNDQxOQEIAAAABQAAAAExAQAAAAstMjAwODY0NzE5OAMAAAADMTYwAgAAAAUyNDEzNwQAAAABMAcAAAAINC8xLzIwMjUIAAAACjEyLzMxLzIwMjEJAAAAATDiPe5jwXPdCD7bzJTEc90INUNJUS5OWVNFOklCTS5JUV9FQklUREFSX0VYQ0xfU0JDLjk5OC40LzEvMjAyNS4uLlVTRC5IAQAAAN62AQACAAAABDc3NjQBCAAAAAUAAAABMQEAAAALLTE5NTgyODEwOTYDAAAAAzE2MAIAAAAFMjQxMzcEAAAAATAHAAAACDQvMS8yMDI1CAAAAAoxMi8zMS8yMDIyCQAAAAEw4j3uY8Fz3Qg+28yUxHPdCDVDSVEuTllTRTpJQk0uSVFfRUJJVERBUl9FWENMX1NCQy45OTkuNC8xLzIwMjUuLi5VU0QuSAEAAADetgEAAgAAAAUxNTgyNQEIAAAABQAAAAExAQAAAAstMTk1ODI4MTA5NQMAAAADMTYwAgAAAAUyNDEzNwQAAAABMAcAAAAINC8xLzIwMjUIAAAACjEyLzMxLzIwMjMJAAAAATDiPe5jwXPdCFqsw5TEc90INkNJUS5OWVNFOklCTS5JUV9FQklUREFSX0VYQ0xfU0JDLjEwMDAuNC8xLzIwMjUuLi5VU0QuSAEAAADetgEAAgAAAAUxMzA2MgEIAAAABQAAAAExAQAAAAstMTk1</t>
  </si>
  <si>
    <t>ODI4MTA5NwMAAAADMTYwAgAAAAUyNDEzNwQAAAABMAcAAAAINC8xLzIwMjUIAAAACjEyLzMxLzIwMjQJAAAAATDiPe5jwXPdCD7bzJTEc90INUNJUS5OWVNFOklCTS5JUV9FQklUREFSX0VYQ0xfU0JDLjk5MS40LzEvMjAyNS4uLlVTRC5IAQAAAN62AQACAAAABTIyMjg1AQgAAAAFAAAAATEBAAAACjE4NzY0MzI4NzIDAAAAAzE2MAIAAAAFMjQxMzcEAAAAATAHAAAACDQvMS8yMDI1CAAAAAoxMi8zMS8yMDE1CQAAAAEw4j3uY8Fz3Qg+28yUxHPdCDVDSVEuTllTRTpJQk0uSVFfRUJJVERBUl9FWENMX1NCQy45OTIuNC8xLzIwMjUuLi5VU0QuSAEAAADetgEAAwAAAAAA4j3uY8Fz3Qg+28yUxHPdCDVDSVEuTllTRTpJQk0uSVFfRUJJVERBUl9FWENMX1NCQy45OTMuNC8xLzIwMjUuLi5VU0QuSAEAAADetgEAAwAAAAAA4j3uY8Fz3Qg+28yUxHPdCDVDSVEuTllTRTpJQk0uSVFfRUJJVERBUl9FWENMX1NCQy45OTQuNC8xLzIwMjUuLi5VU0QuSAEAAADetgEAAwAAAAAA4j3uY8Fz3Qg+28yUxHPdCDVDSVEuTllTRTpJQk0uSVFfRUJJVERBUl9FWENMX1NCQy45OTUuNC8xLzIwMjUuLi5VU0QuSAEAAADetgEAAgAAAAUxNTkwMAEIAAAABQAAAAExAQAAAAstMjExMDc2OTM1NQMAAAADMTYwAgAAAAUyNDEzNwQAAAABMAcAAAAINC8xLzIwMjUIAAAACjEyLzMxLzIwMTkJAAAAATDiPe5jwXPdCD7bzJTEc90IPENJ</t>
  </si>
  <si>
    <t>US5OWVNFOklCTS5JUV9FQklUREFSX0VRX0lOQ19FWENMX1NCQy45OTguNC8xLzIwMjUuLi5VU0QuSAEAAADetgEAAgAAAAQ3NzY0AQgAAAAFAAAAATEBAAAACy0xOTU4MjgxMDk2AwAAAAMxNjACAAAABTI0MTMzBAAAAAEwBwAAAAg0LzEvMjAyNQgAAAAKMTIvMzEvMjAyMgkAAAABMOI97mPBc90IPtvMlMRz3Qg8Q0lRLk5ZU0U6SUJNLklRX0VCSVREQVJfRVFfSU5DX0VYQ0xfU0JDLjk5OS40LzEvMjAyNS4uLlVTRC5IAQAAAN62AQACAAAABTE1ODI1AQgAAAAFAAAAATEBAAAACy0xOTU4MjgxMDk1AwAAAAMxNjACAAAABTI0MTMzBAAAAAEwBwAAAAg0LzEvMjAyNQgAAAAKMTIvMzEvMjAyMwkAAAABMOI97mPBc90IWqzDlMRz3Qg9Q0lRLk5ZU0U6SUJNLklRX0VCSVREQVJfRVFfSU5DX0VYQ0xfU0JDLjEwMDAuNC8xLzIwMjUuLi5VU0QuSAEAAADetgEAAgAAAAUxMzA2MgEIAAAABQAAAAExAQAAAAstMTk1ODI4MTA5NwMAAAADMTYwAgAAAAUyNDEzMwQAAAABMAcAAAAINC8xLzIwMjUIAAAACjEyLzMxLzIwMjQJAAAAATDiPe5jwXPdCD7bzJTEc90IPUNJUS5OWVNFOklCTS5JUV9FQklUREFSX0VRX0lOQ19FWENMX1NCQy4yMDAwLjQvMS8yMDI1Li4uVVNELkgBAAAA3rYBAAIAAAAFMTMwNjIBCAAAAAUAAAABMQEAAAALLTE5NTgyODA2MTUDAAAAAzE2MAIAAAAFMjQxMzMEAAAAATAHAAAACDQvMS8yMDI1</t>
  </si>
  <si>
    <t>CAAAAAoxMi8zMS8yMDI0CQAAAAEw4j3uY8Fz3Qj99r6UxHPdCDVDSVEuTllTRTpJQk0uSVFfRUJJVERBUl9FWENMX1NCQy45OTAuNC8xLzIwMjUuLi5VU0QuSAEAAADetgEAAgAAAAUyNjYzMAEIAAAABQAAAAExAQAAAAoxODI5OTExOTY4AwAAAAMxNjACAAAABTI0MTM3BAAAAAEwBwAAAAg0LzEvMjAyNQgAAAAKMTIvMzEvMjAxNAkAAAABMOI97mPBc90IPtvMlMRz3Qg8Q0lRLk5ZU0U6SUJNLklRX0VCSVREQVJfRVFfSU5DX0VYQ0xfU0JDLjk5My40LzEvMjAyNS4uLlVTRC5IAQAAAN62AQADAAAAAADiPe5jwXPdCD7bzJTEc90IPENJUS5OWVNFOklCTS5JUV9FQklUREFSX0VRX0lOQ19FWENMX1NCQy45OTQuNC8xLzIwMjUuLi5VU0QuSAEAAADetgEAAwAAAAAA4j3uY8Fz3Qg+28yUxHPdCDxDSVEuTllTRTpJQk0uSVFfRUJJVERBUl9FUV9JTkNfRVhDTF9TQkMuOTk1LjQvMS8yMDI1Li4uVVNELkgBAAAA3rYBAAIAAAAFMTU5MDABCAAAAAUAAAABMQEAAAALLTIxMTA3NjkzNTUDAAAAAzE2MAIAAAAFMjQxMzMEAAAAATAHAAAACDQvMS8yMDI1CAAAAAoxMi8zMS8yMDE5CQAAAAEw4j3uY8Fz3Qg+28yUxHPdCDxDSVEuTllTRTpJQk0uSVFfRUJJVERBUl9FUV9JTkNfRVhDTF9TQkMuOTk2LjQvMS8yMDI1Li4uVVNELkgBAAAA3rYBAAIAAAAFMTM4MTgBCAAAAAUAAAABMQEAAAALLTIwNTkwNzMyMDIDAAAA</t>
  </si>
  <si>
    <t>AzE2MAIAAAAFMjQxMzMEAAAAATAHAAAACDQvMS8yMDI1CAAAAAoxMi8zMS8yMDIwCQAAAAEw4j3uY8Fz3Qg+28yUxHPdCDxDSVEuTllTRTpJQk0uSVFfRUJJVERBUl9FUV9JTkNfRVhDTF9TQkMuOTk3LjQvMS8yMDI1Li4uVVNELkgBAAAA3rYBAAIAAAAFMTQ0MTkBCAAAAAUAAAABMQEAAAALLTIwMDg2NDcxOTgDAAAAAzE2MAIAAAAFMjQxMzMEAAAAATAHAAAACDQvMS8yMDI1CAAAAAoxMi8zMS8yMDIxCQAAAAEw4j3uY8Fz3Qg+28yUxHPdCDRDSVEuTllTRTpJQk0uSVFfRUJJVERBUl9FUV9JTkMuMTAwMC40LzEvMjAyNS4uLlVTRC5IAQAAAN62AQACAAAABTEzMDYwAQgAAAAFAAAAATEBAAAACy0xOTU4MjgxMDk3AwAAAAMxNjACAAAABTI0MTI5BAAAAAEwBwAAAAg0LzEvMjAyNQgAAAAKMTIvMzEvMjAyNAkAAAABMOI97mPBc90IPtvMlMRz3Qg0Q0lRLk5ZU0U6SUJNLklRX0VCSVREQVJfRVFfSU5DLjIwMDAuNC8xLzIwMjUuLi5VU0QuSAEAAADetgEAAgAAAAUxMzA2MAEIAAAABQAAAAExAQAAAAstMTk1ODI4MDYxNQMAAAADMTYwAgAAAAUyNDEyOQQAAAABMAcAAAAINC8xLzIwMjUIAAAACjEyLzMxLzIwMjQJAAAAATDiPe5jwXPdCP32vpTEc90IPENJUS5OWVNFOklCTS5JUV9FQklUREFSX0VRX0lOQ19FWENMX1NCQy45OTAuNC8xLzIwMjUuLi5VU0QuSAEAAADetgEAAgAAAAUyNjYzMAEIAAAABQAA</t>
  </si>
  <si>
    <t>AAExAQAAAAoxODI5OTExOTY4AwAAAAMxNjACAAAABTI0MTMzBAAAAAEwBwAAAAg0LzEvMjAyNQgAAAAKMTIvMzEvMjAxNAkAAAABMOI97mPBc90IPtvMlMRz3Qg8Q0lRLk5ZU0U6SUJNLklRX0VCSVREQVJfRVFfSU5DX0VYQ0xfU0JDLjk5MS40LzEvMjAyNS4uLlVTRC5IAQAAAN62AQACAAAABTIyMjg1AQgAAAAFAAAAATEBAAAACjE4NzY0MzI4NzIDAAAAAzE2MAIAAAAFMjQxMzMEAAAAATAHAAAACDQvMS8yMDI1CAAAAAoxMi8zMS8yMDE1CQAAAAEw4j3uY8Fz3Qg+28yUxHPdCDxDSVEuTllTRTpJQk0uSVFfRUJJVERBUl9FUV9JTkNfRVhDTF9TQkMuOTkyLjQvMS8yMDI1Li4uVVNELkgBAAAA3rYBAAMAAAAAAOI97mPBc90IPtvMlMRz3QgzQ0lRLk5ZU0U6SUJNLklRX0VCSVREQVJfRVFfSU5DLjk5NS40LzEvMjAyNS4uLlVTRC5IAQAAAN62AQACAAAABTE2ODQ0AQgAAAAFAAAAATEBAAAACy0yMTEwNzY5MzU1AwAAAAMxNjACAAAABTI0MTI5BAAAAAEwBwAAAAg0LzEvMjAyNQgAAAAKMTIvMzEvMjAxOQkAAAABMOI97mPBc90IPtvMlMRz3QgzQ0lRLk5ZU0U6SUJNLklRX0VCSVREQVJfRVFfSU5DLjk5Ni40LzEvMjAyNS4uLlVTRC5IAQAAAN62AQACAAAABTE0NDA1AQgAAAAFAAAAATEBAAAACy0yMDU5MDczMjAyAwAAAAMxNjACAAAABTI0MTI5BAAAAAEwBwAAAAg0LzEvMjAyNQgAAAAKMTIvMzEvMjAy</t>
  </si>
  <si>
    <t>MAkAAAABMOI97mPBc90IPtvMlMRz3QgzQ0lRLk5ZU0U6SUJNLklRX0VCSVREQVJfRVFfSU5DLjk5Ny40LzEvMjAyNS4uLlVTRC5IAQAAAN62AQACAAAABTE0ODc0AQgAAAAFAAAAATEBAAAACy0yMDA4NjQ3MTk4AwAAAAMxNjACAAAABTI0MTI5BAAAAAEwBwAAAAg0LzEvMjAyNQgAAAAKMTIvMzEvMjAyMQkAAAABMOI97mPBc90IPtvMlMRz3QgzQ0lRLk5ZU0U6SUJNLklRX0VCSVREQVJfRVFfSU5DLjk5OC40LzEvMjAyNS4uLlVTRC5IAQAAAN62AQACAAAABDgwMjMBCAAAAAUAAAABMQEAAAALLTE5NTgyODEwOTYDAAAAAzE2MAIAAAAFMjQxMjkEAAAAATAHAAAACDQvMS8yMDI1CAAAAAoxMi8zMS8yMDIyCQAAAAEw4j3uY8Fz3Qg+28yUxHPdCDNDSVEuTllTRTpJQk0uSVFfRUJJVERBUl9FUV9JTkMuOTk5LjQvMS8yMDI1Li4uVVNELkgBAAAA3rYBAAIAAAAFMTU5ODMBCAAAAAUAAAABMQEAAAALLTE5NTgyODEwOTUDAAAAAzE2MAIAAAAFMjQxMjkEAAAAATAHAAAACDQvMS8yMDI1CAAAAAoxMi8zMS8yMDIzCQAAAAEw4j3uY8Fz3QharMOUxHPdCDNDSVEuTllTRTpJQk0uSVFfRUJJVERBUl9FUV9JTkMuOTkwLjQvMS8yMDI1Li4uVVNELkgBAAAA3rYBAAIAAAAFMjYxMTgBCAAAAAUAAAABMQEAAAAKMTgyOTkxMTk2OAMAAAADMTYwAgAAAAUyNDEyOQQAAAABMAcAAAAINC8xLzIwMjUIAAAACjEyLzMxLzIw</t>
  </si>
  <si>
    <t>MTQJAAAAATDiPe5jwXPdCD7bzJTEc90IM0NJUS5OWVNFOklCTS5JUV9FQklUREFSX0VRX0lOQy45OTEuNC8xLzIwMjUuLi5VU0QuSAEAAADetgEAAgAAAAUyMTgxNwEIAAAABQAAAAExAQAAAAoxODc2NDMyODcyAwAAAAMxNjACAAAABTI0MTI5BAAAAAEwBwAAAAg0LzEvMjAyNQgAAAAKMTIvMzEvMjAxNQkAAAABMOI97mPBc90IPtvMlMRz3QgzQ0lRLk5ZU0U6SUJNLklRX0VCSVREQVJfRVFfSU5DLjk5Mi40LzEvMjAyNS4uLlVTRC5IAQAAAN62AQADAAAAAADiPe5jwXPdCD7bzJTEc90IM0NJUS5OWVNFOklCTS5JUV9FQklUREFSX0VRX0lOQy45OTMuNC8xLzIwMjUuLi5VU0QuSAEAAADetgEAAwAAAAAA4j3uY8Fz3Qg+28yUxHPdCDNDSVEuTllTRTpJQk0uSVFfRUJJVERBUl9FUV9JTkMuOTk0LjQvMS8yMDI1Li4uVVNELkgBAAAA3rYBAAMAAAAAAOI97mPBc90IPtvMlMRz3QgsQ0lRLk5ZU0U6SUJNLklRX0VCSVREQVIuOTk3LjQvMS8yMDI1Li4uVVNELkgBAAAA3rYBAAIAAAAFMTM0MzcBCAAAAAUAAAABMQEAAAALLTIwMDg2NDcxOTgDAAAAAzE2MAIAAAAFMjE2NzQEAAAAATAHAAAACDQvMS8yMDI1CAAAAAoxMi8zMS8yMDIxCQAAAAEw4j3uY8Fz3Qg+28yUxHPdCCxDSVEuTllTRTpJQk0uSVFfRUJJVERBUi45OTguNC8xLzIwMjUuLi5VU0QuSAEAAADetgEAAgAAAAQ2Nzc2AQgAAAAFAAAAATEBAAAA</t>
  </si>
  <si>
    <t>Cy0xOTU4MjgxMDk2AwAAAAMxNjACAAAABTIxNjc0BAAAAAEwBwAAAAg0LzEvMjAyNQgAAAAKMTIvMzEvMjAyMgkAAAABMOI97mPBc90IPtvMlMRz3QgsQ0lRLk5ZU0U6SUJNLklRX0VCSVREQVIuOTk5LjQvMS8yMDI1Li4uVVNELkgBAAAA3rYBAAIAAAAFMTQ2OTEBCAAAAAUAAAABMQEAAAALLTE5NTgyODEwOTUDAAAAAzE2MAIAAAAFMjE2NzQEAAAAATAHAAAACDQvMS8yMDI1CAAAAAoxMi8zMS8yMDIzCQAAAAEw4j3uY8Fz3QharMOUxHPdCC1DSVEuTllTRTpJQk0uSVFfRUJJVERBUi4xMDAwLjQvMS8yMDI1Li4uVVNELkgBAAAA3rYBAAIAAAAFMTE3NTEBCAAAAAUAAAABMQEAAAALLTE5NTgyODEwOTcDAAAAAzE2MAIAAAAFMjE2NzQEAAAAATAHAAAACDQvMS8yMDI1CAAAAAoxMi8zMS8yMDI0CQAAAAEw4j3uY8Fz3Qg+28yUxHPdCC1DSVEuTllTRTpJQk0uSVFfRUJJVERBUi4yMDAwLjQvMS8yMDI1Li4uVVNELkgBAAAA3rYBAAIAAAAFMTE3NTEBCAAAAAUAAAABMQEAAAALLTE5NTgyODA2MTUDAAAAAzE2MAIAAAAFMjE2NzQEAAAAATAHAAAACDQvMS8yMDI1CAAAAAoxMi8zMS8yMDI0CQAAAAEw4j3uY8Fz3Qj99r6UxHPdCCxDSVEuTllTRTpJQk0uSVFfRUJJVERBUi45OTIuNC8xLzIwMjUuLi5VU0QuSAEAAADetgEAAwAAAAAA4j3uY8Fz3Qg+28yUxHPdCCxDSVEuTllTRTpJQk0uSVFfRUJJVERBUi45</t>
  </si>
  <si>
    <t>OTMuNC8xLzIwMjUuLi5VU0QuSAEAAADetgEAAwAAAAAA4j3uY8Fz3Qg+28yUxHPdCCxDSVEuTllTRTpJQk0uSVFfRUJJVERBUi45OTQuNC8xLzIwMjUuLi5VU0QuSAEAAADetgEAAwAAAAAA4j3uY8Fz3Qg+28yUxHPdCCxDSVEuTllTRTpJQk0uSVFfRUJJVERBUi45OTUuNC8xLzIwMjUuLi5VU0QuSAEAAADetgEAAgAAAAUxNTIyMQEIAAAABQAAAAExAQAAAAstMjExMDc2OTM1NQMAAAADMTYwAgAAAAUyMTY3NAQAAAABMAcAAAAINC8xLzIwMjUIAAAACjEyLzMxLzIwMTkJAAAAATDiPe5jwXPdCD7bzJTEc90ILENJUS5OWVNFOklCTS5JUV9FQklUREFSLjk5Ni40LzEvMjAyNS4uLlVTRC5IAQAAAN62AQACAAAABTEyODgxAQgAAAAFAAAAATEBAAAACy0yMDU5MDczMjAyAwAAAAMxNjACAAAABTIxNjc0BAAAAAEwBwAAAAg0LzEvMjAyNQgAAAAKMTIvMzEvMjAyMAkAAAABMOI97mPBc90IPtvMlMRz3QgzQ0lRLk5ZU0U6SUJNLklRX0VCSVRBX0VYQ0xfU0JDLjk5OS40LzEvMjAyNS4uLlVTRC5IAQAAAN62AQACAAAABTEzMzI0AQgAAAAFAAAAATEBAAAACy0xOTU4MjgxMDk1AwAAAAMxNjACAAAABTI0MTM2BAAAAAEwBwAAAAg0LzEvMjAyNQgAAAAKMTIvMzEvMjAyMwkAAAABMOI97mPBc90IbsXDlMRz3Qg0Q0lRLk5ZU0U6SUJNLklRX0VCSVRBX0VYQ0xfU0JDLjEwMDAuNC8xLzIwMjUuLi5VU0QuSAEAAADe</t>
  </si>
  <si>
    <t>tgEAAgAAAAUxMDQ4NQEIAAAABQAAAAExAQAAAAstMTk1ODI4MTA5NwMAAAADMTYwAgAAAAUyNDEzNgQAAAABMAcAAAAINC8xLzIwMjUIAAAACjEyLzMxLzIwMjQJAAAAATDiPe5jwXPdCD7bzJTEc90INENJUS5OWVNFOklCTS5JUV9FQklUQV9FWENMX1NCQy4yMDAwLjQvMS8yMDI1Li4uVVNELkgBAAAA3rYBAAIAAAAFMTA0ODUBCAAAAAUAAAABMQEAAAALLTE5NTgyODA2MTUDAAAAAzE2MAIAAAAFMjQxMzYEAAAAATAHAAAACDQvMS8yMDI1CAAAAAoxMi8zMS8yMDI0CQAAAAEw4j3uY8Fz3Qj99r6UxHPdCCxDSVEuTllTRTpJQk0uSVFfRUJJVERBUi45OTAuNC8xLzIwMjUuLi5VU0QuSAEAAADetgEAAgAAAAUyNjExOAEIAAAABQAAAAExAQAAAAoxODI5OTExOTY4AwAAAAMxNjACAAAABTIxNjc0BAAAAAEwBwAAAAg0LzEvMjAyNQgAAAAKMTIvMzEvMjAxNAkAAAABMOI97mPBc90IPtvMlMRz3QgsQ0lRLk5ZU0U6SUJNLklRX0VCSVREQVIuOTkxLjQvMS8yMDI1Li4uVVNELkgBAAAA3rYBAAIAAAAFMjE4MTcBCAAAAAUAAAABMQEAAAAKMTg3NjQzMjg3MgMAAAADMTYwAgAAAAUyMTY3NAQAAAABMAcAAAAINC8xLzIwMjUIAAAACjEyLzMxLzIwMTUJAAAAATDiPe5jwXPdCD7bzJTEc90IM0NJUS5OWVNFOklCTS5JUV9FQklUQV9FWENMX1NCQy45OTQuNC8xLzIwMjUuLi5VU0QuSAEAAADetgEAAgAAAAUxNTA4</t>
  </si>
  <si>
    <t>MQEIAAAABQAAAAExAQAAAAoyMDgxNTA1NDAxAwAAAAMxNjACAAAABTI0MTM2BAAAAAEwBwAAAAg0LzEvMjAyNQgAAAAKMTIvMzEvMjAxOAkAAAABMOI97mPBc90IPtvMlMRz3QgzQ0lRLk5ZU0U6SUJNLklRX0VCSVRBX0VYQ0xfU0JDLjk5NS40LzEvMjAyNS4uLlVTRC5IAQAAAN62AQACAAAABTEwMDY4AQgAAAAFAAAAATEBAAAACy0yMTEwNzY5MzU1AwAAAAMxNjACAAAABTI0MTM2BAAAAAEwBwAAAAg0LzEvMjAyNQgAAAAKMTIvMzEvMjAxOQkAAAABMOI97mPBc90IPtvMlMRz3QgzQ0lRLk5ZU0U6SUJNLklRX0VCSVRBX0VYQ0xfU0JDLjk5Ni40LzEvMjAyNS4uLlVTRC5IAQAAAN62AQACAAAABDgwNjcBCAAAAAUAAAABMQEAAAALLTIwNTkwNzMyMDIDAAAAAzE2MAIAAAAFMjQxMzYEAAAAATAHAAAACDQvMS8yMDI1CAAAAAoxMi8zMS8yMDIwCQAAAAEw4j3uY8Fz3Qg+28yUxHPdCDNDSVEuTllTRTpJQk0uSVFfRUJJVEFfRVhDTF9TQkMuOTk3LjQvMS8yMDI1Li4uVVNELkgBAAAA3rYBAAIAAAAEOTA5NAEIAAAABQAAAAExAQAAAAstMjAwODY0NzE5OAMAAAADMTYwAgAAAAUyNDEzNgQAAAABMAcAAAAINC8xLzIwMjUIAAAACjEyLzMxLzIwMjEJAAAAATDiPe5jwXPdCEgBzJTEc90IM0NJUS5OWVNFOklCTS5JUV9FQklUQV9FWENMX1NCQy45OTguNC8xLzIwMjUuLi5VU0QuSAEAAADetgEAAgAAAAQ1MDEw</t>
  </si>
  <si>
    <t>AQgAAAAFAAAAATEBAAAACy0xOTU4MjgxMDk2AwAAAAMxNjACAAAABTI0MTM2BAAAAAEwBwAAAAg0LzEvMjAyNQgAAAAKMTIvMzEvMjAyMgkAAAABMOI97mPBc90IPtvMlMRz3Qg7Q0lRLk5ZU0U6SUJNLklRX0VCSVRBX0VRX0lOQ19FWENMX1NCQy4yMDAwLjQvMS8yMDI1Li4uVVNELkgBAAAA3rYBAAIAAAAFMTA0ODUBCAAAAAUAAAABMQEAAAALLTE5NTgyODA2MTUDAAAAAzE2MAIAAAAFMjQxMzIEAAAAATAHAAAACDQvMS8yMDI1CAAAAAoxMi8zMS8yMDI0CQAAAAEw4j3uY8Fz3Qj99r6UxHPdCDNDSVEuTllTRTpJQk0uSVFfRUJJVEFfRVhDTF9TQkMuOTkwLjQvMS8yMDI1Li4uVVNELkgBAAAA3rYBAAIAAAAFMjE5ODgBCAAAAAUAAAABMQEAAAAKMTgyOTkxMTk2OAMAAAADMTYwAgAAAAUyNDEzNgQAAAABMAcAAAAINC8xLzIwMjUIAAAACjEyLzMxLzIwMTQJAAAAATDiPe5jwXPdCD7bzJTEc90IM0NJUS5OWVNFOklCTS5JUV9FQklUQV9FWENMX1NCQy45OTEuNC8xLzIwMjUuLi5VU0QuSAEAAADetgEAAgAAAAUxODE3OAEIAAAABQAAAAExAQAAAAoxODc2NDMyODcyAwAAAAMxNjACAAAABTI0MTM2BAAAAAEwBwAAAAg0LzEvMjAyNQgAAAAKMTIvMzEvMjAxNQkAAAABMOI97mPBc90IPtvMlMRz3QgzQ0lRLk5ZU0U6SUJNLklRX0VCSVRBX0VYQ0xfU0JDLjk5Mi40LzEvMjAyNS4uLlVTRC5IAQAAAN62AQAC</t>
  </si>
  <si>
    <t>AAAABTE2MjU4AQgAAAAFAAAAATEBAAAACjE5NDcxNzk1ODMDAAAAAzE2MAIAAAAFMjQxMzYEAAAAATAHAAAACDQvMS8yMDI1CAAAAAoxMi8zMS8yMDE2CQAAAAEw4j3uY8Fz3Qg+28yUxHPdCDNDSVEuTllTRTpJQk0uSVFfRUJJVEFfRVhDTF9TQkMuOTkzLjQvMS8yMDI1Li4uVVNELkgBAAAA3rYBAAIAAAAFMTM3MzYBCAAAAAUAAAABMQEAAAAKMjAxNzE2NDI0NAMAAAADMTYwAgAAAAUyNDEzNgQAAAABMAcAAAAINC8xLzIwMjUIAAAACjEyLzMxLzIwMTcJAAAAATDiPe5jwXPdCEgBzJTEc90IOkNJUS5OWVNFOklCTS5JUV9FQklUQV9FUV9JTkNfRVhDTF9TQkMuOTk2LjQvMS8yMDI1Li4uVVNELkgBAAAA3rYBAAIAAAAEODA2NwEIAAAABQAAAAExAQAAAAstMjA1OTA3MzIwMgMAAAADMTYwAgAAAAUyNDEzMgQAAAABMAcAAAAINC8xLzIwMjUIAAAACjEyLzMxLzIwMjAJAAAAATDiPe5jwXPdCEgBzJTEc90IOkNJUS5OWVNFOklCTS5JUV9FQklUQV9FUV9JTkNfRVhDTF9TQkMuOTk3LjQvMS8yMDI1Li4uVVNELkgBAAAA3rYBAAIAAAAEOTA5NAEIAAAABQAAAAExAQAAAAstMjAwODY0NzE5OAMAAAADMTYwAgAAAAUyNDEzMgQAAAABMAcAAAAINC8xLzIwMjUIAAAACjEyLzMxLzIwMjEJAAAAATDiPe5jwXPdCEgBzJTEc90IOkNJUS5OWVNFOklCTS5JUV9FQklUQV9FUV9JTkNfRVhDTF9TQkMuOTk4LjQvMS8y</t>
  </si>
  <si>
    <t>MDI1Li4uVVNELkgBAAAA3rYBAAIAAAAENTAxMAEIAAAABQAAAAExAQAAAAstMTk1ODI4MTA5NgMAAAADMTYwAgAAAAUyNDEzMgQAAAABMAcAAAAINC8xLzIwMjUIAAAACjEyLzMxLzIwMjIJAAAAATDiPe5jwXPdCEgBzJTEc90IOkNJUS5OWVNFOklCTS5JUV9FQklUQV9FUV9JTkNfRVhDTF9TQkMuOTk5LjQvMS8yMDI1Li4uVVNELkgBAAAA3rYBAAIAAAAFMTMzMjQBCAAAAAUAAAABMQEAAAALLTE5NTgyODEwOTUDAAAAAzE2MAIAAAAFMjQxMzIEAAAAATAHAAAACDQvMS8yMDI1CAAAAAoxMi8zMS8yMDIzCQAAAAEw4j3uY8Fz3QhuxcOUxHPdCDtDSVEuTllTRTpJQk0uSVFfRUJJVEFfRVFfSU5DX0VYQ0xfU0JDLjEwMDAuNC8xLzIwMjUuLi5VU0QuSAEAAADetgEAAgAAAAUxMDQ4NQEIAAAABQAAAAExAQAAAAstMTk1ODI4MTA5NwMAAAADMTYwAgAAAAUyNDEzMgQAAAABMAcAAAAINC8xLzIwMjUIAAAACjEyLzMxLzIwMjQJAAAAATDiPe5jwXPdCEgBzJTEc90IOkNJUS5OWVNFOklCTS5JUV9FQklUQV9FUV9JTkNfRVhDTF9TQkMuOTkxLjQvMS8yMDI1Li4uVVNELkgBAAAA3rYBAAIAAAAFMTgxNzgBCAAAAAUAAAABMQEAAAAKMTg3NjQzMjg3MgMAAAADMTYwAgAAAAUyNDEzMgQAAAABMAcAAAAINC8xLzIwMjUIAAAACjEyLzMxLzIwMTUJAAAAATDiPe5jwXPdCEgBzJTEc90IOkNJUS5OWVNFOklCTS5JUV9F</t>
  </si>
  <si>
    <t>QklUQV9FUV9JTkNfRVhDTF9TQkMuOTkyLjQvMS8yMDI1Li4uVVNELkgBAAAA3rYBAAIAAAAFMTYyNTgBCAAAAAUAAAABMQEAAAAKMTk0NzE3OTU4MwMAAAADMTYwAgAAAAUyNDEzMgQAAAABMAcAAAAINC8xLzIwMjUIAAAACjEyLzMxLzIwMTYJAAAAATDiPe5jwXPdCEgBzJTEc90IOkNJUS5OWVNFOklCTS5JUV9FQklUQV9FUV9JTkNfRVhDTF9TQkMuOTkzLjQvMS8yMDI1Li4uVVNELkgBAAAA3rYBAAIAAAAFMTM3MzYBCAAAAAUAAAABMQEAAAAKMjAxNzE2NDI0NAMAAAADMTYwAgAAAAUyNDEzMgQAAAABMAcAAAAINC8xLzIwMjUIAAAACjEyLzMxLzIwMTcJAAAAATDiPe5jwXPdCEgBzJTEc90IOkNJUS5OWVNFOklCTS5JUV9FQklUQV9FUV9JTkNfRVhDTF9TQkMuOTk0LjQvMS8yMDI1Li4uVVNELkgBAAAA3rYBAAIAAAAFMTUwODEBCAAAAAUAAAABMQEAAAAKMjA4MTUwNTQwMQMAAAADMTYwAgAAAAUyNDEzMgQAAAABMAcAAAAINC8xLzIwMjUIAAAACjEyLzMxLzIwMTgJAAAAATDiPe5jwXPdCEgBzJTEc90IOkNJUS5OWVNFOklCTS5JUV9FQklUQV9FUV9JTkNfRVhDTF9TQkMuOTk1LjQvMS8yMDI1Li4uVVNELkgBAAAA3rYBAAIAAAAFMTAwNjgBCAAAAAUAAAABMQEAAAALLTIxMTA3NjkzNTUDAAAAAzE2MAIAAAAFMjQxMzIEAAAAATAHAAAACDQvMS8yMDI1CAAAAAoxMi8zMS8yMDE5CQAAAAEw4j3uY8Fz</t>
  </si>
  <si>
    <t>3QhIAcyUxHPdCDFDSVEuTllTRTpJQk0uSVFfRUJJVEFfRVFfSU5DLjk5OC40LzEvMjAyNS4uLlVTRC5IAQAAAN62AQACAAAABDQwMjIBCAAAAAUAAAABMQEAAAALLTE5NTgyODEwOTYDAAAAAzE2MAIAAAAFMjE2NzYEAAAAATAHAAAACDQvMS8yMDI1CAAAAAoxMi8zMS8yMDIyCQAAAAEw4j3uY8Fz3QhIAcyUxHPdCDFDSVEuTllTRTpJQk0uSVFfRUJJVEFfRVFfSU5DLjk5OS40LzEvMjAyNS4uLlVTRC5IAQAAAN62AQACAAAABTEyMTkwAQgAAAAFAAAAATEBAAAACy0xOTU4MjgxMDk1AwAAAAMxNjACAAAABTIxNjc2BAAAAAEwBwAAAAg0LzEvMjAyNQgAAAAKMTIvMzEvMjAyMwkAAAABMOI97mPBc90IbsXDlMRz3QgyQ0lRLk5ZU0U6SUJNLklRX0VCSVRBX0VRX0lOQy4xMDAwLjQvMS8yMDI1Li4uVVNELkgBAAAA3rYBAAIAAAAEOTE3NAEIAAAABQAAAAExAQAAAAstMTk1ODI4MTA5NwMAAAADMTYwAgAAAAUyMTY3NgQAAAABMAcAAAAINC8xLzIwMjUIAAAACjEyLzMxLzIwMjQJAAAAATDiPe5jwXPdCEgBzJTEc90IMkNJUS5OWVNFOklCTS5JUV9FQklUQV9FUV9JTkMuMjAwMC40LzEvMjAyNS4uLlVTRC5IAQAAAN62AQACAAAABDkxNzQBCAAAAAUAAAABMQEAAAALLTE5NTgyODA2MTUDAAAAAzE2MAIAAAAFMjE2NzYEAAAAATAHAAAACDQvMS8yMDI1CAAAAAoxMi8zMS8yMDI0CQAAAAEw4j3uY8Fz3Qj99r6U</t>
  </si>
  <si>
    <t>xHPdCDpDSVEuTllTRTpJQk0uSVFfRUJJVEFfRVFfSU5DX0VYQ0xfU0JDLjk5MC40LzEvMjAyNS4uLlVTRC5IAQAAAN62AQACAAAABTIxOTg4AQgAAAAFAAAAATEBAAAACjE4Mjk5MTE5NjgDAAAAAzE2MAIAAAAFMjQxMzIEAAAAATAHAAAACDQvMS8yMDI1CAAAAAoxMi8zMS8yMDE0CQAAAAEw4j3uY8Fz3QhIAcyUxHPdCDFDSVEuTllTRTpJQk0uSVFfRUJJVEFfRVFfSU5DLjk5My40LzEvMjAyNS4uLlVTRC5IAQAAAN62AQACAAAABTEzMjAyAQgAAAAFAAAAATEBAAAACjIwMTcxNjQyNDQDAAAAAzE2MAIAAAAFMjE2NzYEAAAAATAHAAAACDQvMS8yMDI1CAAAAAoxMi8zMS8yMDE3CQAAAAEw4j3uY8Fz3QhIAcyUxHPdCDFDSVEuTllTRTpJQk0uSVFfRUJJVEFfRVFfSU5DLjk5NC40LzEvMjAyNS4uLlVTRC5IAQAAAN62AQACAAAABTE0NTcxAQgAAAAFAAAAATEBAAAACjIwODE1MDU0MDEDAAAAAzE2MAIAAAAFMjE2NzYEAAAAATAHAAAACDQvMS8yMDI1CAAAAAoxMi8zMS8yMDE4CQAAAAEw4j3uY8Fz3QhIAcyUxHPdCDFDSVEuTllTRTpJQk0uSVFfRUJJVEFfRVFfSU5DLjk5NS40LzEvMjAyNS4uLlVTRC5IAQAAAN62AQACAAAABDkzODkBCAAAAAUAAAABMQEAAAALLTIxMTA3NjkzNTUDAAAAAzE2MAIAAAAFMjE2NzYEAAAAATAHAAAACDQvMS8yMDI1CAAAAAoxMi8zMS8yMDE5CQAAAAEw4j3uY8Fz3QhIAcyU</t>
  </si>
  <si>
    <t>xHPdCDFDSVEuTllTRTpJQk0uSVFfRUJJVEFfRVFfSU5DLjk5Ni40LzEvMjAyNS4uLlVTRC5IAQAAAN62AQACAAAABDcxMzABCAAAAAUAAAABMQEAAAALLTIwNTkwNzMyMDIDAAAAAzE2MAIAAAAFMjE2NzYEAAAAATAHAAAACDQvMS8yMDI1CAAAAAoxMi8zMS8yMDIwCQAAAAEw4j3uY8Fz3QhIAcyUxHPdCDFDSVEuTllTRTpJQk0uSVFfRUJJVEFfRVFfSU5DLjk5Ny40LzEvMjAyNS4uLlVTRC5IAQAAAN62AQACAAAABDgxMTIBCAAAAAUAAAABMQEAAAALLTIwMDg2NDcxOTgDAAAAAzE2MAIAAAAFMjE2NzYEAAAAATAHAAAACDQvMS8yMDI1CAAAAAoxMi8zMS8yMDIxCQAAAAEw4j3uY8Fz3QhIAcyUxHPdCCtDSVEuTllTRTpJQk0uSVFfRUJJVEEuMTAwMC40LzEvMjAyNS4uLlVTRC5IAQAAAN62AQACAAAABDkxNzQBCAAAAAUAAAABMQEAAAALLTE5NTgyODEwOTcDAAAAAzE2MAIAAAAGMTAwNjg5BAAAAAEwBwAAAAg0LzEvMjAyNQgAAAAKMTIvMzEvMjAyNAkAAAABMOI97mPBc90ISAHMlMRz3QgrQ0lRLk5ZU0U6SUJNLklRX0VCSVRBLjIwMDAuNC8xLzIwMjUuLi5VU0QuSAEAAADetgEAAgAAAAQ5MTc0AQgAAAAFAAAAATEBAAAACy0xOTU4MjgwNjE1AwAAAAMxNjACAAAABjEwMDY4OQQAAAABMAcAAAAINC8xLzIwMjUIAAAACjEyLzMxLzIwMjQJAAAAATDiPe5jwXPdCP32vpTEc90IMUNJUS5OWVNFOklCTS5J</t>
  </si>
  <si>
    <t>UV9FQklUQV9FUV9JTkMuOTkwLjQvMS8yMDI1Li4uVVNELkgBAAAA3rYBAAIAAAAFMjE0NzYBCAAAAAUAAAABMQEAAAAKMTgyOTkxMTk2OAMAAAADMTYwAgAAAAUyMTY3NgQAAAABMAcAAAAINC8xLzIwMjUIAAAACjEyLzMxLzIwMTQJAAAAATDiPe5jwXPdCEgBzJTEc90IMUNJUS5OWVNFOklCTS5JUV9FQklUQV9FUV9JTkMuOTkxLjQvMS8yMDI1Li4uVVNELkgBAAAA3rYBAAIAAAAFMTc3MTABCAAAAAUAAAABMQEAAAAKMTg3NjQzMjg3MgMAAAADMTYwAgAAAAUyMTY3NgQAAAABMAcAAAAINC8xLzIwMjUIAAAACjEyLzMxLzIwMTUJAAAAATDiPe5jwXPdCEgBzJTEc90IMUNJUS5OWVNFOklCTS5JUV9FQklUQV9FUV9JTkMuOTkyLjQvMS8yMDI1Li4uVVNELkgBAAAA3rYBAAIAAAAFMTU3MTQBCAAAAAUAAAABMQEAAAAKMTk0NzE3OTU4MwMAAAADMTYwAgAAAAUyMTY3NgQAAAABMAcAAAAINC8xLzIwMjUIAAAACjEyLzMxLzIwMTYJAAAAATDiPe5jwXPdCEgBzJTEc90IKkNJUS5OWVNFOklCTS5JUV9FQklUQS45OTUuNC8xLzIwMjUuLi5VU0QuSAEAAADetgEAAgAAAAQ5Mzg5AQgAAAAFAAAAATEBAAAACy0yMTEwNzY5MzU1AwAAAAMxNjACAAAABjEwMDY4OQQAAAABMAcAAAAINC8xLzIwMjUIAAAACjEyLzMxLzIwMTkJAAAAATDiPe5jwXPdCEgBzJTEc90IKkNJUS5OWVNFOklCTS5JUV9FQklUQS45OTYuNC8x</t>
  </si>
  <si>
    <t>LzIwMjUuLi5VU0QuSAEAAADetgEAAgAAAAQ3MTMwAQgAAAAFAAAAATEBAAAACy0yMDU5MDczMjAyAwAAAAMxNjACAAAABjEwMDY4OQQAAAABMAcAAAAINC8xLzIwMjUIAAAACjEyLzMxLzIwMjAJAAAAATDiPe5jwXPdCEgBzJTEc90IKkNJUS5OWVNFOklCTS5JUV9FQklUQS45OTcuNC8xLzIwMjUuLi5VU0QuSAEAAADetgEAAgAAAAQ4MTEyAQgAAAAFAAAAATEBAAAACy0yMDA4NjQ3MTk4AwAAAAMxNjACAAAABjEwMDY4OQQAAAABMAcAAAAINC8xLzIwMjUIAAAACjEyLzMxLzIwMjEJAAAAATDiPe5jwXPdCEgBzJTEc90IKkNJUS5OWVNFOklCTS5JUV9FQklUQS45OTguNC8xLzIwMjUuLi5VU0QuSAEAAADetgEAAgAAAAQ0MDIyAQgAAAAFAAAAATEBAAAACy0xOTU4MjgxMDk2AwAAAAMxNjACAAAABjEwMDY4OQQAAAABMAcAAAAINC8xLzIwMjUIAAAACjEyLzMxLzIwMjIJAAAAATDiPe5jwXPdCEgBzJTEc90IKkNJUS5OWVNFOklCTS5JUV9FQklUQS45OTkuNC8xLzIwMjUuLi5VU0QuSAEAAADetgEAAgAAAAUxMjE5MAEIAAAABQAAAAExAQAAAAstMTk1ODI4MTA5NQMAAAADMTYwAgAAAAYxMDA2ODkEAAAAATAHAAAACDQvMS8yMDI1CAAAAAoxMi8zMS8yMDIzCQAAAAEw4j3uY8Fz3QhuxcOUxHPdCCpDSVEuTllTRTpJQk0uSVFfRUJJVEEuOTkwLjQvMS8yMDI1Li4uVVNELkgBAAAA3rYBAAIAAAAFMjE0NzYB</t>
  </si>
  <si>
    <t>CAAAAAUAAAABMQEAAAAKMTgyOTkxMTk2OAMAAAADMTYwAgAAAAYxMDA2ODkEAAAAATAHAAAACDQvMS8yMDI1CAAAAAoxMi8zMS8yMDE0CQAAAAEw4j3uY8Fz3QhIAcyUxHPdCCpDSVEuTllTRTpJQk0uSVFfRUJJVEEuOTkxLjQvMS8yMDI1Li4uVVNELkgBAAAA3rYBAAIAAAAFMTc3MTABCAAAAAUAAAABMQEAAAAKMTg3NjQzMjg3MgMAAAADMTYwAgAAAAYxMDA2ODkEAAAAATAHAAAACDQvMS8yMDI1CAAAAAoxMi8zMS8yMDE1CQAAAAEw4j3uY8Fz3QhIAcyUxHPdCCpDSVEuTllTRTpJQk0uSVFfRUJJVEEuOTkyLjQvMS8yMDI1Li4uVVNELkgBAAAA3rYBAAIAAAAFMTU3MTQBCAAAAAUAAAABMQEAAAAKMTk0NzE3OTU4MwMAAAADMTYwAgAAAAYxMDA2ODkEAAAAATAHAAAACDQvMS8yMDI1CAAAAAoxMi8zMS8yMDE2CQAAAAEw4j3uY8Fz3QhIAcyUxHPdCCpDSVEuTllTRTpJQk0uSVFfRUJJVEEuOTkzLjQvMS8yMDI1Li4uVVNELkgBAAAA3rYBAAIAAAAFMTMyMDIBCAAAAAUAAAABMQEAAAAKMjAxNzE2NDI0NAMAAAADMTYwAgAAAAYxMDA2ODkEAAAAATAHAAAACDQvMS8yMDI1CAAAAAoxMi8zMS8yMDE3CQAAAAEw4j3uY8Fz3QhIAcyUxHPdCCpDSVEuTllTRTpJQk0uSVFfRUJJVEEuOTk0LjQvMS8yMDI1Li4uVVNELkgBAAAA3rYBAAIAAAAFMTQ1NzEBCAAAAAUAAAABMQEAAAAKMjA4MTUwNTQwMQMAAAADMTYw</t>
  </si>
  <si>
    <t>AgAAAAYxMDA2ODkEAAAAATAHAAAACDQvMS8yMDI1CAAAAAoxMi8zMS8yMDE4CQAAAAEw4j3uY8Fz3QhIAcyUxHPdCDJDSVEuTllTRTpJQk0uSVFfRUJJVF9FWENMX1NCQy45OTcuNC8xLzIwMjUuLi5VU0QuSAEAAADetgEAAgAAAAQ2NTY1AQgAAAAFAAAAATEBAAAACy0yMDA4NjQ3MTk4AwAAAAMxNjACAAAABTI0MTM0BAAAAAEwBwAAAAg0LzEvMjAyNQgAAAAKMTIvMzEvMjAyMQkAAAABMOI97mPBc90ISAHMlMRz3QgyQ0lRLk5ZU0U6SUJNLklRX0VCSVRfRVhDTF9TQkMuOTk4LjQvMS8yMDI1Li4uVVNELkgBAAAA3rYBAAIAAAAEMjYxNQEIAAAABQAAAAExAQAAAAstMTk1ODI4MTA5NgMAAAADMTYwAgAAAAUyNDEzNAQAAAABMAcAAAAINC8xLzIwMjUIAAAACjEyLzMxLzIwMjIJAAAAATDiPe5jwXPdCEgBzJTEc90IMkNJUS5OWVNFOklCTS5JUV9FQklUX0VYQ0xfU0JDLjk5OS40LzEvMjAyNS4uLlVTRC5IAQAAAN62AQACAAAABTExMDM3AQgAAAAFAAAAATEBAAAACy0xOTU4MjgxMDk1AwAAAAMxNjACAAAABTI0MTM0BAAAAAEwBwAAAAg0LzEvMjAyNQgAAAAKMTIvMzEvMjAyMwkAAAABMOI97mPBc90IbsXDlMRz3QgzQ0lRLk5ZU0U6SUJNLklRX0VCSVRfRVhDTF9TQkMuMTAwMC40LzEvMjAyNS4uLlVTRC5IAQAAAN62AQACAAAABDc5ODYBCAAAAAUAAAABMQEAAAALLTE5NTgyODEwOTcDAAAAAzE2MAIA</t>
  </si>
  <si>
    <t>AAAFMjQxMzQEAAAAATAHAAAACDQvMS8yMDI1CAAAAAoxMi8zMS8yMDI0CQAAAAEw4j3uY8Fz3QhIAcyUxHPdCDNDSVEuTllTRTpJQk0uSVFfRUJJVF9FWENMX1NCQy4yMDAwLjQvMS8yMDI1Li4uVVNELkgBAAAA3rYBAAIAAAAENzk4NgEIAAAABQAAAAExAQAAAAstMTk1ODI4MDYxNQMAAAADMTYwAgAAAAUyNDEzNAQAAAABMAcAAAAINC8xLzIwMjUIAAAACjEyLzMxLzIwMjQJAAAAATDiPe5jwXPdCP32vpTEc90IMkNJUS5OWVNFOklCTS5JUV9FQklUX0VYQ0xfU0JDLjk5Mi40LzEvMjAyNS4uLlVTRC5IAQAAAN62AQACAAAABTE0NzE0AQgAAAAFAAAAATEBAAAACjE5NDcxNzk1ODMDAAAAAzE2MAIAAAAFMjQxMzQEAAAAATAHAAAACDQvMS8yMDI1CAAAAAoxMi8zMS8yMDE2CQAAAAEw4j3uY8Fz3QhIAcyUxHPdCDJDSVEuTllTRTpJQk0uSVFfRUJJVF9FWENMX1NCQy45OTMuNC8xLzIwMjUuLi5VU0QuSAEAAADetgEAAgAAAAUxMjIxNgEIAAAABQAAAAExAQAAAAoyMDE3MTY0MjQ0AwAAAAMxNjACAAAABTI0MTM0BAAAAAEwBwAAAAg0LzEvMjAyNQgAAAAKMTIvMzEvMjAxNwkAAAABMOI97mPBc90ISAHMlMRz3QgyQ0lRLk5ZU0U6SUJNLklRX0VCSVRfRVhDTF9TQkMuOTk0LjQvMS8yMDI1Li4uVVNELkgBAAAA3rYBAAIAAAAFMTM3MjgBCAAAAAUAAAABMQEAAAAKMjA4MTUwNTQwMQMAAAADMTYwAgAAAAUy</t>
  </si>
  <si>
    <t>NDEzNAQAAAABMAcAAAAINC8xLzIwMjUIAAAACjEyLzMxLzIwMTgJAAAAATDiPe5jwXPdCEgBzJTEc90IMkNJUS5OWVNFOklCTS5JUV9FQklUX0VYQ0xfU0JDLjk5NS40LzEvMjAyNS4uLlVTRC5IAQAAAN62AQACAAAABDgyMTgBCAAAAAUAAAABMQEAAAALLTIxMTA3NjkzNTUDAAAAAzE2MAIAAAAFMjQxMzQEAAAAATAHAAAACDQvMS8yMDI1CAAAAAoxMi8zMS8yMDE5CQAAAAEw4j3uY8Fz3QhIAcyUxHPdCDJDSVEuTllTRTpJQk0uSVFfRUJJVF9FWENMX1NCQy45OTYuNC8xLzIwMjUuLi5VU0QuSAEAAADetgEAAgAAAAQ1NTk5AQgAAAAFAAAAATEBAAAACy0yMDU5MDczMjAyAwAAAAMxNjACAAAABTI0MTM0BAAAAAEwBwAAAAg0LzEvMjAyNQgAAAAKMTIvMzEvMjAyMAkAAAABMOI97mPBc90ISAHMlMRz3Qg5Q0lRLk5ZU0U6SUJNLklRX0VCSVRfRVFfSU5DX0VYQ0xfU0JDLjk5OS40LzEvMjAyNS4uLlVTRC5IAQAAAN62AQACAAAABTExMDM3AQgAAAAFAAAAATEBAAAACy0xOTU4MjgxMDk1AwAAAAMxNjACAAAABTI0MTMwBAAAAAEwBwAAAAg0LzEvMjAyNQgAAAAKMTIvMzEvMjAyMwkAAAABMOI97mPBc90IbsXDlMRz3Qg6Q0lRLk5ZU0U6SUJNLklRX0VCSVRfRVFfSU5DX0VYQ0xfU0JDLjEwMDAuNC8xLzIwMjUuLi5VU0QuSAEAAADetgEAAgAAAAQ3OTg2AQgAAAAFAAAAATEBAAAACy0xOTU4MjgxMDk3AwAA</t>
  </si>
  <si>
    <t>AAMxNjACAAAABTI0MTMwBAAAAAEwBwAAAAg0LzEvMjAyNQgAAAAKMTIvMzEvMjAyNAkAAAABMOI97mPBc90ISAHMlMRz3Qg6Q0lRLk5ZU0U6SUJNLklRX0VCSVRfRVFfSU5DX0VYQ0xfU0JDLjIwMDAuNC8xLzIwMjUuLi5VU0QuSAEAAADetgEAAgAAAAQ3OTg2AQgAAAAFAAAAATEBAAAACy0xOTU4MjgwNjE1AwAAAAMxNjACAAAABTI0MTMwBAAAAAEwBwAAAAg0LzEvMjAyNQgAAAAKMTIvMzEvMjAyNAkAAAABMOI97mPBc90I/fa+lMRz3QgyQ0lRLk5ZU0U6SUJNLklRX0VCSVRfRVhDTF9TQkMuOTkwLjQvMS8yMDI1Li4uVVNELkgBAAAA3rYBAAIAAAAFMjA2NDEBCAAAAAUAAAABMQEAAAAKMTgyOTkxMTk2OAMAAAADMTYwAgAAAAUyNDEzNAQAAAABMAcAAAAINC8xLzIwMjUIAAAACjEyLzMxLzIwMTQJAAAAATDiPe5jwXPdCEgBzJTEc90IMkNJUS5OWVNFOklCTS5JUV9FQklUX0VYQ0xfU0JDLjk5MS40LzEvMjAyNS4uLlVTRC5IAQAAAN62AQACAAAABTE2OTg1AQgAAAAFAAAAATEBAAAACjE4NzY0MzI4NzIDAAAAAzE2MAIAAAAFMjQxMzQEAAAAATAHAAAACDQvMS8yMDI1CAAAAAoxMi8zMS8yMDE1CQAAAAEw4j3uY8Fz3QhIAcyUxHPdCDlDSVEuTllTRTpJQk0uSVFfRUJJVF9FUV9JTkNfRVhDTF9TQkMuOTk0LjQvMS8yMDI1Li4uVVNELkgBAAAA3rYBAAIAAAAFMTM3MjgBCAAAAAUAAAABMQEAAAAKMjA4</t>
  </si>
  <si>
    <t>MTUwNTQwMQMAAAADMTYwAgAAAAUyNDEzMAQAAAABMAcAAAAINC8xLzIwMjUIAAAACjEyLzMxLzIwMTgJAAAAATDiPe5jwXPdCEgBzJTEc90IOUNJUS5OWVNFOklCTS5JUV9FQklUX0VRX0lOQ19FWENMX1NCQy45OTUuNC8xLzIwMjUuLi5VU0QuSAEAAADetgEAAgAAAAQ4MjE4AQgAAAAFAAAAATEBAAAACy0yMTEwNzY5MzU1AwAAAAMxNjACAAAABTI0MTMwBAAAAAEwBwAAAAg0LzEvMjAyNQgAAAAKMTIvMzEvMjAxOQkAAAABMOI97mPBc90ISAHMlMRz3Qg5Q0lRLk5ZU0U6SUJNLklRX0VCSVRfRVFfSU5DX0VYQ0xfU0JDLjk5Ni40LzEvMjAyNS4uLlVTRC5IAQAAAN62AQACAAAABDU1OTkBCAAAAAUAAAABMQEAAAALLTIwNTkwNzMyMDIDAAAAAzE2MAIAAAAFMjQxMzAEAAAAATAHAAAACDQvMS8yMDI1CAAAAAoxMi8zMS8yMDIwCQAAAAEw4j3uY8Fz3QhIAcyUxHPdCDlDSVEuTllTRTpJQk0uSVFfRUJJVF9FUV9JTkNfRVhDTF9TQkMuOTk3LjQvMS8yMDI1Li4uVVNELkgBAAAA3rYBAAIAAAAENjU2NQEIAAAABQAAAAExAQAAAAstMjAwODY0NzE5OAMAAAADMTYwAgAAAAUyNDEzMAQAAAABMAcAAAAINC8xLzIwMjUIAAAACjEyLzMxLzIwMjEJAAAAATDiPe5jwXPdCEgBzJTEc90IOUNJUS5OWVNFOklCTS5JUV9FQklUX0VRX0lOQ19FWENMX1NCQy45OTguNC8xLzIwMjUuLi5VU0QuSAEAAADetgEAAgAAAAQy</t>
  </si>
  <si>
    <t>NjE1AQgAAAAFAAAAATEBAAAACy0xOTU4MjgxMDk2AwAAAAMxNjACAAAABTI0MTMwBAAAAAEwBwAAAAg0LzEvMjAyNQgAAAAKMTIvMzEvMjAyMgkAAAABMOI97mPBc90ISAHMlMRz3QgxQ0lRLk5ZU0U6SUJNLklRX0VCSVRfRVFfSU5DLjIwMDAuNC8xLzIwMjUuLi5VU0QuSAEAAADetgEAAgAAAAQ2Njc1AQgAAAAFAAAAATEBAAAACy0xOTU4MjgwNjE1AwAAAAMxNjACAAAABTIxNjc1BAAAAAEwBwAAAAg0LzEvMjAyNQgAAAAKMTIvMzEvMjAyNAkAAAABMOqy7mPBc90I/fa+lMRz3Qg5Q0lRLk5ZU0U6SUJNLklRX0VCSVRfRVFfSU5DX0VYQ0xfU0JDLjk5MC40LzEvMjAyNS4uLlVTRC5IAQAAAN62AQACAAAABTIwNjQxAQgAAAAFAAAAATEBAAAACjE4Mjk5MTE5NjgDAAAAAzE2MAIAAAAFMjQxMzAEAAAAATAHAAAACDQvMS8yMDI1CAAAAAoxMi8zMS8yMDE0CQAAAAEw6rLuY8Fz3QhIAcyUxHPdCDlDSVEuTllTRTpJQk0uSVFfRUJJVF9FUV9JTkNfRVhDTF9TQkMuOTkxLjQvMS8yMDI1Li4uVVNELkgBAAAA3rYBAAIAAAAFMTY5ODUBCAAAAAUAAAABMQEAAAAKMTg3NjQzMjg3MgMAAAADMTYwAgAAAAUyNDEzMAQAAAABMAcAAAAINC8xLzIwMjUIAAAACjEyLzMxLzIwMTUJAAAAATDqsu5jwXPdCEgBzJTEc90IOUNJUS5OWVNFOklCTS5JUV9FQklUX0VRX0lOQ19FWENMX1NCQy45OTIuNC8xLzIwMjUuLi5VU0Qu</t>
  </si>
  <si>
    <t>SAEAAADetgEAAgAAAAUxNDcxNAEIAAAABQAAAAExAQAAAAoxOTQ3MTc5NTgzAwAAAAMxNjACAAAABTI0MTMwBAAAAAEwBwAAAAg0LzEvMjAyNQgAAAAKMTIvMzEvMjAxNgkAAAABMOqy7mPBc90ISAHMlMRz3Qg5Q0lRLk5ZU0U6SUJNLklRX0VCSVRfRVFfSU5DX0VYQ0xfU0JDLjk5My40LzEvMjAyNS4uLlVTRC5IAQAAAN62AQACAAAABTEyMjE2AQgAAAAFAAAAATEBAAAACjIwMTcxNjQyNDQDAAAAAzE2MAIAAAAFMjQxMzAEAAAAATAHAAAACDQvMS8yMDI1CAAAAAoxMi8zMS8yMDE3CQAAAAEw6rLuY8Fz3QhIAcyUxHPdCDBDSVEuTllTRTpJQk0uSVFfRUJJVF9FUV9JTkMuOTk2LjQvMS8yMDI1Li4uVVNELkgBAAAA3rYBAAIAAAAENDY2MgEIAAAABQAAAAExAQAAAAstMjA1OTA3MzIwMgMAAAADMTYwAgAAAAUyMTY3NQQAAAABMAcAAAAINC8xLzIwMjUIAAAACjEyLzMxLzIwMjAJAAAAATDqsu5jwXPdCEgBzJTEc90IMENJUS5OWVNFOklCTS5JUV9FQklUX0VRX0lOQy45OTcuNC8xLzIwMjUuLi5VU0QuSAEAAADetgEAAgAAAAQ1NTgzAQgAAAAFAAAAATEBAAAACy0yMDA4NjQ3MTk4AwAAAAMxNjACAAAABTIxNjc1BAAAAAEwBwAAAAg0LzEvMjAyNQgAAAAKMTIvMzEvMjAyMQkAAAABMOqy7mPBc90ISAHMlMRz3QgwQ0lRLk5ZU0U6SUJNLklRX0VCSVRfRVFfSU5DLjk5OC40LzEvMjAyNS4uLlVTRC5IAQAA</t>
  </si>
  <si>
    <t>AN62AQACAAAABDE2MjcBCAAAAAUAAAABMQEAAAALLTE5NTgyODEwOTYDAAAAAzE2MAIAAAAFMjE2NzUEAAAAATAHAAAACDQvMS8yMDI1CAAAAAoxMi8zMS8yMDIyCQAAAAEw6rLuY8Fz3QhIAcyUxHPdCDBDSVEuTllTRTpJQk0uSVFfRUJJVF9FUV9JTkMuOTk5LjQvMS8yMDI1Li4uVVNELkgBAAAA3rYBAAIAAAAEOTkwMwEIAAAABQAAAAExAQAAAAstMTk1ODI4MTA5NQMAAAADMTYwAgAAAAUyMTY3NQQAAAABMAcAAAAINC8xLzIwMjUIAAAACjEyLzMxLzIwMjMJAAAAATDqsu5jwXPdCH7gw5TEc90IMUNJUS5OWVNFOklCTS5JUV9FQklUX0VRX0lOQy4xMDAwLjQvMS8yMDI1Li4uVVNELkgBAAAA3rYBAAIAAAAENjY3NQEIAAAABQAAAAExAQAAAAstMTk1ODI4MTA5NwMAAAADMTYwAgAAAAUyMTY3NQQAAAABMAcAAAAINC8xLzIwMjUIAAAACjEyLzMxLzIwMjQJAAAAATDqsu5jwXPdCEgBzJTEc90IMENJUS5OWVNFOklCTS5JUV9FQklUX0VRX0lOQy45OTEuNC8xLzIwMjUuLi5VU0QuSAEAAADetgEAAgAAAAUxNjUxNwEIAAAABQAAAAExAQAAAAoxODc2NDMyODcyAwAAAAMxNjACAAAABTIxNjc1BAAAAAEwBwAAAAg0LzEvMjAyNQgAAAAKMTIvMzEvMjAxNQkAAAABMOqy7mPBc90ISAHMlMRz3QgwQ0lRLk5ZU0U6SUJNLklRX0VCSVRfRVFfSU5DLjk5Mi40LzEvMjAyNS4uLlVTRC5IAQAAAN62AQACAAAABTE0</t>
  </si>
  <si>
    <t>MTcwAQgAAAAFAAAAATEBAAAACjE5NDcxNzk1ODMDAAAAAzE2MAIAAAAFMjE2NzUEAAAAATAHAAAACDQvMS8yMDI1CAAAAAoxMi8zMS8yMDE2CQAAAAEw6rLuY8Fz3QhIAcyUxHPdCDBDSVEuTllTRTpJQk0uSVFfRUJJVF9FUV9JTkMuOTkzLjQvMS8yMDI1Li4uVVNELkgBAAAA3rYBAAIAAAAFMTE2ODIBCAAAAAUAAAABMQEAAAAKMjAxNzE2NDI0NAMAAAADMTYwAgAAAAUyMTY3NQQAAAABMAcAAAAINC8xLzIwMjUIAAAACjEyLzMxLzIwMTcJAAAAATDqsu5jwXPdCEgBzJTEc90IMENJUS5OWVNFOklCTS5JUV9FQklUX0VRX0lOQy45OTQuNC8xLzIwMjUuLi5VU0QuSAEAAADetgEAAgAAAAUxMzIxOAEIAAAABQAAAAExAQAAAAoyMDgxNTA1NDAxAwAAAAMxNjACAAAABTIxNjc1BAAAAAEwBwAAAAg0LzEvMjAyNQgAAAAKMTIvMzEvMjAxOAkAAAABMOqy7mPBc90ISAHMlMRz3QgwQ0lRLk5ZU0U6SUJNLklRX0VCSVRfRVFfSU5DLjk5NS40LzEvMjAyNS4uLlVTRC5IAQAAAN62AQACAAAABDc1MzkBCAAAAAUAAAABMQEAAAALLTIxMTA3NjkzNTUDAAAAAzE2MAIAAAAFMjE2NzUEAAAAATAHAAAACDQvMS8yMDI1CAAAAAoxMi8zMS8yMDE5CQAAAAEw6rLuY8Fz3QhIAcyUxHPdCClDSVEuTllTRTpJQk0uSVFfRUJJVC45OTguNC8xLzIwMjUuLi5VU0QuSAEAAADetgEAAgAAAAQxNjI3AQgAAAAFAAAAATEBAAAACy0x</t>
  </si>
  <si>
    <t>OTU4MjgxMDk2AwAAAAMxNjACAAAAAzQwMAQAAAABMAcAAAAINC8xLzIwMjUIAAAACjEyLzMxLzIwMjIJAAAAATDqsu5jwXPdCEgBzJTEc90IKUNJUS5OWVNFOklCTS5JUV9FQklULjk5OS40LzEvMjAyNS4uLlVTRC5IAQAAAN62AQACAAAABDk5MDMBCAAAAAUAAAABMQEAAAALLTE5NTgyODEwOTUDAAAAAzE2MAIAAAADNDAwBAAAAAEwBwAAAAg0LzEvMjAyNQgAAAAKMTIvMzEvMjAyMwkAAAABMOqy7mPBc90IfuDDlMRz3QgqQ0lRLk5ZU0U6SUJNLklRX0VCSVQuMTAwMC40LzEvMjAyNS4uLlVTRC5IAQAAAN62AQACAAAABDY2NzUBCAAAAAUAAAABMQEAAAALLTE5NTgyODEwOTcDAAAAAzE2MAIAAAADNDAwBAAAAAEwBwAAAAg0LzEvMjAyNQgAAAAKMTIvMzEvMjAyNAkAAAABMOqy7mPBc90I1bLLlMRz3QgqQ0lRLk5ZU0U6SUJNLklRX0VCSVQuMjAwMC40LzEvMjAyNS4uLlVTRC5IAQAAAN62AQACAAAABDY2NzUBCAAAAAUAAAABMQEAAAALLTE5NTgyODA2MTUDAAAAAzE2MAIAAAADNDAwBAAAAAEwBwAAAAg0LzEvMjAyNQgAAAAKMTIvMzEvMjAyNAkAAAABMOqy7mPBc90I/fa+lMRz3QgwQ0lRLk5ZU0U6SUJNLklRX0VCSVRfRVFfSU5DLjk5MC40LzEvMjAyNS4uLlVTRC5IAQAAAN62AQACAAAABTIwMTI5AQgAAAAFAAAAATEBAAAACjE4Mjk5MTE5NjgDAAAAAzE2MAIAAAAFMjE2NzUEAAAAATAHAAAACDQv</t>
  </si>
  <si>
    <t>MS8yMDI1CAAAAAoxMi8zMS8yMDE0CQAAAAEw6rLuY8Fz3QjVssuUxHPdCClDSVEuTllTRTpJQk0uSVFfRUJJVC45OTMuNC8xLzIwMjUuLi5VU0QuSAEAAADetgEAAgAAAAUxMTY4MgEIAAAABQAAAAExAQAAAAoyMDE3MTY0MjQ0AwAAAAMxNjACAAAAAzQwMAQAAAABMAcAAAAINC8xLzIwMjUIAAAACjEyLzMxLzIwMTcJAAAAATDqsu5jwXPdCNWyy5TEc90IKUNJUS5OWVNFOklCTS5JUV9FQklULjk5NC40LzEvMjAyNS4uLlVTRC5IAQAAAN62AQACAAAABTEzMjE4AQgAAAAFAAAAATEBAAAACjIwODE1MDU0MDEDAAAAAzE2MAIAAAADNDAwBAAAAAEwBwAAAAg0LzEvMjAyNQgAAAAKMTIvMzEvMjAxOAkAAAABMOqy7mPBc90ISAHMlMRz3QgpQ0lRLk5ZU0U6SUJNLklRX0VCSVQuOTk1LjQvMS8yMDI1Li4uVVNELkgBAAAA3rYBAAIAAAAENzUzOQEIAAAABQAAAAExAQAAAAstMjExMDc2OTM1NQMAAAADMTYwAgAAAAM0MDAEAAAAATAHAAAACDQvMS8yMDI1CAAAAAoxMi8zMS8yMDE5CQAAAAEw6rLuY8Fz3QjVssuUxHPdCClDSVEuTllTRTpJQk0uSVFfRUJJVC45OTYuNC8xLzIwMjUuLi5VU0QuSAEAAADetgEAAgAAAAQ0NjYyAQgAAAAFAAAAATEBAAAACy0yMDU5MDczMjAyAwAAAAMxNjACAAAAAzQwMAQAAAABMAcAAAAINC8xLzIwMjUIAAAACjEyLzMxLzIwMjAJAAAAATDqsu5jwXPdCNWyy5TEc90IKUNJUS5O</t>
  </si>
  <si>
    <t>WVNFOklCTS5JUV9FQklULjk5Ny40LzEvMjAyNS4uLlVTRC5IAQAAAN62AQACAAAABDU1ODMBCAAAAAUAAAABMQEAAAALLTIwMDg2NDcxOTgDAAAAAzE2MAIAAAADNDAwBAAAAAEwBwAAAAg0LzEvMjAyNQgAAAAKMTIvMzEvMjAyMQkAAAABMOqy7mPBc90I1bLLlMRz3QhHQ0lRLk5ZU0U6SUJNLklRX0VCSVREQV9FUV9JTkNfRVhDTF9PUEVSX0xFQVNFX0FESi4xMDAwLjQvMS8yMDI1Li4uVVNELkgBAAAA3rYBAAIAAAAFMTA0NDIBCAAAAAUAAAABMQEAAAALLTE5NTgyODEwOTcDAAAAAzE2MAIAAAAFNDg5ODcEAAAAATAHAAAACDQvMS8yMDI1CAAAAAoxMi8zMS8yMDI0CQAAAAEw6rLuY8Fz3QjVssuUxHPdCEdDSVEuTllTRTpJQk0uSVFfRUJJVERBX0VRX0lOQ19FWENMX09QRVJfTEVBU0VfQURKLjIwMDAuNC8xLzIwMjUuLi5VU0QuSAEAAADetgEAAgAAAAUxMDQ0MgEIAAAABQAAAAExAQAAAAstMTk1ODI4MDYxNQMAAAADMTYwAgAAAAU0ODk4NwQAAAABMAcAAAAINC8xLzIwMjUIAAAACjEyLzMxLzIwMjQJAAAAATDqsu5jwXPdCP32vpTEc90IKUNJUS5OWVNFOklCTS5JUV9FQklULjk5MC40LzEvMjAyNS4uLlVTRC5IAQAAAN62AQACAAAABTIwMTI5AQgAAAAFAAAAATEBAAAACjE4Mjk5MTE5NjgDAAAAAzE2MAIAAAADNDAwBAAAAAEwBwAAAAg0LzEvMjAyNQgAAAAKMTIvMzEvMjAxNAkAAAABMOqy7mPB</t>
  </si>
  <si>
    <t>c90I1bLLlMRz3QgpQ0lRLk5ZU0U6SUJNLklRX0VCSVQuOTkxLjQvMS8yMDI1Li4uVVNELkgBAAAA3rYBAAIAAAAFMTY1MTcBCAAAAAUAAAABMQEAAAAKMTg3NjQzMjg3MgMAAAADMTYwAgAAAAM0MDAEAAAAATAHAAAACDQvMS8yMDI1CAAAAAoxMi8zMS8yMDE1CQAAAAEw6rLuY8Fz3QjVssuUxHPdCClDSVEuTllTRTpJQk0uSVFfRUJJVC45OTIuNC8xLzIwMjUuLi5VU0QuSAEAAADetgEAAgAAAAUxNDE3MAEIAAAABQAAAAExAQAAAAoxOTQ3MTc5NTgzAwAAAAMxNjACAAAAAzQwMAQAAAABMAcAAAAINC8xLzIwMjUIAAAACjEyLzMxLzIwMTYJAAAAATDqsu5jwXPdCNWyy5TEc90IRkNJUS5OWVNFOklCTS5JUV9FQklUREFfRVFfSU5DX0VYQ0xfT1BFUl9MRUFTRV9BREouOTk1LjQvMS8yMDI1Li4uVVNELkgBAAAA3rYBAAIAAAAFMTM1OTgBCAAAAAUAAAABMQEAAAALLTIxMTA3NjkzNTUDAAAAAzE2MAIAAAAFNDg5ODcEAAAAATAHAAAACDQvMS8yMDI1CAAAAAoxMi8zMS8yMDE5CQAAAAEw6rLuY8Fz3QjVssuUxHPdCEZDSVEuTllTRTpJQk0uSVFfRUJJVERBX0VRX0lOQ19FWENMX09QRVJfTEVBU0VfQURKLjk5Ni40LzEvMjAyNS4uLlVTRC5IAQAAAN62AQACAAAABTExMzU3AQgAAAAFAAAAATEBAAAACy0yMDU5MDczMjAyAwAAAAMxNjACAAAABTQ4OTg3BAAAAAEwBwAAAAg0LzEvMjAyNQgAAAAKMTIvMzEv</t>
  </si>
  <si>
    <t>MjAyMAkAAAABMOqy7mPBc90I1bLLlMRz3QhGQ0lRLk5ZU0U6SUJNLklRX0VCSVREQV9FUV9JTkNfRVhDTF9PUEVSX0xFQVNFX0FESi45OTcuNC8xLzIwMjUuLi5VU0QuSAEAAADetgEAAgAAAAUxMjAwMAEIAAAABQAAAAExAQAAAAstMjAwODY0NzE5OAMAAAADMTYwAgAAAAU0ODk4NwQAAAABMAcAAAAINC8xLzIwMjUIAAAACjEyLzMxLzIwMjEJAAAAATDqsu5jwXPdCNWyy5TEc90IRkNJUS5OWVNFOklCTS5JUV9FQklUREFfRVFfSU5DX0VYQ0xfT1BFUl9MRUFTRV9BREouOTk4LjQvMS8yMDI1Li4uVVNELkgBAAAA3rYBAAIAAAAENTUyOQEIAAAABQAAAAExAQAAAAstMTk1ODI4MTA5NgMAAAADMTYwAgAAAAU0ODk4NwQAAAABMAcAAAAINC8xLzIwMjUIAAAACjEyLzMxLzIwMjIJAAAAATDqsu5jwXPdCNWyy5TEc90IRkNJUS5OWVNFOklCTS5JUV9FQklUREFfRVFfSU5DX0VYQ0xfT1BFUl9MRUFTRV9BREouOTk5LjQvMS8yMDI1Li4uVVNELkgBAAAA3rYBAAIAAAAFMTMzOTkBCAAAAAUAAAABMQEAAAALLTE5NTgyODEwOTUDAAAAAzE2MAIAAAAFNDg5ODcEAAAAATAHAAAACDQvMS8yMDI1CAAAAAoxMi8zMS8yMDIzCQAAAAEw6rLuY8Fz3Qh+4MOUxHPdCEZDSVEuTllTRTpJQk0uSVFfRUJJVERBX0VRX0lOQ19FWENMX09QRVJfTEVBU0VfQURKLjk5MC40LzEvMjAyNS4uLlVTRC5IAQAAAN62AQACAAAABTI0</t>
  </si>
  <si>
    <t>NjIxAQgAAAAFAAAAATEBAAAACjE4Mjk5MTE5NjgDAAAAAzE2MAIAAAAFNDg5ODcEAAAAATAHAAAACDQvMS8yMDI1CAAAAAoxMi8zMS8yMDE0CQAAAAEw6rLuY8Fz3Qi7asqUxHPdCEZDSVEuTllTRTpJQk0uSVFfRUJJVERBX0VRX0lOQ19FWENMX09QRVJfTEVBU0VfQURKLjk5MS40LzEvMjAyNS4uLlVTRC5IAQAAAN62AQACAAAABTIwMzcyAQgAAAAFAAAAATEBAAAACjE4NzY0MzI4NzIDAAAAAzE2MAIAAAAFNDg5ODcEAAAAATAHAAAACDQvMS8yMDI1CAAAAAoxMi8zMS8yMDE1CQAAAAEw6rLuY8Fz3Qi7asqUxHPdCEZDSVEuTllTRTpJQk0uSVFfRUJJVERBX0VRX0lOQ19FWENMX09QRVJfTEVBU0VfQURKLjk5Mi40LzEvMjAyNS4uLlVTRC5IAQAAAN62AQACAAAABTE4NTUxAQgAAAAFAAAAATEBAAAACjE5NDcxNzk1ODMDAAAAAzE2MAIAAAAFNDg5ODcEAAAAATAHAAAACDQvMS8yMDI1CAAAAAoxMi8zMS8yMDE2CQAAAAEw6rLuY8Fz3Qi7asqUxHPdCEZDSVEuTllTRTpJQk0uSVFfRUJJVERBX0VRX0lOQ19FWENMX09QRVJfTEVBU0VfQURKLjk5My40LzEvMjAyNS4uLlVTRC5IAQAAAN62AQACAAAABTE2MjIzAQgAAAAFAAAAATEBAAAACjIwMTcxNjQyNDQDAAAAAzE2MAIAAAAFNDg5ODcEAAAAATAHAAAACDQvMS8yMDI1CAAAAAoxMi8zMS8yMDE3CQAAAAEw6rLuY8Fz3Qi7asqUxHPdCEZDSVEuTllTRTpJ</t>
  </si>
  <si>
    <t>Qk0uSVFfRUJJVERBX0VRX0lOQ19FWENMX09QRVJfTEVBU0VfQURKLjk5NC40LzEvMjAyNS4uLlVTRC5IAQAAAN62AQACAAAABTE3Njk4AQgAAAAFAAAAATEBAAAACjIwODE1MDU0MDEDAAAAAzE2MAIAAAAFNDg5ODcEAAAAATAHAAAACDQvMS8yMDI1CAAAAAoxMi8zMS8yMDE4CQAAAAEw6rLuY8Fz3QjVssuUxHPdCDxDSVEuTllTRTpJQk0uSVFfTEVBU0VfQURKVVNUTUVOVF9FQklUREEuOTk3LjQvMS8yMDI1Li4uVVNELkgBAAAA3rYBAAIAAAAEMTQzNwDqsu5jwXPdCLtqypTEc90IPENJUS5OWVNFOklCTS5JUV9MRUFTRV9BREpVU1RNRU5UX0VCSVREQS45OTguNC8xLzIwMjUuLi5VU0QuSAEAAADetgEAAgAAAAQxMjQ3AOqy7mPBc90Iu2rKlMRz3Qg8Q0lRLk5ZU0U6SUJNLklRX0xFQVNFX0FESlVTVE1FTlRfRUJJVERBLjk5OS40LzEvMjAyNS4uLlVTRC5IAQAAAN62AQACAAAABDEyOTIA6rLuY8Fz3QhuxcOUxHPdCD1DSVEuTllTRTpJQk0uSVFfTEVBU0VfQURKVVNUTUVOVF9FQklUREEuMTAwMC40LzEvMjAyNS4uLlVTRC5IAQAAAN62AQACAAAABDEzMDkA6rLuY8Fz3Qi7asqUxHPdCD1DSVEuTllTRTpJQk0uSVFfTEVBU0VfQURKVVNUTUVOVF9FQklUREEuMjAwMC40LzEvMjAyNS4uLlVTRC5IAQAAAN62AQACAAAABDEzMDkA6rLuY8Fz3Qj99r6UxHPdCDxDSVEuTllTRTpJQk0uSVFfTEVBU0VfQURK</t>
  </si>
  <si>
    <t>VVNUTUVOVF9FQklUREEuOTkyLjQvMS8yMDI1Li4uVVNELkgBAAAA3rYBAAMAAAAAAOqy7mPBc90Iu2rKlMRz3Qg8Q0lRLk5ZU0U6SUJNLklRX0xFQVNFX0FESlVTVE1FTlRfRUJJVERBLjk5My40LzEvMjAyNS4uLlVTRC5IAQAAAN62AQADAAAAAADqsu5jwXPdCLtqypTEc90IPENJUS5OWVNFOklCTS5JUV9MRUFTRV9BREpVU1RNRU5UX0VCSVREQS45OTQuNC8xLzIwMjUuLi5VU0QuSAEAAADetgEAAwAAAAAA6rLuY8Fz3Qi7asqUxHPdCDxDSVEuTllTRTpJQk0uSVFfTEVBU0VfQURKVVNUTUVOVF9FQklUREEuOTk1LjQvMS8yMDI1Li4uVVNELkgBAAAA3rYBAAIAAAAEMTYyMwDqsu5jwXPdCLtqypTEc90IPENJUS5OWVNFOklCTS5JUV9MRUFTRV9BREpVU1RNRU5UX0VCSVREQS45OTYuNC8xLzIwMjUuLi5VU0QuSAEAAADetgEAAgAAAAQxNTI0AOqy7mPBc90Iu2rKlMRz3Qg6Q0lRLk5ZU0U6SUJNLklRX0VCSVREQV9MRUFTRV9BREpVU1RFRC45OTkuNC8xLzIwMjUuLi5VU0QuSAEAAADetgEAAgAAAAUxNDY5MQEIAAAABQAAAAExAQAAAAstMTk1ODI4MTA5NQMAAAADMTYwAgAAAAU0ODk5MwQAAAABMAcAAAAINC8xLzIwMjUIAAAACjEyLzMxLzIwMjMJAAAAATDqsu5jwXPdCG7Fw5TEc90IO0NJUS5OWVNFOklCTS5JUV9FQklUREFfTEVBU0VfQURKVVNURUQuMTAwMC40LzEvMjAyNS4uLlVTRC5IAQAAAN62</t>
  </si>
  <si>
    <t>AQACAAAABTExNzUxAQgAAAAFAAAAATEBAAAACy0xOTU4MjgxMDk3AwAAAAMxNjACAAAABTQ4OTkzBAAAAAEwBwAAAAg0LzEvMjAyNQgAAAAKMTIvMzEvMjAyNAkAAAABMOqy7mPBc90Iu2rKlMRz3Qg7Q0lRLk5ZU0U6SUJNLklRX0VCSVREQV9MRUFTRV9BREpVU1RFRC4yMDAwLjQvMS8yMDI1Li4uVVNELkgBAAAA3rYBAAIAAAAFMTE3NTEBCAAAAAUAAAABMQEAAAALLTE5NTgyODA2MTUDAAAAAzE2MAIAAAAFNDg5OTMEAAAAATAHAAAACDQvMS8yMDI1CAAAAAoxMi8zMS8yMDI0CQAAAAEw6rLuY8Fz3Qj99r6UxHPdCDxDSVEuTllTRTpJQk0uSVFfTEVBU0VfQURKVVNUTUVOVF9FQklUREEuOTkwLjQvMS8yMDI1Li4uVVNELkgBAAAA3rYBAAMAAAAAAOqy7mPBc90Iu2rKlMRz3Qg8Q0lRLk5ZU0U6SUJNLklRX0xFQVNFX0FESlVTVE1FTlRfRUJJVERBLjk5MS40LzEvMjAyNS4uLlVTRC5IAQAAAN62AQADAAAAAADqsu5jwXPdCLtqypTEc90IOkNJUS5OWVNFOklCTS5JUV9FQklUREFfTEVBU0VfQURKVVNURUQuOTk0LjQvMS8yMDI1Li4uVVNELkgBAAAA3rYBAAIAAAAFMTc2OTgBCAAAAAUAAAABMQEAAAAKMjA4MTUwNTQwMQMAAAADMTYwAgAAAAU0ODk5MwQAAAABMAcAAAAINC8xLzIwMjUIAAAACjEyLzMxLzIwMTgJAAAAATDqsu5jwXPdCLtqypTEc90IOkNJUS5OWVNFOklCTS5JUV9FQklUREFfTEVBU0Vf</t>
  </si>
  <si>
    <t>QURKVVNURUQuOTk1LjQvMS8yMDI1Li4uVVNELkgBAAAA3rYBAAIAAAAFMTUyMjEBCAAAAAUAAAABMQEAAAALLTIxMTA3NjkzNTUDAAAAAzE2MAIAAAAFNDg5OTMEAAAAATAHAAAACDQvMS8yMDI1CAAAAAoxMi8zMS8yMDE5CQAAAAEw6rLuY8Fz3Qi7asqUxHPdCDpDSVEuTllTRTpJQk0uSVFfRUJJVERBX0xFQVNFX0FESlVTVEVELjk5Ni40LzEvMjAyNS4uLlVTRC5IAQAAAN62AQACAAAABTEyODgxAQgAAAAFAAAAATEBAAAACy0yMDU5MDczMjAyAwAAAAMxNjACAAAABTQ4OTkzBAAAAAEwBwAAAAg0LzEvMjAyNQgAAAAKMTIvMzEvMjAyMAkAAAABMOqy7mPBc90Iu2rKlMRz3Qg6Q0lRLk5ZU0U6SUJNLklRX0VCSVREQV9MRUFTRV9BREpVU1RFRC45OTcuNC8xLzIwMjUuLi5VU0QuSAEAAADetgEAAgAAAAUxMzQzNwEIAAAABQAAAAExAQAAAAstMjAwODY0NzE5OAMAAAADMTYwAgAAAAU0ODk5MwQAAAABMAcAAAAINC8xLzIwMjUIAAAACjEyLzMxLzIwMjEJAAAAATDqsu5jwXPdCLtqypTEc90IOkNJUS5OWVNFOklCTS5JUV9FQklUREFfTEVBU0VfQURKVVNURUQuOTk4LjQvMS8yMDI1Li4uVVNELkgBAAAA3rYBAAIAAAAENjc3NgEIAAAABQAAAAExAQAAAAstMTk1ODI4MTA5NgMAAAADMTYwAgAAAAU0ODk5MwQAAAABMAcAAAAINC8xLzIwMjUIAAAACjEyLzMxLzIwMjIJAAAAATDqsu5jwXPdCLtqypTEc90I</t>
  </si>
  <si>
    <t>NUNJUS5OWVNFOklCTS5JUV9FQklUREFfRVhDTF9TQkMuMjAwMC40LzEvMjAyNS4uLlVTRC5IAQAAAN62AQACAAAABTExNzUzAQgAAAAFAAAAATEBAAAACy0xOTU4MjgwNjE1AwAAAAMxNjACAAAABTI0MTM1BAAAAAEwBwAAAAg0LzEvMjAyNQgAAAAKMTIvMzEvMjAyNAkAAAABMOqy7mPBc90I/fa+lMRz3Qg6Q0lRLk5ZU0U6SUJNLklRX0VCSVREQV9MRUFTRV9BREpVU1RFRC45OTAuNC8xLzIwMjUuLi5VU0QuSAEAAADetgEAAgAAAAUyNDYyMQEIAAAABQAAAAExAQAAAAoxODI5OTExOTY4AwAAAAMxNjACAAAABTQ4OTkzBAAAAAEwBwAAAAg0LzEvMjAyNQgAAAAKMTIvMzEvMjAxNAkAAAABMOqy7mPBc90Iu2rKlMRz3Qg6Q0lRLk5ZU0U6SUJNLklRX0VCSVREQV9MRUFTRV9BREpVU1RFRC45OTEuNC8xLzIwMjUuLi5VU0QuSAEAAADetgEAAgAAAAUyMDM3MgEIAAAABQAAAAExAQAAAAoxODc2NDMyODcyAwAAAAMxNjACAAAABTQ4OTkzBAAAAAEwBwAAAAg0LzEvMjAyNQgAAAAKMTIvMzEvMjAxNQkAAAABMOqy7mPBc90Iu2rKlMRz3Qg6Q0lRLk5ZU0U6SUJNLklRX0VCSVREQV9MRUFTRV9BREpVU1RFRC45OTIuNC8xLzIwMjUuLi5VU0QuSAEAAADetgEAAgAAAAUxODU1MQEIAAAABQAAAAExAQAAAAoxOTQ3MTc5NTgzAwAAAAMxNjACAAAABTQ4OTkzBAAAAAEwBwAAAAg0LzEvMjAyNQgAAAAKMTIvMzEvMjAx</t>
  </si>
  <si>
    <t>NgkAAAABMOqy7mPBc90Iu2rKlMRz3Qg6Q0lRLk5ZU0U6SUJNLklRX0VCSVREQV9MRUFTRV9BREpVU1RFRC45OTMuNC8xLzIwMjUuLi5VU0QuSAEAAADetgEAAgAAAAUxNjIyMwEIAAAABQAAAAExAQAAAAoyMDE3MTY0MjQ0AwAAAAMxNjACAAAABTQ4OTkzBAAAAAEwBwAAAAg0LzEvMjAyNQgAAAAKMTIvMzEvMjAxNwkAAAABMOqy7mPBc90Iu2rKlMRz3Qg0Q0lRLk5ZU0U6SUJNLklRX0VCSVREQV9FWENMX1NCQy45OTYuNC8xLzIwMjUuLi5VU0QuSAEAAADetgEAAgAAAAUxMjI5NAEIAAAABQAAAAExAQAAAAstMjA1OTA3MzIwMgMAAAADMTYwAgAAAAUyNDEzNQQAAAABMAcAAAAINC8xLzIwMjUIAAAACjEyLzMxLzIwMjAJAAAAATDqsu5jwXPdCLtqypTEc90INENJUS5OWVNFOklCTS5JUV9FQklUREFfRVhDTF9TQkMuOTk3LjQvMS8yMDI1Li4uVVNELkgBAAAA3rYBAAIAAAAFMTI5ODIBCAAAAAUAAAABMQEAAAALLTIwMDg2NDcxOTgDAAAAAzE2MAIAAAAFMjQxMzUEAAAAATAHAAAACDQvMS8yMDI1CAAAAAoxMi8zMS8yMDIxCQAAAAEw6rLuY8Fz3Qi7asqUxHPdCDRDSVEuTllTRTpJQk0uSVFfRUJJVERBX0VYQ0xfU0JDLjk5OC40LzEvMjAyNS4uLlVTRC5IAQAAAN62AQACAAAABDY1MTcBCAAAAAUAAAABMQEAAAALLTE5NTgyODEwOTYDAAAAAzE2MAIAAAAFMjQxMzUEAAAAATAHAAAACDQvMS8yMDI1CAAA</t>
  </si>
  <si>
    <t>AAoxMi8zMS8yMDIyCQAAAAEw6rLuY8Fz3Qi7asqUxHPdCDRDSVEuTllTRTpJQk0uSVFfRUJJVERBX0VYQ0xfU0JDLjk5OS40LzEvMjAyNS4uLlVTRC5IAQAAAN62AQACAAAABTE0NTMzAQgAAAAFAAAAATEBAAAACy0xOTU4MjgxMDk1AwAAAAMxNjACAAAABTI0MTM1BAAAAAEwBwAAAAg0LzEvMjAyNQgAAAAKMTIvMzEvMjAyMwkAAAABMOqy7mPBc90IbsXDlMRz3Qg1Q0lRLk5ZU0U6SUJNLklRX0VCSVREQV9FWENMX1NCQy4xMDAwLjQvMS8yMDI1Li4uVVNELkgBAAAA3rYBAAIAAAAFMTE3NTMBCAAAAAUAAAABMQEAAAALLTE5NTgyODEwOTcDAAAAAzE2MAIAAAAFMjQxMzUEAAAAATAHAAAACDQvMS8yMDI1CAAAAAoxMi8zMS8yMDI0CQAAAAEw6rLuY8Fz3Qi7asqUxHPdCDRDSVEuTllTRTpJQk0uSVFfRUJJVERBX0VYQ0xfU0JDLjk5MS40LzEvMjAyNS4uLlVTRC5IAQAAAN62AQACAAAABTIwODQwAQgAAAAFAAAAATEBAAAACjE4NzY0MzI4NzIDAAAAAzE2MAIAAAAFMjQxMzUEAAAAATAHAAAACDQvMS8yMDI1CAAAAAoxMi8zMS8yMDE1CQAAAAEw6rLuY8Fz3Qi7asqUxHPdCDRDSVEuTllTRTpJQk0uSVFfRUJJVERBX0VYQ0xfU0JDLjk5Mi40LzEvMjAyNS4uLlVTRC5IAQAAAN62AQACAAAABTE5MDk1AQgAAAAFAAAAATEBAAAACjE5NDcxNzk1ODMDAAAAAzE2MAIAAAAFMjQxMzUEAAAAATAHAAAACDQvMS8y</t>
  </si>
  <si>
    <t>MDI1CAAAAAoxMi8zMS8yMDE2CQAAAAEw6rLuY8Fz3Qi7asqUxHPdCDRDSVEuTllTRTpJQk0uSVFfRUJJVERBX0VYQ0xfU0JDLjk5My40LzEvMjAyNS4uLlVTRC5IAQAAAN62AQACAAAABTE2NzU3AQgAAAAFAAAAATEBAAAACjIwMTcxNjQyNDQDAAAAAzE2MAIAAAAFMjQxMzUEAAAAATAHAAAACDQvMS8yMDI1CAAAAAoxMi8zMS8yMDE3CQAAAAEw6rLuY8Fz3Qi7asqUxHPdCDRDSVEuTllTRTpJQk0uSVFfRUJJVERBX0VYQ0xfU0JDLjk5NC40LzEvMjAyNS4uLlVTRC5IAQAAAN62AQACAAAABTE4MjA4AQgAAAAFAAAAATEBAAAACjIwODE1MDU0MDEDAAAAAzE2MAIAAAAFMjQxMzUEAAAAATAHAAAACDQvMS8yMDI1CAAAAAoxMi8zMS8yMDE4CQAAAAEw6rLuY8Fz3Qi7asqUxHPdCDRDSVEuTllTRTpJQk0uSVFfRUJJVERBX0VYQ0xfU0JDLjk5NS40LzEvMjAyNS4uLlVTRC5IAQAAAN62AQACAAAABTE0Mjc3AQgAAAAFAAAAATEBAAAACy0yMTEwNzY5MzU1AwAAAAMxNjACAAAABTI0MTM1BAAAAAEwBwAAAAg0LzEvMjAyNQgAAAAKMTIvMzEvMjAxOQkAAAABMOqy7mPBc90Iu2rKlMRz3Qg7Q0lRLk5ZU0U6SUJNLklRX0VCSVREQV9FUV9JTkNfRVhDTF9TQkMuOTk4LjQvMS8yMDI1Li4uVVNELkgBAAAA3rYBAAIAAAAENjUxNwEIAAAABQAAAAExAQAAAAstMTk1ODI4MTA5NgMAAAADMTYwAgAAAAUyNDEzMQQAAAAB</t>
  </si>
  <si>
    <t>MAcAAAAINC8xLzIwMjUIAAAACjEyLzMxLzIwMjIJAAAAATDqsu5jwXPdCLtqypTEc90IO0NJUS5OWVNFOklCTS5JUV9FQklUREFfRVFfSU5DX0VYQ0xfU0JDLjk5OS40LzEvMjAyNS4uLlVTRC5IAQAAAN62AQACAAAABTE0NTMzAQgAAAAFAAAAATEBAAAACy0xOTU4MjgxMDk1AwAAAAMxNjACAAAABTI0MTMxBAAAAAEwBwAAAAg0LzEvMjAyNQgAAAAKMTIvMzEvMjAyMwkAAAABMOqy7mPBc90IfuDDlMRz3Qg8Q0lRLk5ZU0U6SUJNLklRX0VCSVREQV9FUV9JTkNfRVhDTF9TQkMuMTAwMC40LzEvMjAyNS4uLlVTRC5IAQAAAN62AQACAAAABTExNzUzAQgAAAAFAAAAATEBAAAACy0xOTU4MjgxMDk3AwAAAAMxNjACAAAABTI0MTMxBAAAAAEwBwAAAAg0LzEvMjAyNQgAAAAKMTIvMzEvMjAyNAkAAAABMOqy7mPBc90Iu2rKlMRz3Qg8Q0lRLk5ZU0U6SUJNLklRX0VCSVREQV9FUV9JTkNfRVhDTF9TQkMuMjAwMC40LzEvMjAyNS4uLlVTRC5IAQAAAN62AQACAAAABTExNzUzAQgAAAAFAAAAATEBAAAACy0xOTU4MjgwNjE1AwAAAAMxNjACAAAABTI0MTMxBAAAAAEwBwAAAAg0LzEvMjAyNQgAAAAKMTIvMzEvMjAyNAkAAAABMOqy7mPBc90I/fa+lMRz3Qg0Q0lRLk5ZU0U6SUJNLklRX0VCSVREQV9FWENMX1NCQy45OTAuNC8xLzIwMjUuLi5VU0QuSAEAAADetgEAAgAAAAUyNTEzMwEIAAAABQAAAAExAQAAAAoxODI5</t>
  </si>
  <si>
    <t>OTExOTY4AwAAAAMxNjACAAAABTI0MTM1BAAAAAEwBwAAAAg0LzEvMjAyNQgAAAAKMTIvMzEvMjAxNAkAAAABMOqy7mPBc90Iu2rKlMRz3Qg7Q0lRLk5ZU0U6SUJNLklRX0VCSVREQV9FUV9JTkNfRVhDTF9TQkMuOTkzLjQvMS8yMDI1Li4uVVNELkgBAAAA3rYBAAIAAAAFMTY3NTcBCAAAAAUAAAABMQEAAAAKMjAxNzE2NDI0NAMAAAADMTYwAgAAAAUyNDEzMQQAAAABMAcAAAAINC8xLzIwMjUIAAAACjEyLzMxLzIwMTcJAAAAATDqsu5jwXPdCLtqypTEc90IO0NJUS5OWVNFOklCTS5JUV9FQklUREFfRVFfSU5DX0VYQ0xfU0JDLjk5NC40LzEvMjAyNS4uLlVTRC5IAQAAAN62AQACAAAABTE4MjA4AQgAAAAFAAAAATEBAAAACjIwODE1MDU0MDEDAAAAAzE2MAIAAAAFMjQxMzEEAAAAATAHAAAACDQvMS8yMDI1CAAAAAoxMi8zMS8yMDE4CQAAAAEw6rLuY8Fz3Qi7asqUxHPdCDtDSVEuTllTRTpJQk0uSVFfRUJJVERBX0VRX0lOQ19FWENMX1NCQy45OTUuNC8xLzIwMjUuLi5VU0QuSAEAAADetgEAAgAAAAUxNDI3NwEIAAAABQAAAAExAQAAAAstMjExMDc2OTM1NQMAAAADMTYwAgAAAAUyNDEzMQQAAAABMAcAAAAINC8xLzIwMjUIAAAACjEyLzMxLzIwMTkJAAAAATDqsu5jwXPdCLtqypTEc90IO0NJUS5OWVNFOklCTS5JUV9FQklUREFfRVFfSU5DX0VYQ0xfU0JDLjk5Ni40LzEvMjAyNS4uLlVTRC5IAQAAAN62</t>
  </si>
  <si>
    <t>AQACAAAABTEyMjk0AQgAAAAFAAAAATEBAAAACy0yMDU5MDczMjAyAwAAAAMxNjACAAAABTI0MTMxBAAAAAEwBwAAAAg0LzEvMjAyNQgAAAAKMTIvMzEvMjAyMAkAAAABMOqy7mPBc90Iu2rKlMRz3Qg7Q0lRLk5ZU0U6SUJNLklRX0VCSVREQV9FUV9JTkNfRVhDTF9TQkMuOTk3LjQvMS8yMDI1Li4uVVNELkgBAAAA3rYBAAIAAAAFMTI5ODIBCAAAAAUAAAABMQEAAAALLTIwMDg2NDcxOTgDAAAAAzE2MAIAAAAFMjQxMzEEAAAAATAHAAAACDQvMS8yMDI1CAAAAAoxMi8zMS8yMDIxCQAAAAEw6rLuY8Fz3Qi7asqUxHPdCDNDSVEuTllTRTpJQk0uSVFfRUJJVERBX0VRX0lOQy4xMDAwLjQvMS8yMDI1Li4uVVNELkgBAAAA3rYBAAIAAAAFMTE3NTEBCAAAAAUAAAABMQEAAAALLTE5NTgyODEwOTcDAAAAAzE2MAIAAAAFMjE2NzcEAAAAATAHAAAACDQvMS8yMDI1CAAAAAoxMi8zMS8yMDI0CQAAAAEw6rLuY8Fz3Qi7asqUxHPdCDNDSVEuTllTRTpJQk0uSVFfRUJJVERBX0VRX0lOQy4yMDAwLjQvMS8yMDI1Li4uVVNELkgBAAAA3rYBAAIAAAAFMTE3NTEBCAAAAAUAAAABMQEAAAALLTE5NTgyODA2MTUDAAAAAzE2MAIAAAAFMjE2NzcEAAAAATAHAAAACDQvMS8yMDI1CAAAAAoxMi8zMS8yMDI0CQAAAAEw6rLuY8Fz3Qj99r6UxHPdCDtDSVEuTllTRTpJQk0uSVFfRUJJVERBX0VRX0lOQ19FWENMX1NCQy45OTAuNC8x</t>
  </si>
  <si>
    <t>LzIwMjUuLi5VU0QuSAEAAADetgEAAgAAAAUyNTEzMwEIAAAABQAAAAExAQAAAAoxODI5OTExOTY4AwAAAAMxNjACAAAABTI0MTMxBAAAAAEwBwAAAAg0LzEvMjAyNQgAAAAKMTIvMzEvMjAxNAkAAAABMOqy7mPBc90Iu2rKlMRz3Qg7Q0lRLk5ZU0U6SUJNLklRX0VCSVREQV9FUV9JTkNfRVhDTF9TQkMuOTkxLjQvMS8yMDI1Li4uVVNELkgBAAAA3rYBAAIAAAAFMjA4NDABCAAAAAUAAAABMQEAAAAKMTg3NjQzMjg3MgMAAAADMTYwAgAAAAUyNDEzMQQAAAABMAcAAAAINC8xLzIwMjUIAAAACjEyLzMxLzIwMTUJAAAAATDqsu5jwXPdCLtqypTEc90IO0NJUS5OWVNFOklCTS5JUV9FQklUREFfRVFfSU5DX0VYQ0xfU0JDLjk5Mi40LzEvMjAyNS4uLlVTRC5IAQAAAN62AQACAAAABTE5MDk1AQgAAAAFAAAAATEBAAAACjE5NDcxNzk1ODMDAAAAAzE2MAIAAAAFMjQxMzEEAAAAATAHAAAACDQvMS8yMDI1CAAAAAoxMi8zMS8yMDE2CQAAAAEw6rLuY8Fz3Qi7asqUxHPdCDJDSVEuTllTRTpJQk0uSVFfRUJJVERBX0VRX0lOQy45OTUuNC8xLzIwMjUuLi5VU0QuSAEAAADetgEAAgAAAAUxNTIyMQEIAAAABQAAAAExAQAAAAstMjExMDc2OTM1NQMAAAADMTYwAgAAAAUyMTY3NwQAAAABMAcAAAAINC8xLzIwMjUIAAAACjEyLzMxLzIwMTkJAAAAATDqsu5jwXPdCLtqypTEc90IMkNJUS5OWVNFOklCTS5JUV9FQklUREFf</t>
  </si>
  <si>
    <t>RVFfSU5DLjk5Ni40LzEvMjAyNS4uLlVTRC5IAQAAAN62AQACAAAABTEyODgxAQgAAAAFAAAAATEBAAAACy0yMDU5MDczMjAyAwAAAAMxNjACAAAABTIxNjc3BAAAAAEwBwAAAAg0LzEvMjAyNQgAAAAKMTIvMzEvMjAyMAkAAAABMOqy7mPBc90Iu2rKlMRz3QgyQ0lRLk5ZU0U6SUJNLklRX0VCSVREQV9FUV9JTkMuOTk3LjQvMS8yMDI1Li4uVVNELkgBAAAA3rYBAAIAAAAFMTM0MzcBCAAAAAUAAAABMQEAAAALLTIwMDg2NDcxOTgDAAAAAzE2MAIAAAAFMjE2NzcEAAAAATAHAAAACDQvMS8yMDI1CAAAAAoxMi8zMS8yMDIxCQAAAAEw6rLuY8Fz3Qi7asqUxHPdCDJDSVEuTllTRTpJQk0uSVFfRUJJVERBX0VRX0lOQy45OTguNC8xLzIwMjUuLi5VU0QuSAEAAADetgEAAgAAAAQ2Nzc2AQgAAAAFAAAAATEBAAAACy0xOTU4MjgxMDk2AwAAAAMxNjACAAAABTIxNjc3BAAAAAEwBwAAAAg0LzEvMjAyNQgAAAAKMTIvMzEvMjAyMgkAAAABMOqy7mPBc90Iu2rKlMRz3QgyQ0lRLk5ZU0U6SUJNLklRX0VCSVREQV9FUV9JTkMuOTk5LjQvMS8yMDI1Li4uVVNELkgBAAAA3rYBAAIAAAAFMTQ2OTEBCAAAAAUAAAABMQEAAAALLTE5NTgyODEwOTUDAAAAAzE2MAIAAAAFMjE2NzcEAAAAATAHAAAACDQvMS8yMDI1CAAAAAoxMi8zMS8yMDIzCQAAAAEw6rLuY8Fz3Qh+4MOUxHPdCDJDSVEuTllTRTpJQk0uSVFfRUJJVERBX0VR</t>
  </si>
  <si>
    <t>X0lOQy45OTAuNC8xLzIwMjUuLi5VU0QuSAEAAADetgEAAgAAAAUyNDYyMQEIAAAABQAAAAExAQAAAAoxODI5OTExOTY4AwAAAAMxNjACAAAABTIxNjc3BAAAAAEwBwAAAAg0LzEvMjAyNQgAAAAKMTIvMzEvMjAxNAkAAAABMOqy7mPBc90Iu2rKlMRz3QgyQ0lRLk5ZU0U6SUJNLklRX0VCSVREQV9FUV9JTkMuOTkxLjQvMS8yMDI1Li4uVVNELkgBAAAA3rYBAAIAAAAFMjAzNzIBCAAAAAUAAAABMQEAAAAKMTg3NjQzMjg3MgMAAAADMTYwAgAAAAUyMTY3NwQAAAABMAcAAAAINC8xLzIwMjUIAAAACjEyLzMxLzIwMTUJAAAAATDqsu5jwXPdCLtqypTEc90IMkNJUS5OWVNFOklCTS5JUV9FQklUREFfRVFfSU5DLjk5Mi40LzEvMjAyNS4uLlVTRC5IAQAAAN62AQACAAAABTE4NTUxAQgAAAAFAAAAATEBAAAACjE5NDcxNzk1ODMDAAAAAzE2MAIAAAAFMjE2NzcEAAAAATAHAAAACDQvMS8yMDI1CAAAAAoxMi8zMS8yMDE2CQAAAAEw6rLuY8Fz3Qi7asqUxHPdCDJDSVEuTllTRTpJQk0uSVFfRUJJVERBX0VRX0lOQy45OTMuNC8xLzIwMjUuLi5VU0QuSAEAAADetgEAAgAAAAUxNjIyMwEIAAAABQAAAAExAQAAAAoyMDE3MTY0MjQ0AwAAAAMxNjACAAAABTIxNjc3BAAAAAEwBwAAAAg0LzEvMjAyNQgAAAAKMTIvMzEvMjAxNwkAAAABMOqy7mPBc90Iu2rKlMRz3QgyQ0lRLk5ZU0U6SUJNLklRX0VCSVREQV9FUV9JTkMu</t>
  </si>
  <si>
    <t>OTk0LjQvMS8yMDI1Li4uVVNELkgBAAAA3rYBAAIAAAAFMTc2OTgBCAAAAAUAAAABMQEAAAAKMjA4MTUwNTQwMQMAAAADMTYwAgAAAAUyMTY3NwQAAAABMAcAAAAINC8xLzIwMjUIAAAACjEyLzMxLzIwMTgJAAAAATDqsu5jwXPdCLtqypTEc90IK0NJUS5OWVNFOklCTS5JUV9FQklUREEuOTk3LjQvMS8yMDI1Li4uVVNELkgBAAAA3rYBAAIAAAAFMTIwMDABCAAAAAUAAAABMQEAAAALLTIwMDg2NDcxOTgDAAAAAzE2MAIAAAAENDA1MQQAAAABMAcAAAAINC8xLzIwMjUIAAAACjEyLzMxLzIwMjEJAAAAATDqsu5jwXPdCLtqypTEc90IK0NJUS5OWVNFOklCTS5JUV9FQklUREEuOTk4LjQvMS8yMDI1Li4uVVNELkgBAAAA3rYBAAIAAAAENTUyOQEIAAAABQAAAAExAQAAAAstMTk1ODI4MTA5NgMAAAADMTYwAgAAAAQ0MDUxBAAAAAEwBwAAAAg0LzEvMjAyNQgAAAAKMTIvMzEvMjAyMgkAAAABMOqy7mPBc90Iu2rKlMRz3QgrQ0lRLk5ZU0U6SUJNLklRX0VCSVREQS45OTkuNC8xLzIwMjUuLi5VU0QuSAEAAADetgEAAgAAAAUxMzM5OQEIAAAABQAAAAExAQAAAAstMTk1ODI4MTA5NQMAAAADMTYwAgAAAAQ0MDUxBAAAAAEwBwAAAAg0LzEvMjAyNQgAAAAKMTIvMzEvMjAyMwkAAAABMOqy7mPBc90IfuDDlMRz3QgrQ0lRLk5ZU0U6SUJNLklRX0VCSVREQS45OTIuNC8xLzIwMjUuLi5VU0QuSAEAAADetgEAAgAAAAUx</t>
  </si>
  <si>
    <t>ODU1MQEIAAAABQAAAAExAQAAAAoxOTQ3MTc5NTgzAwAAAAMxNjACAAAABDQwNTEEAAAAATAHAAAACDQvMS8yMDI1CAAAAAoxMi8zMS8yMDE2CQAAAAEw6rLuY8Fz3Qi7asqUxHPdCCtDSVEuTllTRTpJQk0uSVFfRUJJVERBLjk5My40LzEvMjAyNS4uLlVTRC5IAQAAAN62AQACAAAABTE2MjIzAQgAAAAFAAAAATEBAAAACjIwMTcxNjQyNDQDAAAAAzE2MAIAAAAENDA1MQQAAAABMAcAAAAINC8xLzIwMjUIAAAACjEyLzMxLzIwMTcJAAAAATDqsu5jwXPdCLtqypTEc90IK0NJUS5OWVNFOklCTS5JUV9FQklUREEuOTk0LjQvMS8yMDI1Li4uVVNELkgBAAAA3rYBAAIAAAAFMTc2OTgBCAAAAAUAAAABMQEAAAAKMjA4MTUwNTQwMQMAAAADMTYwAgAAAAQ0MDUxBAAAAAEwBwAAAAg0LzEvMjAyNQgAAAAKMTIvMzEvMjAxOAkAAAABMOqy7mPBc90Iu2rKlMRz3QgrQ0lRLk5ZU0U6SUJNLklRX0VCSVREQS45OTUuNC8xLzIwMjUuLi5VU0QuSAEAAADetgEAAgAAAAUxMzU5OAEIAAAABQAAAAExAQAAAAstMjExMDc2OTM1NQMAAAADMTYwAgAAAAQ0MDUxBAAAAAEwBwAAAAg0LzEvMjAyNQgAAAAKMTIvMzEvMjAxOQkAAAABMOqy7mPBc90Iu2rKlMRz3QgrQ0lRLk5ZU0U6SUJNLklRX0VCSVREQS45OTYuNC8xLzIwMjUuLi5VU0QuSAEAAADetgEAAgAAAAUxMTM1NwEIAAAABQAAAAExAQAAAAstMjA1OTA3MzIwMgMAAAAD</t>
  </si>
  <si>
    <t>MTYwAgAAAAQ0MDUxBAAAAAEwBwAAAAg0LzEvMjAyNQgAAAAKMTIvMzEvMjAyMAkAAAABMOqy7mPBc90Iu2rKlMRz3QgsQ0lRLk5ZU0U6SUJNLklRX1BFUklPRExFTkdUSF9JUy45OTkuNC8xLzIwMjUBAAAA3rYBAAEAAAACMTIA6rLuY8Fz3Qh+4MOUxHPdCC1DSVEuTllTRTpJQk0uSVFfUEVSSU9ETEVOR1RIX0lTLjEwMDAuNC8xLzIwMjUBAAAA3rYBAAEAAAACMTIA6rLuY8Fz3Qi7asqUxHPdCC1DSVEuTllTRTpJQk0uSVFfUEVSSU9ETEVOR1RIX0lTLjIwMDAuNC8xLzIwMjUBAAAA3rYBAAEAAAACMTIA6rLuY8Fz3Qj99r6UxHPdCCtDSVEuTllTRTpJQk0uSVFfRUJJVERBLjk5MC40LzEvMjAyNS4uLlVTRC5IAQAAAN62AQACAAAABTI0NjIxAQgAAAAFAAAAATEBAAAACjE4Mjk5MTE5NjgDAAAAAzE2MAIAAAAENDA1MQQAAAABMAcAAAAINC8xLzIwMjUIAAAACjEyLzMxLzIwMTQJAAAAATDqsu5jwXPdCLtqypTEc90IK0NJUS5OWVNFOklCTS5JUV9FQklUREEuOTkxLjQvMS8yMDI1Li4uVVNELkgBAAAA3rYBAAIAAAAFMjAzNzIBCAAAAAUAAAABMQEAAAAKMTg3NjQzMjg3MgMAAAADMTYwAgAAAAQ0MDUxBAAAAAEwBwAAAAg0LzEvMjAyNQgAAAAKMTIvMzEvMjAxNQkAAAABMOqy7mPBc90Iu2rKlMRz3QgsQ0lRLk5ZU0U6SUJNLklRX1BFUklPRExFTkdUSF9JUy45OTQuNC8xLzIwMjUBAAAA3rYBAAEAAAAC</t>
  </si>
  <si>
    <t>MTIA6rLuY8Fz3Qi7asqUxHPdCCxDSVEuTllTRTpJQk0uSVFfUEVSSU9ETEVOR1RIX0lTLjk5NS40LzEvMjAyNQEAAADetgEAAQAAAAIxMgDqsu5jwXPdCLtqypTEc90ILENJUS5OWVNFOklCTS5JUV9QRVJJT0RMRU5HVEhfSVMuOTk2LjQvMS8yMDI1AQAAAN62AQABAAAAAjEyAOqy7mPBc90Iu2rKlMRz3QgsQ0lRLk5ZU0U6SUJNLklRX1BFUklPRExFTkdUSF9JUy45OTcuNC8xLzIwMjUBAAAA3rYBAAEAAAACMTIA6rLuY8Fz3Qi7asqUxHPdCCxDSVEuTllTRTpJQk0uSVFfUEVSSU9ETEVOR1RIX0lTLjk5OC40LzEvMjAyNQEAAADetgEAAQAAAAIxMgDqsu5jwXPdCLtqypTEc90IK0NJUS5OWVNFOklCTS5JUV9GSUxJTkdEQVRFX0lTLjIwMDAuNC8xLzIwMjUBAAAA3rYBAAUAAAAJMi8yNS8yMDI1AOqy7mPBc90IsvL7ksJz3QgsQ0lRLk5ZU0U6SUJNLklRX1BFUklPRExFTkdUSF9JUy45OTAuNC8xLzIwMjUBAAAA3rYBAAEAAAACMTIA6rLuY8Fz3Qi7asqUxHPdCCxDSVEuTllTRTpJQk0uSVFfUEVSSU9ETEVOR1RIX0lTLjk5MS40LzEvMjAyNQEAAADetgEAAQAAAAIxMgDqsu5jwXPdCLtqypTEc90ILENJUS5OWVNFOklCTS5JUV9QRVJJT0RMRU5HVEhfSVMuOTkyLjQvMS8yMDI1AQAAAN62AQABAAAAAjEyAOqy7mPBc90Iu2rKlMRz3QgsQ0lRLk5ZU0U6SUJNLklRX1BFUklPRExFTkdUSF9JUy45OTMuNC8x</t>
  </si>
  <si>
    <t>LzIwMjUBAAAA3rYBAAEAAAACMTIA6rLuY8Fz3Qi7asqUxHPdCCpDSVEuTllTRTpJQk0uSVFfRklMSU5HREFURV9JUy45OTYuNC8xLzIwMjUBAAAA3rYBAAUAAAAJMi8yOC8yMDIzAOqy7mPBc90IsvL7ksJz3QgqQ0lRLk5ZU0U6SUJNLklRX0ZJTElOR0RBVEVfSVMuOTk3LjQvMS8yMDI1AQAAAN62AQAFAAAACTIvMjYvMjAyNADqsu5jwXPdCLLy+5LCc90IKkNJUS5OWVNFOklCTS5JUV9GSUxJTkdEQVRFX0lTLjk5OC40LzEvMjAyNQEAAADetgEABQAAAAkyLzI1LzIwMjUA6rLuY8Fz3Qiy8vuSwnPdCCpDSVEuTllTRTpJQk0uSVFfRklMSU5HREFURV9JUy45OTkuNC8xLzIwMjUBAAAA3rYBAAUAAAAJMi8yNS8yMDI1AOqy7mPBc90IsvL7ksJz3QgrQ0lRLk5ZU0U6SUJNLklRX0ZJTElOR0RBVEVfSVMuMTAwMC40LzEvMjAyNQEAAADetgEABQAAAAkyLzI1LzIwMjUA6rLuY8Fz3Qiy8vuSwnPdCCpDSVEuTllTRTpJQk0uSVFfRklMSU5HREFURV9JUy45OTEuNC8xLzIwMjUBAAAA3rYBAAUAAAAJMi8yNy8yMDE4AOqy7mPBc90IsvL7ksJz3QgqQ0lRLk5ZU0U6SUJNLklRX0ZJTElOR0RBVEVfSVMuOTkyLjQvMS8yMDI1AQAAAN62AQAFAAAACTIvMjYvMjAxOQDqsu5jwXPdCLLy+5LCc90IKkNJUS5OWVNFOklCTS5JUV9GSUxJTkdEQVRFX0lTLjk5My40LzEvMjAyNQEAAADetgEABQAAAAkyLzI1LzIwMjAA6rLu</t>
  </si>
  <si>
    <t>Y8Fz3Qiy8vuSwnPdCCpDSVEuTllTRTpJQk0uSVFfRklMSU5HREFURV9JUy45OTQuNC8xLzIwMjUBAAAA3rYBAAUAAAAJMi8yMy8yMDIxAOqy7mPBc90IsvL7ksJz3QgqQ0lRLk5ZU0U6SUJNLklRX0ZJTElOR0RBVEVfSVMuOTk1LjQvMS8yMDI1AQAAAN62AQAFAAAACTIvMjIvMjAyMgDqsu5jwXPdCLLy+5LCc90IKkNJUS5OWVNFOklCTS5JUV9GSUxJTkdEQVRFX0lTLjk5MC40LzEvMjAyNQEAAADetgEABQAAAAkyLzI4LzIwMTcA6rLuY8Fz3Qiy8vuSwnPdCDdDSVEuTllTRTpJQk0uSVFfU1BFQ0lBTF9ESVZfU0hBUkUuMTAwMC40LzEvMjAyNS4uLlVTRC5IAQAAAN62AQADAAAAAADqsu5jwXPdCLtqypTEc90IN0NJUS5OWVNFOklCTS5JUV9TUEVDSUFMX0RJVl9TSEFSRS4yMDAwLjQvMS8yMDI1Li4uVVNELkgBAAAA3rYBAAMAAAAAAOqy7mPBc90I/fa+lMRz3Qg2Q0lRLk5ZU0U6SUJNLklRX1NQRUNJQUxfRElWX1NIQVJFLjk5NS40LzEvMjAyNS4uLlVTRC5IAQAAAN62AQADAAAAAADqsu5jwXPdCLtqypTEc90INkNJUS5OWVNFOklCTS5JUV9TUEVDSUFMX0RJVl9TSEFSRS45OTYuNC8xLzIwMjUuLi5VU0QuSAEAAADetgEAAwAAAAAA6rLuY8Fz3Qi7asqUxHPdCDZDSVEuTllTRTpJQk0uSVFfU1BFQ0lBTF9ESVZfU0hBUkUuOTk3LjQvMS8yMDI1Li4uVVNELkgBAAAA3rYBAAMAAAAAAOqy7mPBc90Iu2rK</t>
  </si>
  <si>
    <t>lMRz3Qg2Q0lRLk5ZU0U6SUJNLklRX1NQRUNJQUxfRElWX1NIQVJFLjk5OC40LzEvMjAyNS4uLlVTRC5IAQAAAN62AQADAAAAAADqsu5jwXPdCLtqypTEc90INkNJUS5OWVNFOklCTS5JUV9TUEVDSUFMX0RJVl9TSEFSRS45OTkuNC8xLzIwMjUuLi5VU0QuSAEAAADetgEAAwAAAAAA6rLuY8Fz3Qh+4MOUxHPdCDZDSVEuTllTRTpJQk0uSVFfU1BFQ0lBTF9ESVZfU0hBUkUuOTkwLjQvMS8yMDI1Li4uVVNELkgBAAAA3rYBAAMAAAAAAOqy7mPBc90Iu2rKlMRz3Qg2Q0lRLk5ZU0U6SUJNLklRX1NQRUNJQUxfRElWX1NIQVJFLjk5MS40LzEvMjAyNS4uLlVTRC5IAQAAAN62AQADAAAAAADqsu5jwXPdCLtqypTEc90INkNJUS5OWVNFOklCTS5JUV9TUEVDSUFMX0RJVl9TSEFSRS45OTIuNC8xLzIwMjUuLi5VU0QuSAEAAADetgEAAwAAAAAA6rLuY8Fz3Qi7asqUxHPdCDZDSVEuTllTRTpJQk0uSVFfU1BFQ0lBTF9ESVZfU0hBUkUuOTkzLjQvMS8yMDI1Li4uVVNELkgBAAAA3rYBAAMAAAAAAOqy7mPBc90Iu2rKlMRz3Qg2Q0lRLk5ZU0U6SUJNLklRX1NQRUNJQUxfRElWX1NIQVJFLjk5NC40LzEvMjAyNS4uLlVTRC5IAQAAAN62AQADAAAAAADqsu5jwXPdCLtqypTEc90IPUNJUS5OWVNFOklCTS5JUV9ESVNUUklCVVRBQkxFX0NBU0hfU0hBUkUuOTk3LjQvMS8yMDI1Li4uVVNELkgBAAAA3rYBAAMAAAAAAOqy7mPB</t>
  </si>
  <si>
    <t>c90Iu2rKlMRz3Qg9Q0lRLk5ZU0U6SUJNLklRX0RJU1RSSUJVVEFCTEVfQ0FTSF9TSEFSRS45OTguNC8xLzIwMjUuLi5VU0QuSAEAAADetgEAAwAAAAAA6rLuY8Fz3Qi7asqUxHPdCD1DSVEuTllTRTpJQk0uSVFfRElTVFJJQlVUQUJMRV9DQVNIX1NIQVJFLjk5OS40LzEvMjAyNS4uLlVTRC5IAQAAAN62AQADAAAAAADqsu5jwXPdCH7gw5TEc90IPkNJUS5OWVNFOklCTS5JUV9ESVNUUklCVVRBQkxFX0NBU0hfU0hBUkUuMTAwMC40LzEvMjAyNS4uLlVTRC5IAQAAAN62AQADAAAAAADqsu5jwXPdCLtqypTEc90IPkNJUS5OWVNFOklCTS5JUV9ESVNUUklCVVRBQkxFX0NBU0hfU0hBUkUuMjAwMC40LzEvMjAyNS4uLlVTRC5IAQAAAN62AQADAAAAAADqsu5jwXPdCJyovpTEc90IPUNJUS5OWVNFOklCTS5JUV9ESVNUUklCVVRBQkxFX0NBU0hfU0hBUkUuOTkyLjQvMS8yMDI1Li4uVVNELkgBAAAA3rYBAAMAAAAAAOqy7mPBc90Iu2rKlMRz3Qg9Q0lRLk5ZU0U6SUJNLklRX0RJU1RSSUJVVEFCTEVfQ0FTSF9TSEFSRS45OTMuNC8xLzIwMjUuLi5VU0QuSAEAAADetgEAAwAAAAAA6rLuY8Fz3Qi7asqUxHPdCD1DSVEuTllTRTpJQk0uSVFfRElTVFJJQlVUQUJMRV9DQVNIX1NIQVJFLjk5NC40LzEvMjAyNS4uLlVTRC5IAQAAAN62AQADAAAAAADqsu5jwXPdCLtqypTEc90IPUNJUS5OWVNFOklCTS5JUV9ESVNUUklC</t>
  </si>
  <si>
    <t>VVRBQkxFX0NBU0hfU0hBUkUuOTk1LjQvMS8yMDI1Li4uVVNELkgBAAAA3rYBAAMAAAAAAOqy7mPBc90IjCbKlMRz3Qg9Q0lRLk5ZU0U6SUJNLklRX0RJU1RSSUJVVEFCTEVfQ0FTSF9TSEFSRS45OTYuNC8xLzIwMjUuLi5VU0QuSAEAAADetgEAAwAAAAAA6rLuY8Fz3QiMJsqUxHPdCDRDSVEuTllTRTpJQk0uSVFfVE9UQUxfUkVWX1NIQVJFLjk5OS40LzEvMjAyNS4uLlVTRC5IAQAAAN62AQACAAAACTY3Ljg4NzcyOQEIAAAABQAAAAExAQAAAAstMTk1ODI4MTA5NQMAAAADMTYwAgAAAAQ0MzgyBAAAAAEwBwAAAAg0LzEvMjAyNQgAAAAKMTIvMzEvMjAyMwkAAAABMOqy7mPBc90IRvbDlMRz3Qg1Q0lRLk5ZU0U6SUJNLklRX1RPVEFMX1JFVl9TSEFSRS4xMDAwLjQvMS8yMDI1Li4uVVNELkgBAAAA3rYBAAIAAAAJNjguMDc4OTY0AQgAAAAFAAAAATEBAAAACy0xOTU4MjgxMDk3AwAAAAMxNjACAAAABDQzODIEAAAAATAHAAAACDQvMS8yMDI1CAAAAAoxMi8zMS8yMDI0CQAAAAEw6rLuY8Fz3QiMJsqUxHPdCDVDSVEuTllTRTpJQk0uSVFfVE9UQUxfUkVWX1NIQVJFLjIwMDAuNC8xLzIwMjUuLi5VU0QuSAEAAADetgEAAgAAAAk2OC4wNzg5NjQBCAAAAAUAAAABMQEAAAALLTE5NTgyODA2MTUDAAAAAzE2MAIAAAAENDM4MgQAAAABMAcAAAAINC8xLzIwMjUIAAAACjEyLzMxLzIwMjQJAAAAATDqsu5jwXPdCJyo</t>
  </si>
  <si>
    <t>vpTEc90IPUNJUS5OWVNFOklCTS5JUV9ESVNUUklCVVRBQkxFX0NBU0hfU0hBUkUuOTkwLjQvMS8yMDI1Li4uVVNELkgBAAAA3rYBAAMAAAAAAOqy7mPBc90IjCbKlMRz3Qg9Q0lRLk5ZU0U6SUJNLklRX0RJU1RSSUJVVEFCTEVfQ0FTSF9TSEFSRS45OTEuNC8xLzIwMjUuLi5VU0QuSAEAAADetgEAAwAAAAAA6rLuY8Fz3QiMJsqUxHPdCDRDSVEuTllTRTpJQk0uSVFfVE9UQUxfUkVWX1NIQVJFLjk5NC40LzEvMjAyNS4uLlVTRC5IAQAAAN62AQACAAAACTg3LjI2NjIzMwEIAAAABQAAAAExAQAAAAoyMDgxNTA1NDAxAwAAAAMxNjACAAAABDQzODIEAAAAATAHAAAACDQvMS8yMDI1CAAAAAoxMi8zMS8yMDE4CQAAAAEw6rLuY8Fz3QiMJsqUxHPdCDRDSVEuTllTRTpJQk0uSVFfVE9UQUxfUkVWX1NIQVJFLjk5NS40LzEvMjAyNS4uLlVTRC5IAQAAAN62AQACAAAACTY1LjA0OTI3NAEIAAAABQAAAAExAQAAAAstMjExMDc2OTM1NQMAAAADMTYwAgAAAAQ0MzgyBAAAAAEwBwAAAAg0LzEvMjAyNQgAAAAKMTIvMzEvMjAxOQkAAAABMOqy7mPBc90IjCbKlMRz3Qg0Q0lRLk5ZU0U6SUJNLklRX1RPVEFMX1JFVl9TSEFSRS45OTYuNC8xLzIwMjUuLi5VU0QuSAEAAADetgEAAgAAAAk2MS45NzQ1OTYBCAAAAAUAAAABMQEAAAALLTIwNTkwNzMyMDIDAAAAAzE2MAIAAAAENDM4MgQAAAABMAcAAAAINC8xLzIwMjUIAAAA</t>
  </si>
  <si>
    <t>CjEyLzMxLzIwMjAJAAAAATDqsu5jwXPdCIwmypTEc90INENJUS5OWVNFOklCTS5JUV9UT1RBTF9SRVZfU0hBUkUuOTk3LjQvMS8yMDI1Li4uVVNELkgBAAAA3rYBAAIAAAAJNjQuMDA4NDcxAQgAAAAFAAAAATEBAAAACy0yMDA4NjQ3MTk4AwAAAAMxNjACAAAABDQzODIEAAAAATAHAAAACDQvMS8yMDI1CAAAAAoxMi8zMS8yMDIxCQAAAAEw6rLuY8Fz3QiMJsqUxHPdCDdDSVEuTllTRTpJQk0uSVFfVU5FQVJOX1JFVl9DVVJSRU5ULjk5OS40LzEvMjAyNS4uLlVTRC5IAQAAAN62AQACAAAABTEzNDUxAQgAAAAFAAAAATEBAAAACy0xOTU4MjgxMDk1AwAAAAMxNjACAAAABDEwNzQEAAAAATAHAAAACDQvMS8yMDI1CAAAAAoxMi8zMS8yMDIzCQAAAAEwPgtWZMFz3Qi7X8GUxHPdCDhDSVEuTllTRTpJQk0uSVFfVU5FQVJOX1JFVl9DVVJSRU5ULjEwMDAuNC8xLzIwMjUuLi5VU0QuSAEAAADetgEAAgAAAAUxMzkwNwEIAAAABQAAAAExAQAAAAstMTk1ODI4MTA5NwMAAAADMTYwAgAAAAQxMDc0BAAAAAEwBwAAAAg0LzEvMjAyNQgAAAAKMTIvMzEvMjAyNAkAAAABMD4LVmTBc90I/aXglMRz3Qg4Q0lRLk5ZU0U6SUJNLklRX1VORUFSTl9SRVZfQ1VSUkVOVC4yMDAwLjQvMS8yMDI1Li4uVVNELkgBAAAA3rYBAAIAAAAFMTM5MDcBCAAAAAUAAAABMQEAAAALLTE5NTgyODA2MTUDAAAAAzE2MAIAAAAEMTA3NAQAAAAB</t>
  </si>
  <si>
    <t>MAcAAAAINC8xLzIwMjUIAAAACjEyLzMxLzIwMjQJAAAAATA+C1ZkwXPdCGsRwZTEc90IN0NJUS5OWVNFOklCTS5JUV9VTkVBUk5fUkVWX0NVUlJFTlQuOTkyLjQvMS8yMDI1Li4uVVNELkgBAAAA3rYBAAIAAAAFMTEyOTkBCAAAAAUAAAABMQEAAAAKMTk0NzE3OTU4MwMAAAADMTYwAgAAAAQxMDc0BAAAAAEwBwAAAAg0LzEvMjAyNQgAAAAKMTIvMzEvMjAxNgkAAAABMD4LVmTBc90I/aXglMRz3Qg3Q0lRLk5ZU0U6SUJNLklRX1VORUFSTl9SRVZfQ1VSUkVOVC45OTMuNC8xLzIwMjUuLi5VU0QuSAEAAADetgEAAgAAAAUxMTgyOQEIAAAABQAAAAExAQAAAAoyMDE3MTY0MjQ0AwAAAAMxNjACAAAABDEwNzQEAAAAATAHAAAACDQvMS8yMDI1CAAAAAoxMi8zMS8yMDE3CQAAAAEwPgtWZMFz3Qj9peCUxHPdCDdDSVEuTllTRTpJQk0uSVFfVU5FQVJOX1JFVl9DVVJSRU5ULjk5NC40LzEvMjAyNS4uLlVTRC5IAQAAAN62AQACAAAABTExNDM2AQgAAAAFAAAAATEBAAAACjIwODE1MDU0MDEDAAAAAzE2MAIAAAAEMTA3NAQAAAABMAcAAAAINC8xLzIwMjUIAAAACjEyLzMxLzIwMTgJAAAAATA+C1ZkwXPdCP2l4JTEc90IN0NJUS5OWVNFOklCTS5JUV9VTkVBUk5fUkVWX0NVUlJFTlQuOTk1LjQvMS8yMDI1Li4uVVNELkgBAAAA3rYBAAIAAAAFMTIyNTMBCAAAAAUAAAABMQEAAAALLTIxMTA3NjkzNTUDAAAAAzE2MAIA</t>
  </si>
  <si>
    <t>AAAEMTA3NAQAAAABMAcAAAAINC8xLzIwMjUIAAAACjEyLzMxLzIwMTkJAAAAATA+C1ZkwXPdCP2l4JTEc90IN0NJUS5OWVNFOklCTS5JUV9VTkVBUk5fUkVWX0NVUlJFTlQuOTk2LjQvMS8yMDI1Li4uVVNELkgBAAAA3rYBAAIAAAAFMTIxNDYBCAAAAAUAAAABMQEAAAALLTIwNTkwNzMyMDIDAAAAAzE2MAIAAAAEMTA3NAQAAAABMAcAAAAINC8xLzIwMjUIAAAACjEyLzMxLzIwMjAJAAAAATA+C1ZkwXPdCP2l4JTEc90IOENJUS5OWVNFOklCTS5JUV9JTkNfVEFYX1BBWV9DVVJSRU5ULjk5OS40LzEvMjAyNS4uLlVTRC5IAQAAAN62AQACAAAABDIyNzABCAAAAAUAAAABMQEAAAALLTE5NTgyODEwOTUDAAAAAzE2MAIAAAAEMTA5NAQAAAABMAcAAAAINC8xLzIwMjUIAAAACjEyLzMxLzIwMjMJAAAAATA+C1ZkwXPdCLtfwZTEc90IOUNJUS5OWVNFOklCTS5JUV9JTkNfVEFYX1BBWV9DVVJSRU5ULjEwMDAuNC8xLzIwMjUuLi5VU0QuSAEAAADetgEAAgAAAAQyMDMzAQgAAAAFAAAAATEBAAAACy0xOTU4MjgxMDk3AwAAAAMxNjACAAAABDEwOTQEAAAAATAHAAAACDQvMS8yMDI1CAAAAAoxMi8zMS8yMDI0CQAAAAEwPgtWZMFz3Qj9peCUxHPdCDlDSVEuTllTRTpJQk0uSVFfSU5DX1RBWF9QQVlfQ1VSUkVOVC4yMDAwLjQvMS8yMDI1Li4uVVNELkgBAAAA3rYBAAIAAAAEMjAzMwEIAAAABQAAAAExAQAAAAstMTk1</t>
  </si>
  <si>
    <t>ODI4MDYxNQMAAAADMTYwAgAAAAQxMDk0BAAAAAEwBwAAAAg0LzEvMjAyNQgAAAAKMTIvMzEvMjAyNAkAAAABMD4LVmTBc90IaxHBlMRz3Qg3Q0lRLk5ZU0U6SUJNLklRX1VORUFSTl9SRVZfQ1VSUkVOVC45OTAuNC8xLzIwMjUuLi5VU0QuSAEAAADetgEAAgAAAAUxMjEzMQEIAAAABQAAAAExAQAAAAoxODI5OTExOTY4AwAAAAMxNjACAAAABDEwNzQEAAAAATAHAAAACDQvMS8yMDI1CAAAAAoxMi8zMS8yMDE0CQAAAAEwPgtWZMFz3Qj9peCUxHPdCDdDSVEuTllTRTpJQk0uSVFfVU5FQVJOX1JFVl9DVVJSRU5ULjk5MS40LzEvMjAyNS4uLlVTRC5IAQAAAN62AQACAAAABTExMjU5AQgAAAAFAAAAATEBAAAACjE4NzY0MzI4NzIDAAAAAzE2MAIAAAAEMTA3NAQAAAABMAcAAAAINC8xLzIwMjUIAAAACjEyLzMxLzIwMTUJAAAAATA+C1ZkwXPdCP2l4JTEc90IOENJUS5OWVNFOklCTS5JUV9JTkNfVEFYX1BBWV9DVVJSRU5ULjk5NC40LzEvMjAyNS4uLlVTRC5IAQAAAN62AQACAAAABDMwNDYBCAAAAAUAAAABMQEAAAAKMjA4MTUwNTQwMQMAAAADMTYwAgAAAAQxMDk0BAAAAAEwBwAAAAg0LzEvMjAyNQgAAAAKMTIvMzEvMjAxOAkAAAABMD4LVmTBc90I/aXglMRz3Qg4Q0lRLk5ZU0U6SUJNLklRX0lOQ19UQVhfUEFZX0NVUlJFTlQuOTk1LjQvMS8yMDI1Li4uVVNELkgBAAAA3rYBAAIAAAAEMjgzOQEIAAAABQAA</t>
  </si>
  <si>
    <t>AAExAQAAAAstMjExMDc2OTM1NQMAAAADMTYwAgAAAAQxMDk0BAAAAAEwBwAAAAg0LzEvMjAyNQgAAAAKMTIvMzEvMjAxOQkAAAABMD4LVmTBc90I/aXglMRz3Qg4Q0lRLk5ZU0U6SUJNLklRX0lOQ19UQVhfUEFZX0NVUlJFTlQuOTk2LjQvMS8yMDI1Li4uVVNELkgBAAAA3rYBAAIAAAAEMzE5OAEIAAAABQAAAAExAQAAAAstMjA1OTA3MzIwMgMAAAADMTYwAgAAAAQxMDk0BAAAAAEwBwAAAAg0LzEvMjAyNQgAAAAKMTIvMzEvMjAyMAkAAAABMD4LVmTBc90I/aXglMRz3Qg4Q0lRLk5ZU0U6SUJNLklRX0lOQ19UQVhfUEFZX0NVUlJFTlQuOTk3LjQvMS8yMDI1Li4uVVNELkgBAAAA3rYBAAIAAAAEMjI4OQEIAAAABQAAAAExAQAAAAstMjAwODY0NzE5OAMAAAADMTYwAgAAAAQxMDk0BAAAAAEwBwAAAAg0LzEvMjAyNQgAAAAKMTIvMzEvMjAyMQkAAAABMD4LVmTBc90IgVfglMRz3Qg4Q0lRLk5ZU0U6SUJNLklRX0lOQ19UQVhfUEFZX0NVUlJFTlQuOTk4LjQvMS8yMDI1Li4uVVNELkgBAAAA3rYBAAIAAAAEMjE5NgEIAAAABQAAAAExAQAAAAstMTk1ODI4MTA5NgMAAAADMTYwAgAAAAQxMDk0BAAAAAEwBwAAAAg0LzEvMjAyNQgAAAAKMTIvMzEvMjAyMgkAAAABMD4LVmTBc90I/aXglMRz3Qg6Q0lRLk5ZU0U6SUJNLklRX0ZJTl9ESVZfTElBQl9DVVJSRU5ULjIwMDAuNC8xLzIwMjUuLi5VU0QuSAEAAADetgEA</t>
  </si>
  <si>
    <t>AwAAAAAAPgtWZMFz3QhrEcGUxHPdCDhDSVEuTllTRTpJQk0uSVFfSU5DX1RBWF9QQVlfQ1VSUkVOVC45OTAuNC8xLzIwMjUuLi5VU0QuSAEAAADetgEAAgAAAAQ1MDg0AQgAAAAFAAAAATEBAAAACjE4Mjk5MTE5NjgDAAAAAzE2MAIAAAAEMTA5NAQAAAABMAcAAAAINC8xLzIwMjUIAAAACjEyLzMxLzIwMTQJAAAAATA+C1ZkwXPdCP2l4JTEc90IOENJUS5OWVNFOklCTS5JUV9JTkNfVEFYX1BBWV9DVVJSRU5ULjk5MS40LzEvMjAyNS4uLlVTRC5IAQAAAN62AQACAAAABDI4NDcBCAAAAAUAAAABMQEAAAAKMTg3NjQzMjg3MgMAAAADMTYwAgAAAAQxMDk0BAAAAAEwBwAAAAg0LzEvMjAyNQgAAAAKMTIvMzEvMjAxNQkAAAABMD4LVmTBc90I/aXglMRz3Qg4Q0lRLk5ZU0U6SUJNLklRX0lOQ19UQVhfUEFZX0NVUlJFTlQuOTkyLjQvMS8yMDI1Li4uVVNELkgBAAAA3rYBAAIAAAAEMzIzNQEIAAAABQAAAAExAQAAAAoxOTQ3MTc5NTgzAwAAAAMxNjACAAAABDEwOTQEAAAAATAHAAAACDQvMS8yMDI1CAAAAAoxMi8zMS8yMDE2CQAAAAEwPgtWZMFz3Qj9peCUxHPdCDhDSVEuTllTRTpJQk0uSVFfSU5DX1RBWF9QQVlfQ1VSUkVOVC45OTMuNC8xLzIwMjUuLi5VU0QuSAEAAADetgEAAgAAAAQ0MjE5AQgAAAAFAAAAATEBAAAACjIwMTcxNjQyNDQDAAAAAzE2MAIAAAAEMTA5NAQAAAABMAcAAAAINC8xLzIwMjUIAAAA</t>
  </si>
  <si>
    <t>CjEyLzMxLzIwMTcJAAAAATA+C1ZkwXPdCIFX4JTEc90IOUNJUS5OWVNFOklCTS5JUV9GSU5fRElWX0xJQUJfQ1VSUkVOVC45OTYuNC8xLzIwMjUuLi5VU0QuSAEAAADetgEAAwAAAAAAPgtWZMFz3QiBV+CUxHPdCDlDSVEuTllTRTpJQk0uSVFfRklOX0RJVl9MSUFCX0NVUlJFTlQuOTk3LjQvMS8yMDI1Li4uVVNELkgBAAAA3rYBAAMAAAAAAD4LVmTBc90IgVfglMRz3Qg5Q0lRLk5ZU0U6SUJNLklRX0ZJTl9ESVZfTElBQl9DVVJSRU5ULjk5OC40LzEvMjAyNS4uLlVTRC5IAQAAAN62AQADAAAAAAA+C1ZkwXPdCIFX4JTEc90IOUNJUS5OWVNFOklCTS5JUV9GSU5fRElWX0xJQUJfQ1VSUkVOVC45OTkuNC8xLzIwMjUuLi5VU0QuSAEAAADetgEAAwAAAAAAPgtWZMFz3Qi7X8GUxHPdCDpDSVEuTllTRTpJQk0uSVFfRklOX0RJVl9MSUFCX0NVUlJFTlQuMTAwMC40LzEvMjAyNS4uLlVTRC5IAQAAAN62AQADAAAAAAA+C1ZkwXPdCIFX4JTEc90IOUNJUS5OWVNFOklCTS5JUV9GSU5fRElWX0xJQUJfQ1VSUkVOVC45OTEuNC8xLzIwMjUuLi5VU0QuSAEAAADetgEAAwAAAAAAPgtWZMFz3QiBV+CUxHPdCDlDSVEuTllTRTpJQk0uSVFfRklOX0RJVl9MSUFCX0NVUlJFTlQuOTkyLjQvMS8yMDI1Li4uVVNELkgBAAAA3rYBAAMAAAAAAD4LVmTBc90IgVfglMRz3Qg5Q0lRLk5ZU0U6SUJNLklRX0ZJTl9ESVZfTElBQl9D</t>
  </si>
  <si>
    <t>VVJSRU5ULjk5My40LzEvMjAyNS4uLlVTRC5IAQAAAN62AQADAAAAAAA+C1ZkwXPdCIFX4JTEc90IOUNJUS5OWVNFOklCTS5JUV9GSU5fRElWX0xJQUJfQ1VSUkVOVC45OTQuNC8xLzIwMjUuLi5VU0QuSAEAAADetgEAAwAAAAAAPgtWZMFz3QiBV+CUxHPdCDlDSVEuTllTRTpJQk0uSVFfRklOX0RJVl9MSUFCX0NVUlJFTlQuOTk1LjQvMS8yMDI1Li4uVVNELkgBAAAA3rYBAAMAAAAAAD4LVmTBc90IgVfglMRz3Qg5Q0lRLk5ZU0U6SUJNLklRX0ZJTl9ESVZfREVCVF9DVVJSRU5ULjk5OC40LzEvMjAyNS4uLlVTRC5IAQAAAN62AQADAAAAAAA+C1ZkwXPdCIFX4JTEc90IOUNJUS5OWVNFOklCTS5JUV9GSU5fRElWX0RFQlRfQ1VSUkVOVC45OTkuNC8xLzIwMjUuLi5VU0QuSAEAAADetgEAAwAAAAAAPgtWZMFz3Qi7X8GUxHPdCDpDSVEuTllTRTpJQk0uSVFfRklOX0RJVl9ERUJUX0NVUlJFTlQuMTAwMC40LzEvMjAyNS4uLlVTRC5IAQAAAN62AQADAAAAAAA+C1ZkwXPdCIFX4JTEc90IOkNJUS5OWVNFOklCTS5JUV9GSU5fRElWX0RFQlRfQ1VSUkVOVC4yMDAwLjQvMS8yMDI1Li4uVVNELkgBAAAA3rYBAAMAAAAAAD4LVmTBc90IaxHBlMRz3Qg5Q0lRLk5ZU0U6SUJNLklRX0ZJTl9ESVZfTElBQl9DVVJSRU5ULjk5MC40LzEvMjAyNS4uLlVTRC5IAQAAAN62AQADAAAAAAA+C1ZkwXPdCIFX4JTEc90IOUNJUS5O</t>
  </si>
  <si>
    <t>WVNFOklCTS5JUV9GSU5fRElWX0RFQlRfQ1VSUkVOVC45OTMuNC8xLzIwMjUuLi5VU0QuSAEAAADetgEAAwAAAAAAPgtWZMFz3QiBV+CUxHPdCDlDSVEuTllTRTpJQk0uSVFfRklOX0RJVl9ERUJUX0NVUlJFTlQuOTk0LjQvMS8yMDI1Li4uVVNELkgBAAAA3rYBAAMAAAAAAD4LVmTBc90IgVfglMRz3Qg5Q0lRLk5ZU0U6SUJNLklRX0ZJTl9ESVZfREVCVF9DVVJSRU5ULjk5NS40LzEvMjAyNS4uLlVTRC5IAQAAAN62AQADAAAAAAA+C1ZkwXPdCIFX4JTEc90IOUNJUS5OWVNFOklCTS5JUV9GSU5fRElWX0RFQlRfQ1VSUkVOVC45OTYuNC8xLzIwMjUuLi5VU0QuSAEAAADetgEAAwAAAAAAPgtWZMFz3QiBV+CUxHPdCDlDSVEuTllTRTpJQk0uSVFfRklOX0RJVl9ERUJUX0NVUlJFTlQuOTk3LjQvMS8yMDI1Li4uVVNELkgBAAAA3rYBAAMAAAAAAD4LVmTBc90IgVfglMRz3Qg5Q0lRLk5ZU0U6SUJNLklRX0NVUlJFTlRfUE9SVF9MRUFTRVMuMTAwMC40LzEvMjAyNS4uLlVTRC5IAQAAAN62AQACAAAAAzk2NgEIAAAABQAAAAExAQAAAAstMTk1ODI4MTA5NwMAAAADMTYwAgAAAAQxMDkwBAAAAAEwBwAAAAg0LzEvMjAyNQgAAAAKMTIvMzEvMjAyNAkAAAABMD4LVmTBc90IgVfglMRz3Qg5Q0lRLk5ZU0U6SUJNLklRX0NVUlJFTlRfUE9SVF9MRUFTRVMuMjAwMC40LzEvMjAyNS4uLlVTRC5IAQAAAN62AQACAAAAAzk2</t>
  </si>
  <si>
    <t>NgEIAAAABQAAAAExAQAAAAstMTk1ODI4MDYxNQMAAAADMTYwAgAAAAQxMDkwBAAAAAEwBwAAAAg0LzEvMjAyNQgAAAAKMTIvMzEvMjAyNAkAAAABMD4LVmTBc90IE8PAlMRz3Qg5Q0lRLk5ZU0U6SUJNLklRX0ZJTl9ESVZfREVCVF9DVVJSRU5ULjk5MC40LzEvMjAyNS4uLlVTRC5IAQAAAN62AQADAAAAAAA+C1ZkwXPdCIFX4JTEc90IOUNJUS5OWVNFOklCTS5JUV9GSU5fRElWX0RFQlRfQ1VSUkVOVC45OTEuNC8xLzIwMjUuLi5VU0QuSAEAAADetgEAAwAAAAAAPgtWZMFz3QiBV+CUxHPdCDlDSVEuTllTRTpJQk0uSVFfRklOX0RJVl9ERUJUX0NVUlJFTlQuOTkyLjQvMS8yMDI1Li4uVVNELkgBAAAA3rYBAAMAAAAAAD4LVmTBc90IgVfglMRz3Qg4Q0lRLk5ZU0U6SUJNLklRX0NVUlJFTlRfUE9SVF9MRUFTRVMuOTk1LjQvMS8yMDI1Li4uVVNELkgBAAAA3rYBAAIAAAAEMTQzMgEIAAAABQAAAAExAQAAAAstMjExMDc2OTM1NQMAAAADMTYwAgAAAAQxMDkwBAAAAAEwBwAAAAg0LzEvMjAyNQgAAAAKMTIvMzEvMjAxOQkAAAABMD4LVmTBc90IgVfglMRz3Qg4Q0lRLk5ZU0U6SUJNLklRX0NVUlJFTlRfUE9SVF9MRUFTRVMuOTk2LjQvMS8yMDI1Li4uVVNELkgBAAAA3rYBAAIAAAAEMTA2NQEIAAAABQAAAAExAQAAAAstMjA1OTA3MzIwMgMAAAADMTYwAgAAAAQxMDkwBAAAAAEwBwAAAAg0LzEvMjAyNQgAAAAK</t>
  </si>
  <si>
    <t>MTIvMzEvMjAyMAkAAAABMD4LVmTBc90IgVfglMRz3Qg4Q0lRLk5ZU0U6SUJNLklRX0NVUlJFTlRfUE9SVF9MRUFTRVMuOTk3LjQvMS8yMDI1Li4uVVNELkgBAAAA3rYBAAIAAAAEMTAxMAEIAAAABQAAAAExAQAAAAstMjAwODY0NzE5OAMAAAADMTYwAgAAAAQxMDkwBAAAAAEwBwAAAAg0LzEvMjAyNQgAAAAKMTIvMzEvMjAyMQkAAAABMD4LVmTBc90IgVfglMRz3Qg4Q0lRLk5ZU0U6SUJNLklRX0NVUlJFTlRfUE9SVF9MRUFTRVMuOTk4LjQvMS8yMDI1Li4uVVNELkgBAAAA3rYBAAIAAAADOTQ5AQgAAAAFAAAAATEBAAAACy0xOTU4MjgxMDk2AwAAAAMxNjACAAAABDEwOTAEAAAAATAHAAAACDQvMS8yMDI1CAAAAAoxMi8zMS8yMDIyCQAAAAEwPgtWZMFz3QiBV+CUxHPdCDhDSVEuTllTRTpJQk0uSVFfQ1VSUkVOVF9QT1JUX0xFQVNFUy45OTkuNC8xLzIwMjUuLi5VU0QuSAEAAADetgEAAgAAAAM5NDEBCAAAAAUAAAABMQEAAAALLTE5NTgyODEwOTUDAAAAAzE2MAIAAAAEMTA5MAQAAAABMAcAAAAINC8xLzIwMjUIAAAACjEyLzMxLzIwMjMJAAAAATA+C1ZkwXPdCLtfwZTEc90IOENJUS5OWVNFOklCTS5JUV9DVVJSRU5UX1BPUlRfTEVBU0VTLjk5MC40LzEvMjAyNS4uLlVTRC5IAQAAAN62AQADAAAAAAA+C1ZkwXPdCIFX4JTEc90IOENJUS5OWVNFOklCTS5JUV9DVVJSRU5UX1BPUlRfTEVBU0VTLjk5MS40</t>
  </si>
  <si>
    <t>LzEvMjAyNS4uLlVTRC5IAQAAAN62AQADAAAAAAA+C1ZkwXPdCIFX4JTEc90IOENJUS5OWVNFOklCTS5JUV9DVVJSRU5UX1BPUlRfTEVBU0VTLjk5Mi40LzEvMjAyNS4uLlVTRC5IAQAAAN62AQADAAAAAAA+C1ZkwXPdCIFX4JTEc90IOENJUS5OWVNFOklCTS5JUV9DVVJSRU5UX1BPUlRfTEVBU0VTLjk5My40LzEvMjAyNS4uLlVTRC5IAQAAAN62AQADAAAAAAA+C1ZkwXPdCIFX4JTEc90IOENJUS5OWVNFOklCTS5JUV9DVVJSRU5UX1BPUlRfTEVBU0VTLjk5NC40LzEvMjAyNS4uLlVTRC5IAQAAAN62AQACAAAAATMBCAAAAAUAAAABMQEAAAAKMjA4MTUwNTQwMQMAAAADMTYwAgAAAAQxMDkwBAAAAAEwBwAAAAg0LzEvMjAyNQgAAAAKMTIvMzEvMjAxOAkAAAABMD4LVmTBc90IgVfglMRz3Qg2Q0lRLk5ZU0U6SUJNLklRX0NVUlJFTlRfUE9SVF9ERUJULjk5Ny40LzEvMjAyNS4uLlVTRC5IAQAAAN62AQACAAAABDY3MjkBCAAAAAUAAAABMQEAAAALLTIwMDg2NDcxOTgDAAAAAzE2MAIAAAAEMTI5NwQAAAABMAcAAAAINC8xLzIwMjUIAAAACjEyLzMxLzIwMjEJAAAAATA+C1ZkwXPdCIFX4JTEc90INkNJUS5OWVNFOklCTS5JUV9DVVJSRU5UX1BPUlRfREVCVC45OTguNC8xLzIwMjUuLi5VU0QuSAEAAADetgEAAgAAAAQ0Njg1AQgAAAAFAAAAATEBAAAACy0xOTU4MjgxMDk2AwAAAAMxNjACAAAABDEyOTcEAAAA</t>
  </si>
  <si>
    <t>ATAHAAAACDQvMS8yMDI1CAAAAAoxMi8zMS8yMDIyCQAAAAEwPgtWZMFz3QiBV+CUxHPdCDZDSVEuTllTRTpJQk0uSVFfQ1VSUkVOVF9QT1JUX0RFQlQuOTk5LjQvMS8yMDI1Li4uVVNELkgBAAAA3rYBAAIAAAAENjMwNQEIAAAABQAAAAExAQAAAAstMTk1ODI4MTA5NQMAAAADMTYwAgAAAAQxMjk3BAAAAAEwBwAAAAg0LzEvMjAyNQgAAAAKMTIvMzEvMjAyMwkAAAABMD4LVmTBc90Iu1/BlMRz3Qg3Q0lRLk5ZU0U6SUJNLklRX0NVUlJFTlRfUE9SVF9ERUJULjEwMDAuNC8xLzIwMjUuLi5VU0QuSAEAAADetgEAAgAAAAQ0ODkxAQgAAAAFAAAAATEBAAAACy0xOTU4MjgxMDk3AwAAAAMxNjACAAAABDEyOTcEAAAAATAHAAAACDQvMS8yMDI1CAAAAAoxMi8zMS8yMDI0CQAAAAEwPgtWZMFz3QiBV+CUxHPdCDdDSVEuTllTRTpJQk0uSVFfQ1VSUkVOVF9QT1JUX0RFQlQuMjAwMC40LzEvMjAyNS4uLlVTRC5IAQAAAN62AQACAAAABDQ4OTEBCAAAAAUAAAABMQEAAAALLTE5NTgyODA2MTUDAAAAAzE2MAIAAAAEMTI5NwQAAAABMAcAAAAINC8xLzIwMjUIAAAACjEyLzMxLzIwMjQJAAAAATA+C1ZkwXPdCBPDwJTEc90INkNJUS5OWVNFOklCTS5JUV9DVVJSRU5UX1BPUlRfREVCVC45OTIuNC8xLzIwMjUuLi5VU0QuSAEAAADetgEAAgAAAAQ2MjM5AQgAAAAFAAAAATEBAAAACjE5NDcxNzk1ODMDAAAAAzE2MAIAAAAE</t>
  </si>
  <si>
    <t>MTI5NwQAAAABMAcAAAAINC8xLzIwMjUIAAAACjEyLzMxLzIwMTYJAAAAATA+C1ZkwXPdCIFX4JTEc90INkNJUS5OWVNFOklCTS5JUV9DVVJSRU5UX1BPUlRfREVCVC45OTMuNC8xLzIwMjUuLi5VU0QuSAEAAADetgEAAgAAAAQ1MjE1AQgAAAAFAAAAATEBAAAACjIwMTcxNjQyNDQDAAAAAzE2MAIAAAAEMTI5NwQAAAABMAcAAAAINC8xLzIwMjUIAAAACjEyLzMxLzIwMTcJAAAAATA+C1ZkwXPdCCYJ4JTEc90INkNJUS5OWVNFOklCTS5JUV9DVVJSRU5UX1BPUlRfREVCVC45OTQuNC8xLzIwMjUuLi5VU0QuSAEAAADetgEAAgAAAAQ3MDQ4AQgAAAAFAAAAATEBAAAACjIwODE1MDU0MDEDAAAAAzE2MAIAAAAEMTI5NwQAAAABMAcAAAAINC8xLzIwMjUIAAAACjEyLzMxLzIwMTgJAAAAATA+C1ZkwXPdCCYJ4JTEc90INkNJUS5OWVNFOklCTS5JUV9DVVJSRU5UX1BPUlRfREVCVC45OTUuNC8xLzIwMjUuLi5VU0QuSAEAAADetgEAAgAAAAQ3NDcwAQgAAAAFAAAAATEBAAAACy0yMTEwNzY5MzU1AwAAAAMxNjACAAAABDEyOTcEAAAAATAHAAAACDQvMS8yMDI1CAAAAAoxMi8zMS8yMDE5CQAAAAEwPgtWZMFz3QgmCeCUxHPdCDZDSVEuTllTRTpJQk0uSVFfQ1VSUkVOVF9QT1JUX0RFQlQuOTk2LjQvMS8yMDI1Li4uVVNELkgBAAAA3rYBAAIAAAAENjk1NgEIAAAABQAAAAExAQAAAAstMjA1OTA3MzIwMgMAAAADMTYw</t>
  </si>
  <si>
    <t>AgAAAAQxMjk3BAAAAAEwBwAAAAg0LzEvMjAyNQgAAAAKMTIvMzEvMjAyMAkAAAABMD4LVmTBc90IJgnglMRz3QgsQ0lRLk5ZU0U6SUJNLklRX1NUX0RFQlQuOTk5LjQvMS8yMDI1Li4uVVNELkgBAAAA3rYBAAMAAAAAAD4LVmTBc90Iu1/BlMRz3QgtQ0lRLk5ZU0U6SUJNLklRX1NUX0RFQlQuMTAwMC40LzEvMjAyNS4uLlVTRC5IAQAAAN62AQADAAAAAAA+C1ZkwXPdCIFX4JTEc90ILUNJUS5OWVNFOklCTS5JUV9TVF9ERUJULjIwMDAuNC8xLzIwMjUuLi5VU0QuSAEAAADetgEAAwAAAAAAPgtWZMFz3QgTw8CUxHPdCDZDSVEuTllTRTpJQk0uSVFfQ1VSUkVOVF9QT1JUX0RFQlQuOTkwLjQvMS8yMDI1Li4uVVNELkgBAAAA3rYBAAIAAAAENDYwMQEIAAAABQAAAAExAQAAAAoxODI5OTExOTY4AwAAAAMxNjACAAAABDEyOTcEAAAAATAHAAAACDQvMS8yMDI1CAAAAAoxMi8zMS8yMDE0CQAAAAEwPgtWZMFz3QgmCeCUxHPdCDZDSVEuTllTRTpJQk0uSVFfQ1VSUkVOVF9QT1JUX0RFQlQuOTkxLjQvMS8yMDI1Li4uVVNELkgBAAAA3rYBAAIAAAAENTI3MQEIAAAABQAAAAExAQAAAAoxODc2NDMyODcyAwAAAAMxNjACAAAABDEyOTcEAAAAATAHAAAACDQvMS8yMDI1CAAAAAoxMi8zMS8yMDE1CQAAAAEwPgtWZMFz3QgmCeCUxHPdCCxDSVEuTllTRTpJQk0uSVFfU1RfREVCVC45OTQuNC8xLzIwMjUuLi5VU0QuSAEA</t>
  </si>
  <si>
    <t>AADetgEAAgAAAAQzMTU2AQgAAAAFAAAAATEBAAAACjIwODE1MDU0MDEDAAAAAzE2MAIAAAAEMTA0NgQAAAABMAcAAAAINC8xLzIwMjUIAAAACjEyLzMxLzIwMTgJAAAAATA+C1ZkwXPdCCYJ4JTEc90ILENJUS5OWVNFOklCTS5JUV9TVF9ERUJULjk5NS40LzEvMjAyNS4uLlVTRC5IAQAAAN62AQACAAAABDEyNzUBCAAAAAUAAAABMQEAAAALLTIxMTA3NjkzNTUDAAAAAzE2MAIAAAAEMTA0NgQAAAABMAcAAAAINC8xLzIwMjUIAAAACjEyLzMxLzIwMTkJAAAAATA+C1ZkwXPdCCYJ4JTEc90ILENJUS5OWVNFOklCTS5JUV9TVF9ERUJULjk5Ni40LzEvMjAyNS4uLlVTRC5IAQAAAN62AQACAAAAAzEzMAEIAAAABQAAAAExAQAAAAstMjA1OTA3MzIwMgMAAAADMTYwAgAAAAQxMDQ2BAAAAAEwBwAAAAg0LzEvMjAyNQgAAAAKMTIvMzEvMjAyMAkAAAABMD4LVmTBc90IJgnglMRz3QgsQ0lRLk5ZU0U6SUJNLklRX1NUX0RFQlQuOTk3LjQvMS8yMDI1Li4uVVNELkgBAAAA3rYBAAIAAAACMjIBCAAAAAUAAAABMQEAAAALLTIwMDg2NDcxOTgDAAAAAzE2MAIAAAAEMTA0NgQAAAABMAcAAAAINC8xLzIwMjUIAAAACjEyLzMxLzIwMjEJAAAAATA+C1ZkwXPdCCYJ4JTEc90ILENJUS5OWVNFOklCTS5JUV9TVF9ERUJULjk5OC40LzEvMjAyNS4uLlVTRC5IAQAAAN62AQADAAAAAAA+C1ZkwXPdCCYJ4JTEc90IKENJUS5OWVNF</t>
  </si>
  <si>
    <t>OklCTS5JUV9BRS4yMDAwLjQvMS8yMDI1Li4uVVNELkgBAAAA3rYBAAIAAAAENzA1MgEIAAAABQAAAAExAQAAAAstMTk1ODI4MDYxNQMAAAADMTYwAgAAAAQxMDE2BAAAAAEwBwAAAAg0LzEvMjAyNQgAAAAKMTIvMzEvMjAyNAkAAAABMD4LVmTBc90IE8PAlMRz3QgsQ0lRLk5ZU0U6SUJNLklRX1NUX0RFQlQuOTkwLjQvMS8yMDI1Li4uVVNELkgBAAAA3rYBAAIAAAAEMTEzMAEIAAAABQAAAAExAQAAAAoxODI5OTExOTY4AwAAAAMxNjACAAAABDEwNDYEAAAAATAHAAAACDQvMS8yMDI1CAAAAAoxMi8zMS8yMDE0CQAAAAEwPgtWZMFz3QgmCeCUxHPdCCxDSVEuTllTRTpJQk0uSVFfU1RfREVCVC45OTEuNC8xLzIwMjUuLi5VU0QuSAEAAADetgEAAgAAAAQxMTkwAQgAAAAFAAAAATEBAAAACjE4NzY0MzI4NzIDAAAAAzE2MAIAAAAEMTA0NgQAAAABMAcAAAAINC8xLzIwMjUIAAAACjEyLzMxLzIwMTUJAAAAATA+C1ZkwXPdCCYJ4JTEc90ILENJUS5OWVNFOklCTS5JUV9TVF9ERUJULjk5Mi40LzEvMjAyNS4uLlVTRC5IAQAAAN62AQACAAAABDEyNzQBCAAAAAUAAAABMQEAAAAKMTk0NzE3OTU4MwMAAAADMTYwAgAAAAQxMDQ2BAAAAAEwBwAAAAg0LzEvMjAyNQgAAAAKMTIvMzEvMjAxNgkAAAABMD4LVmTBc90IJgnglMRz3QgsQ0lRLk5ZU0U6SUJNLklRX1NUX0RFQlQuOTkzLjQvMS8yMDI1Li4uVVNELkgBAAAA</t>
  </si>
  <si>
    <t>3rYBAAIAAAAEMTc3MgEIAAAABQAAAAExAQAAAAoyMDE3MTY0MjQ0AwAAAAMxNjACAAAABDEwNDYEAAAAATAHAAAACDQvMS8yMDI1CAAAAAoxMi8zMS8yMDE3CQAAAAEwPgtWZMFz3QgmCeCUxHPdCCdDSVEuTllTRTpJQk0uSVFfQUUuOTk2LjQvMS8yMDI1Li4uVVNELkgBAAAA3rYBAAIAAAAENzkzNQEIAAAABQAAAAExAQAAAAstMjA1OTA3MzIwMgMAAAADMTYwAgAAAAQxMDE2BAAAAAEwBwAAAAg0LzEvMjAyNQgAAAAKMTIvMzEvMjAyMAkAAAABMD4LVmTBc90IJgnglMRz3QgnQ0lRLk5ZU0U6SUJNLklRX0FFLjk5Ny40LzEvMjAyNS4uLlVTRC5IAQAAAN62AQACAAAABDcwMzYBCAAAAAUAAAABMQEAAAALLTIwMDg2NDcxOTgDAAAAAzE2MAIAAAAEMTAxNgQAAAABMAcAAAAINC8xLzIwMjUIAAAACjEyLzMxLzIwMjEJAAAAATA+C1ZkwXPdCCYJ4JTEc90IJ0NJUS5OWVNFOklCTS5JUV9BRS45OTguNC8xLzIwMjUuLi5VU0QuSAEAAADetgEAAgAAAAQ3MDQ2AQgAAAAFAAAAATEBAAAACy0xOTU4MjgxMDk2AwAAAAMxNjACAAAABDEwMTYEAAAAATAHAAAACDQvMS8yMDI1CAAAAAoxMi8zMS8yMDIyCQAAAAEwPgtWZMFz3QgmCeCUxHPdCCdDSVEuTllTRTpJQk0uSVFfQUUuOTk5LjQvMS8yMDI1Li4uVVNELkgBAAAA3rYBAAIAAAAENjcyOAEIAAAABQAAAAExAQAAAAstMTk1ODI4MTA5NQMAAAADMTYwAgAAAAQx</t>
  </si>
  <si>
    <t>MDE2BAAAAAEwBwAAAAg0LzEvMjAyNQgAAAAKMTIvMzEvMjAyMwkAAAABMD4LVmTBc90Iu1/BlMRz3QgoQ0lRLk5ZU0U6SUJNLklRX0FFLjEwMDAuNC8xLzIwMjUuLi5VU0QuSAEAAADetgEAAgAAAAQ3MDUyAQgAAAAFAAAAATEBAAAACy0xOTU4MjgxMDk3AwAAAAMxNjACAAAABDEwMTYEAAAAATAHAAAACDQvMS8yMDI1CAAAAAoxMi8zMS8yMDI0CQAAAAEwPgtWZMFz3QgmCeCUxHPdCCdDSVEuTllTRTpJQk0uSVFfQUUuOTkxLjQvMS8yMDI1Li4uVVNELkgBAAAA3rYBAAIAAAAENzQ5OQEIAAAABQAAAAExAQAAAAoxODc2NDMyODcyAwAAAAMxNjACAAAABDEwMTYEAAAAATAHAAAACDQvMS8yMDI1CAAAAAoxMi8zMS8yMDE1CQAAAAEwPgtWZMFz3QgmCeCUxHPdCCdDSVEuTllTRTpJQk0uSVFfQUUuOTkyLjQvMS8yMDI1Li4uVVNELkgBAAAA3rYBAAIAAAAENzg2MAEIAAAABQAAAAExAQAAAAoxOTQ3MTc5NTgzAwAAAAMxNjACAAAABDEwMTYEAAAAATAHAAAACDQvMS8yMDI1CAAAAAoxMi8zMS8yMDE2CQAAAAEwPgtWZMFz3QgmCeCUxHPdCCdDSVEuTllTRTpJQk0uSVFfQUUuOTkzLjQvMS8yMDI1Li4uVVNELkgBAAAA3rYBAAIAAAAENzQ3NAEIAAAABQAAAAExAQAAAAoyMDE3MTY0MjQ0AwAAAAMxNjACAAAABDEwMTYEAAAAATAHAAAACDQvMS8yMDI1CAAAAAoxMi8zMS8yMDE3CQAAAAEwPgtWZMFz3QgmCeCU</t>
  </si>
  <si>
    <t>xHPdCCdDSVEuTllTRTpJQk0uSVFfQUUuOTk0LjQvMS8yMDI1Li4uVVNELkgBAAAA3rYBAAIAAAAENjgwMwEIAAAABQAAAAExAQAAAAoyMDgxNTA1NDAxAwAAAAMxNjACAAAABDEwMTYEAAAAATAHAAAACDQvMS8yMDI1CAAAAAoxMi8zMS8yMDE4CQAAAAEwPgtWZMFz3QgmCeCUxHPdCCdDSVEuTllTRTpJQk0uSVFfQUUuOTk1LjQvMS8yMDI1Li4uVVNELkgBAAAA3rYBAAIAAAAENzM2OQEIAAAABQAAAAExAQAAAAstMjExMDc2OTM1NQMAAAADMTYwAgAAAAQxMDE2BAAAAAEwBwAAAAg0LzEvMjAyNQgAAAAKMTIvMzEvMjAxOQkAAAABMD4LVmTBc90IJgnglMRz3QgnQ0lRLk5ZU0U6SUJNLklRX0FQLjk5OC40LzEvMjAyNS4uLlVTRC5IAQAAAN62AQACAAAABDQwNTEBCAAAAAUAAAABMQEAAAALLTE5NTgyODEwOTYDAAAAAzE2MAIAAAAEMTAxOAQAAAABMAcAAAAINC8xLzIwMjUIAAAACjEyLzMxLzIwMjIJAAAAATA+C1ZkwXPdCCYJ4JTEc90IJ0NJUS5OWVNFOklCTS5JUV9BUC45OTkuNC8xLzIwMjUuLi5VU0QuSAEAAADetgEAAgAAAAQ0MTMyAQgAAAAFAAAAATEBAAAACy0xOTU4MjgxMDk1AwAAAAMxNjACAAAABDEwMTgEAAAAATAHAAAACDQvMS8yMDI1CAAAAAoxMi8zMS8yMDIzCQAAAAEwPgtWZMFz3QgGrsGUxHPdCChDSVEuTllTRTpJQk0uSVFfQVAuMTAwMC40LzEvMjAyNS4uLlVTRC5IAQAAAN62AQAC</t>
  </si>
  <si>
    <t>AAAABDQwMzIBCAAAAAUAAAABMQEAAAALLTE5NTgyODEwOTcDAAAAAzE2MAIAAAAEMTAxOAQAAAABMAcAAAAINC8xLzIwMjUIAAAACjEyLzMxLzIwMjQJAAAAATA+C1ZkwXPdCCYJ4JTEc90IKENJUS5OWVNFOklCTS5JUV9BUC4yMDAwLjQvMS8yMDI1Li4uVVNELkgBAAAA3rYBAAIAAAAENDAzMgEIAAAABQAAAAExAQAAAAstMTk1ODI4MDYxNQMAAAADMTYwAgAAAAQxMDE4BAAAAAEwBwAAAAg0LzEvMjAyNQgAAAAKMTIvMzEvMjAyNAkAAAABMD4LVmTBc90IE8PAlMRz3QgnQ0lRLk5ZU0U6SUJNLklRX0FFLjk5MC40LzEvMjAyNS4uLlVTRC5IAQAAAN62AQACAAAABDk1OTMBCAAAAAUAAAABMQEAAAAKMTgyOTkxMTk2OAMAAAADMTYwAgAAAAQxMDE2BAAAAAEwBwAAAAg0LzEvMjAyNQgAAAAKMTIvMzEvMjAxNAkAAAABMD4LVmTBc90IJgnglMRz3QgnQ0lRLk5ZU0U6SUJNLklRX0FQLjk5My40LzEvMjAyNS4uLlVTRC5IAQAAAN62AQACAAAABDY0NTEBCAAAAAUAAAABMQEAAAAKMjAxNzE2NDI0NAMAAAADMTYwAgAAAAQxMDE4BAAAAAEwBwAAAAg0LzEvMjAyNQgAAAAKMTIvMzEvMjAxNwkAAAABMD4LVmTBc90IJgnglMRz3QgnQ0lRLk5ZU0U6SUJNLklRX0FQLjk5NC40LzEvMjAyNS4uLlVTRC5IAQAAAN62AQACAAAABDY1NTgBCAAAAAUAAAABMQEAAAAKMjA4MTUwNTQwMQMAAAADMTYwAgAAAAQxMDE4BAAA</t>
  </si>
  <si>
    <t>AAEwBwAAAAg0LzEvMjAyNQgAAAAKMTIvMzEvMjAxOAkAAAABMD4LVmTBc90IJgnglMRz3QgnQ0lRLk5ZU0U6SUJNLklRX0FQLjk5NS40LzEvMjAyNS4uLlVTRC5IAQAAAN62AQACAAAABDQ4OTYBCAAAAAUAAAABMQEAAAALLTIxMTA3NjkzNTUDAAAAAzE2MAIAAAAEMTAxOAQAAAABMAcAAAAINC8xLzIwMjUIAAAACjEyLzMxLzIwMTkJAAAAATA+C1ZkwXPdCCYJ4JTEc90IJ0NJUS5OWVNFOklCTS5JUV9BUC45OTYuNC8xLzIwMjUuLi5VU0QuSAEAAADetgEAAgAAAAQ0MDMzAQgAAAAFAAAAATEBAAAACy0yMDU5MDczMjAyAwAAAAMxNjACAAAABDEwMTgEAAAAATAHAAAACDQvMS8yMDI1CAAAAAoxMi8zMS8yMDIwCQAAAAEwPgtWZMFz3QgmCeCUxHPdCCdDSVEuTllTRTpJQk0uSVFfQVAuOTk3LjQvMS8yMDI1Li4uVVNELkgBAAAA3rYBAAIAAAAEMzk1NQEIAAAABQAAAAExAQAAAAstMjAwODY0NzE5OAMAAAADMTYwAgAAAAQxMDE4BAAAAAEwBwAAAAg0LzEvMjAyNQgAAAAKMTIvMzEvMjAyMQkAAAABMD4LVmTBc90IJgnglMRz3QgyQ0lRLk5ZU0U6SUJNLklRX1RPVEFMX0FTU0VUUy4xMDAwLjQvMS8yMDI1Li4uVVNELkgBAAAA3rYBAAIAAAAGMTM3MTc1AQgAAAAFAAAAATEBAAAACy0xOTU4MjgxMDk3AwAAAAMxNjACAAAABDEwMDcEAAAAATAHAAAACDQvMS8yMDI1CAAAAAoxMi8zMS8yMDI0CQAAAAEwPgtW</t>
  </si>
  <si>
    <t>ZMFz3QgmCeCUxHPdCDJDSVEuTllTRTpJQk0uSVFfVE9UQUxfQVNTRVRTLjIwMDAuNC8xLzIwMjUuLi5VU0QuSAEAAADetgEAAgAAAAYxMzcxNzUBCAAAAAUAAAABMQEAAAALLTE5NTgyODA2MTUDAAAAAzE2MAIAAAAEMTAwNwQAAAABMAcAAAAINC8xLzIwMjUIAAAACjEyLzMxLzIwMjQJAAAAATA+C1ZkwXPdCBPDwJTEc90IJ0NJUS5OWVNFOklCTS5JUV9BUC45OTAuNC8xLzIwMjUuLi5VU0QuSAEAAADetgEAAgAAAAQ2ODY0AQgAAAAFAAAAATEBAAAACjE4Mjk5MTE5NjgDAAAAAzE2MAIAAAAEMTAxOAQAAAABMAcAAAAINC8xLzIwMjUIAAAACjEyLzMxLzIwMTQJAAAAATA+C1ZkwXPdCCYJ4JTEc90IJ0NJUS5OWVNFOklCTS5JUV9BUC45OTEuNC8xLzIwMjUuLi5VU0QuSAEAAADetgEAAgAAAAQ2MDI4AQgAAAAFAAAAATEBAAAACjE4NzY0MzI4NzIDAAAAAzE2MAIAAAAEMTAxOAQAAAABMAcAAAAINC8xLzIwMjUIAAAACjEyLzMxLzIwMTUJAAAAATA+C1ZkwXPdCNG635TEc90IJ0NJUS5OWVNFOklCTS5JUV9BUC45OTIuNC8xLzIwMjUuLi5VU0QuSAEAAADetgEAAgAAAAQ2MjA5AQgAAAAFAAAAATEBAAAACjE5NDcxNzk1ODMDAAAAAzE2MAIAAAAEMTAxOAQAAAABMAcAAAAINC8xLzIwMjUIAAAACjEyLzMxLzIwMTYJAAAAATA+C1ZkwXPdCNG635TEc90IMUNJUS5OWVNFOklCTS5JUV9UT1RBTF9BU1NFVFMu</t>
  </si>
  <si>
    <t>OTk1LjQvMS8yMDI1Li4uVVNELkgBAAAA3rYBAAIAAAAGMTUyMTg2AQgAAAAFAAAAATEBAAAACy0yMTEwNzY5MzU1AwAAAAMxNjACAAAABDEwMDcEAAAAATAHAAAACDQvMS8yMDI1CAAAAAoxMi8zMS8yMDE5CQAAAAEwPgtWZMFz3QjRut+UxHPdCDFDSVEuTllTRTpJQk0uSVFfVE9UQUxfQVNTRVRTLjk5Ni40LzEvMjAyNS4uLlVTRC5IAQAAAN62AQACAAAABjE1NTk3MQEIAAAABQAAAAExAQAAAAstMjA1OTA3MzIwMgMAAAADMTYwAgAAAAQxMDA3BAAAAAEwBwAAAAg0LzEvMjAyNQgAAAAKMTIvMzEvMjAyMAkAAAABMD4LVmTBc90I0brflMRz3QgxQ0lRLk5ZU0U6SUJNLklRX1RPVEFMX0FTU0VUUy45OTcuNC8xLzIwMjUuLi5VU0QuSAEAAADetgEAAgAAAAYxMzIwMDEBCAAAAAUAAAABMQEAAAALLTIwMDg2NDcxOTgDAAAAAzE2MAIAAAAEMTAwNwQAAAABMAcAAAAINC8xLzIwMjUIAAAACjEyLzMxLzIwMjEJAAAAATA+C1ZkwXPdCNG635TEc90IMUNJUS5OWVNFOklCTS5JUV9UT1RBTF9BU1NFVFMuOTk4LjQvMS8yMDI1Li4uVVNELkgBAAAA3rYBAAIAAAAGMTI3MjQzAQgAAAAFAAAAATEBAAAACy0xOTU4MjgxMDk2AwAAAAMxNjACAAAABDEwMDcEAAAAATAHAAAACDQvMS8yMDI1CAAAAAoxMi8zMS8yMDIyCQAAAAEwPgtWZMFz3QgmCeCUxHPdCDFDSVEuTllTRTpJQk0uSVFfVE9UQUxfQVNTRVRTLjk5OS40</t>
  </si>
  <si>
    <t>LzEvMjAyNS4uLlVTRC5IAQAAAN62AQACAAAABjEzNTI0MQEIAAAABQAAAAExAQAAAAstMTk1ODI4MTA5NQMAAAADMTYwAgAAAAQxMDA3BAAAAAEwBwAAAAg0LzEvMjAyNQgAAAAKMTIvMzEvMjAyMwkAAAABMD4LVmTBc90IBq7BlMRz3QgxQ0lRLk5ZU0U6SUJNLklRX1RPVEFMX0FTU0VUUy45OTAuNC8xLzIwMjUuLi5VU0QuSAEAAADetgEAAgAAAAYxMTcyNzEBCAAAAAUAAAABMQEAAAAKMTgyOTkxMTk2OAMAAAADMTYwAgAAAAQxMDA3BAAAAAEwBwAAAAg0LzEvMjAyNQgAAAAKMTIvMzEvMjAxNAkAAAABMD4LVmTBc90I0brflMRz3QgxQ0lRLk5ZU0U6SUJNLklRX1RPVEFMX0FTU0VUUy45OTEuNC8xLzIwMjUuLi5VU0QuSAEAAADetgEAAgAAAAYxMTA0OTUBCAAAAAUAAAABMQEAAAAKMTg3NjQzMjg3MgMAAAADMTYwAgAAAAQxMDA3BAAAAAEwBwAAAAg0LzEvMjAyNQgAAAAKMTIvMzEvMjAxNQkAAAABMD4LVmTBc90I0brflMRz3QgxQ0lRLk5ZU0U6SUJNLklRX1RPVEFMX0FTU0VUUy45OTIuNC8xLzIwMjUuLi5VU0QuSAEAAADetgEAAgAAAAYxMTc0NzABCAAAAAUAAAABMQEAAAAKMTk0NzE3OTU4MwMAAAADMTYwAgAAAAQxMDA3BAAAAAEwBwAAAAg0LzEvMjAyNQgAAAAKMTIvMzEvMjAxNgkAAAABMD4LVmTBc90I0brflMRz3QgxQ0lRLk5ZU0U6SUJNLklRX1RPVEFMX0FTU0VUUy45OTMuNC8xLzIwMjUu</t>
  </si>
  <si>
    <t>Li5VU0QuSAEAAADetgEAAgAAAAYxMjUzNTYBCAAAAAUAAAABMQEAAAAKMjAxNzE2NDI0NAMAAAADMTYwAgAAAAQxMDA3BAAAAAEwBwAAAAg0LzEvMjAyNQgAAAAKMTIvMzEvMjAxNwkAAAABMD4LVmTBc90I0brflMRz3QgxQ0lRLk5ZU0U6SUJNLklRX1RPVEFMX0FTU0VUUy45OTQuNC8xLzIwMjUuLi5VU0QuSAEAAADetgEAAgAAAAYxMjMzODIBCAAAAAUAAAABMQEAAAAKMjA4MTUwNTQwMQMAAAADMTYwAgAAAAQxMDA3BAAAAAEwBwAAAAg0LzEvMjAyNQgAAAAKMTIvMzEvMjAxOAkAAAABMD4LVmTBc90I0brflMRz3Qg0Q0lRLk5ZU0U6SUJNLklRX09USEVSX0xUX0FTU0VUUy45OTcuNC8xLzIwMjUuLi5VU0QuSAEAAADetgEAAgAAAAQ5ODkwAQgAAAAFAAAAATEBAAAACy0yMDA4NjQ3MTk4AwAAAAMxNjACAAAABDEwNjAEAAAAATAHAAAACDQvMS8yMDI1CAAAAAoxMi8zMS8yMDIxCQAAAAEwPgtWZMFz3QjRut+UxHPdCDRDSVEuTllTRTpJQk0uSVFfT1RIRVJfTFRfQVNTRVRTLjk5OC40LzEvMjAyNS4uLlVTRC5IAQAAAN62AQACAAAABDgyNDIBCAAAAAUAAAABMQEAAAALLTE5NTgyODEwOTYDAAAAAzE2MAIAAAAEMTA2MAQAAAABMAcAAAAINC8xLzIwMjUIAAAACjEyLzMxLzIwMjIJAAAAATA+C1ZkwXPdCNG635TEc90INENJUS5OWVNFOklCTS5JUV9PVEhFUl9MVF9BU1NFVFMuOTk5LjQvMS8yMDI1Li4u</t>
  </si>
  <si>
    <t>VVNELkgBAAAA3rYBAAIAAAAENzU0NQEIAAAABQAAAAExAQAAAAstMTk1ODI4MTA5NQMAAAADMTYwAgAAAAQxMDYwBAAAAAEwBwAAAAg0LzEvMjAyNQgAAAAKMTIvMzEvMjAyMwkAAAABMD4LVmTBc90IBq7BlMRz3Qg1Q0lRLk5ZU0U6SUJNLklRX09USEVSX0xUX0FTU0VUUy4xMDAwLjQvMS8yMDI1Li4uVVNELkgBAAAA3rYBAAIAAAAENzU4OAEIAAAABQAAAAExAQAAAAstMTk1ODI4MTA5NwMAAAADMTYwAgAAAAQxMDYwBAAAAAEwBwAAAAg0LzEvMjAyNQgAAAAKMTIvMzEvMjAyNAkAAAABMD4LVmTBc90I0brflMRz3Qg1Q0lRLk5ZU0U6SUJNLklRX09USEVSX0xUX0FTU0VUUy4yMDAwLjQvMS8yMDI1Li4uVVNELkgBAAAA3rYBAAIAAAAENzU4OAEIAAAABQAAAAExAQAAAAstMTk1ODI4MDYxNQMAAAADMTYwAgAAAAQxMDYwBAAAAAEwBwAAAAg0LzEvMjAyNQgAAAAKMTIvMzEvMjAyNAkAAAABMD4LVmTBc90IE8PAlMRz3Qg0Q0lRLk5ZU0U6SUJNLklRX09USEVSX0xUX0FTU0VUUy45OTIuNC8xLzIwMjUuLi5VU0QuSAEAAADetgEAAgAAAAQ1NDY0AQgAAAAFAAAAATEBAAAACjE5NDcxNzk1ODMDAAAAAzE2MAIAAAAEMTA2MAQAAAABMAcAAAAINC8xLzIwMjUIAAAACjEyLzMxLzIwMTYJAAAAATA+C1ZkwXPdCNG635TEc90INENJUS5OWVNFOklCTS5JUV9PVEhFUl9MVF9BU1NFVFMuOTkzLjQvMS8yMDI1Li4u</t>
  </si>
  <si>
    <t>VVNELkgBAAAA3rYBAAIAAAAENjg0NgEIAAAABQAAAAExAQAAAAoyMDE3MTY0MjQ0AwAAAAMxNjACAAAABDEwNjAEAAAAATAHAAAACDQvMS8yMDI1CAAAAAoxMi8zMS8yMDE3CQAAAAEwPgtWZMFz3QjRut+UxHPdCDRDSVEuTllTRTpJQk0uSVFfT1RIRVJfTFRfQVNTRVRTLjk5NC40LzEvMjAyNS4uLlVTRC5IAQAAAN62AQACAAAABDY4MjYBCAAAAAUAAAABMQEAAAAKMjA4MTUwNTQwMQMAAAADMTYwAgAAAAQxMDYwBAAAAAEwBwAAAAg0LzEvMjAyNQgAAAAKMTIvMzEvMjAxOAkAAAABMD4LVmTBc90I0brflMRz3Qg0Q0lRLk5ZU0U6SUJNLklRX09USEVSX0xUX0FTU0VUUy45OTUuNC8xLzIwMjUuLi5VU0QuSAEAAADetgEAAgAAAAQ4NzE1AQgAAAAFAAAAATEBAAAACy0yMTEwNzY5MzU1AwAAAAMxNjACAAAABDEwNjAEAAAAATAHAAAACDQvMS8yMDI1CAAAAAoxMi8zMS8yMDE5CQAAAAEwPgtWZMFz3QjRut+UxHPdCDRDSVEuTllTRTpJQk0uSVFfT1RIRVJfTFRfQVNTRVRTLjk5Ni40LzEvMjAyNS4uLlVTRC5IAQAAAN62AQACAAAABTIyNjc1AQgAAAAFAAAAATEBAAAACy0yMDU5MDczMjAyAwAAAAMxNjACAAAABDEwNjAEAAAAATAHAAAACDQvMS8yMDI1CAAAAAoxMi8zMS8yMDIwCQAAAAEwPgtWZMFz3QjRut+UxHPdCDNDSVEuTllTRTpJQk0uSVFfREVGX0NIQVJHRVNfTFQuOTk5LjQvMS8yMDI1Li4uVVNE</t>
  </si>
  <si>
    <t>LkgBAAAA3rYBAAIAAAADODQyAQgAAAAFAAAAATEBAAAACy0xOTU4MjgxMDk1AwAAAAMxNjACAAAABDEwMjUEAAAAATAHAAAACDQvMS8yMDI1CAAAAAoxMi8zMS8yMDIzCQAAAAEwPgtWZMFz3QgGrsGUxHPdCDRDSVEuTllTRTpJQk0uSVFfREVGX0NIQVJHRVNfTFQuMTAwMC40LzEvMjAyNS4uLlVTRC5IAQAAAN62AQACAAAAAzc4OAEIAAAABQAAAAExAQAAAAstMTk1ODI4MTA5NwMAAAADMTYwAgAAAAQxMDI1BAAAAAEwBwAAAAg0LzEvMjAyNQgAAAAKMTIvMzEvMjAyNAkAAAABMD4LVmTBc90I0brflMRz3Qg0Q0lRLk5ZU0U6SUJNLklRX0RFRl9DSEFSR0VTX0xULjIwMDAuNC8xLzIwMjUuLi5VU0QuSAEAAADetgEAAgAAAAM3ODgBCAAAAAUAAAABMQEAAAALLTE5NTgyODA2MTUDAAAAAzE2MAIAAAAEMTAyNQQAAAABMAcAAAAINC8xLzIwMjUIAAAACjEyLzMxLzIwMjQJAAAAATA+C1ZkwXPdCBPDwJTEc90INENJUS5OWVNFOklCTS5JUV9PVEhFUl9MVF9BU1NFVFMuOTkwLjQvMS8yMDI1Li4uVVNELkgBAAAA3rYBAAIAAAAENDkzMwEIAAAABQAAAAExAQAAAAoxODI5OTExOTY4AwAAAAMxNjACAAAABDEwNjAEAAAAATAHAAAACDQvMS8yMDI1CAAAAAoxMi8zMS8yMDE0CQAAAAEwPgtWZMFz3QjRut+UxHPdCDRDSVEuTllTRTpJQk0uSVFfT1RIRVJfTFRfQVNTRVRTLjk5MS40LzEvMjAyNS4uLlVTRC5IAQAA</t>
  </si>
  <si>
    <t>AN62AQACAAAABDQxNjQBCAAAAAUAAAABMQEAAAAKMTg3NjQzMjg3MgMAAAADMTYwAgAAAAQxMDYwBAAAAAEwBwAAAAg0LzEvMjAyNQgAAAAKMTIvMzEvMjAxNQkAAAABMD4LVmTBc90I0brflMRz3QgzQ0lRLk5ZU0U6SUJNLklRX0RFRl9DSEFSR0VTX0xULjk5NC40LzEvMjAyNS4uLlVTRC5IAQAAAN62AQACAAAABDI2NzYBCAAAAAUAAAABMQEAAAAKMjA4MTUwNTQwMQMAAAADMTYwAgAAAAQxMDI1BAAAAAEwBwAAAAg0LzEvMjAyNQgAAAAKMTIvMzEvMjAxOAkAAAABMD4LVmTBc90I0brflMRz3QgzQ0lRLk5ZU0U6SUJNLklRX0RFRl9DSEFSR0VTX0xULjk5NS40LzEvMjAyNS4uLlVTRC5IAQAAAN62AQACAAAABDI0NzIBCAAAAAUAAAABMQEAAAALLTIxMTA3NjkzNTUDAAAAAzE2MAIAAAAEMTAyNQQAAAABMAcAAAAINC8xLzIwMjUIAAAACjEyLzMxLzIwMTkJAAAAATA+C1ZkwXPdCNG635TEc90IM0NJUS5OWVNFOklCTS5JUV9ERUZfQ0hBUkdFU19MVC45OTYuNC8xLzIwMjUuLi5VU0QuSAEAAADetgEAAgAAAAQxMTUwAQgAAAAFAAAAATEBAAAACy0yMDU5MDczMjAyAwAAAAMxNjACAAAABDEwMjUEAAAAATAHAAAACDQvMS8yMDI1CAAAAAoxMi8zMS8yMDIwCQAAAAEwPgtWZMFz3QjRut+UxHPdCDNDSVEuTllTRTpJQk0uSVFfREVGX0NIQVJHRVNfTFQuOTk3LjQvMS8yMDI1Li4uVVNELkgBAAAA3rYBAAIA</t>
  </si>
  <si>
    <t>AAADOTI0AQgAAAAFAAAAATEBAAAACy0yMDA4NjQ3MTk4AwAAAAMxNjACAAAABDEwMjUEAAAAATAHAAAACDQvMS8yMDI1CAAAAAoxMi8zMS8yMDIxCQAAAAEwPgtWZMFz3QjRut+UxHPdCDNDSVEuTllTRTpJQk0uSVFfREVGX0NIQVJHRVNfTFQuOTk4LjQvMS8yMDI1Li4uVVNELkgBAAAA3rYBAAIAAAADODY2AQgAAAAFAAAAATEBAAAACy0xOTU4MjgxMDk2AwAAAAMxNjACAAAABDEwMjUEAAAAATAHAAAACDQvMS8yMDI1CAAAAAoxMi8zMS8yMDIyCQAAAAEwPgtWZMFz3QjRut+UxHPdCDdDSVEuTllTRTpJQk0uSVFfREVGX1RBWF9BU1NFVFNfTFQuMjAwMC40LzEvMjAyNS4uLlVTRC5IAQAAAN62AQACAAAABDY5NzgBCAAAAAUAAAABMQEAAAALLTE5NTgyODA2MTUDAAAAAzE2MAIAAAAEMTAyNgQAAAABMAcAAAAINC8xLzIwMjUIAAAACjEyLzMxLzIwMjQJAAAAATA+C1ZkwXPdCBPDwJTEc90IM0NJUS5OWVNFOklCTS5JUV9ERUZfQ0hBUkdFU19MVC45OTAuNC8xLzIwMjUuLi5VU0QuSAEAAADetgEAAgAAAAQxNTI0AQgAAAAFAAAAATEBAAAACjE4Mjk5MTE5NjgDAAAAAzE2MAIAAAAEMTAyNQQAAAABMAcAAAAINC8xLzIwMjUIAAAACjEyLzMxLzIwMTQJAAAAATA+C1ZkwXPdCNG635TEc90IM0NJUS5OWVNFOklCTS5JUV9ERUZfQ0hBUkdFU19MVC45OTEuNC8xLzIwMjUuLi5VU0QuSAEAAADetgEAAgAAAAQx</t>
  </si>
  <si>
    <t>NjI2AQgAAAAFAAAAATEBAAAACjE4NzY0MzI4NzIDAAAAAzE2MAIAAAAEMTAyNQQAAAABMAcAAAAINC8xLzIwMjUIAAAACjEyLzMxLzIwMTUJAAAAATA+C1ZkwXPdCNG635TEc90IM0NJUS5OWVNFOklCTS5JUV9ERUZfQ0hBUkdFU19MVC45OTIuNC8xLzIwMjUuLi5VU0QuSAEAAADetgEAAgAAAAQxNDk2AQgAAAAFAAAAATEBAAAACjE5NDcxNzk1ODMDAAAAAzE2MAIAAAAEMTAyNQQAAAABMAcAAAAINC8xLzIwMjUIAAAACjEyLzMxLzIwMTYJAAAAATA+C1ZkwXPdCNG635TEc90IM0NJUS5OWVNFOklCTS5JUV9ERUZfQ0hBUkdFU19MVC45OTMuNC8xLzIwMjUuLi5VU0QuSAEAAADetgEAAgAAAAQyMTM2AQgAAAAFAAAAATEBAAAACjIwMTcxNjQyNDQDAAAAAzE2MAIAAAAEMTAyNQQAAAABMAcAAAAINC8xLzIwMjUIAAAACjEyLzMxLzIwMTcJAAAAATA+C1ZkwXPdCNG635TEc90INkNJUS5OWVNFOklCTS5JUV9ERUZfVEFYX0FTU0VUU19MVC45OTYuNC8xLzIwMjUuLi5VU0QuSAEAAADetgEAAgAAAAQ4NDA0AQgAAAAFAAAAATEBAAAACy0yMDU5MDczMjAyAwAAAAMxNjACAAAABDEwMjYEAAAAATAHAAAACDQvMS8yMDI1CAAAAAoxMi8zMS8yMDIwCQAAAAEwPgtWZMFz3QjRut+UxHPdCDZDSVEuTllTRTpJQk0uSVFfREVGX1RBWF9BU1NFVFNfTFQuOTk3LjQvMS8yMDI1Li4uVVNELkgBAAAA3rYBAAIAAAAENzM3</t>
  </si>
  <si>
    <t>MAEIAAAABQAAAAExAQAAAAstMjAwODY0NzE5OAMAAAADMTYwAgAAAAQxMDI2BAAAAAEwBwAAAAg0LzEvMjAyNQgAAAAKMTIvMzEvMjAyMQkAAAABMD4LVmTBc90I0brflMRz3Qg2Q0lRLk5ZU0U6SUJNLklRX0RFRl9UQVhfQVNTRVRTX0xULjk5OC40LzEvMjAyNS4uLlVTRC5IAQAAAN62AQACAAAABDYyNTYBCAAAAAUAAAABMQEAAAALLTE5NTgyODEwOTYDAAAAAzE2MAIAAAAEMTAyNgQAAAABMAcAAAAINC8xLzIwMjUIAAAACjEyLzMxLzIwMjIJAAAAATA+C1ZkwXPdCNG635TEc90INkNJUS5OWVNFOklCTS5JUV9ERUZfVEFYX0FTU0VUU19MVC45OTkuNC8xLzIwMjUuLi5VU0QuSAEAAADetgEAAgAAAAQ2NjU2AQgAAAAFAAAAATEBAAAACy0xOTU4MjgxMDk1AwAAAAMxNjACAAAABDEwMjYEAAAAATAHAAAACDQvMS8yMDI1CAAAAAoxMi8zMS8yMDIzCQAAAAEwPgtWZMFz3QgGrsGUxHPdCDdDSVEuTllTRTpJQk0uSVFfREVGX1RBWF9BU1NFVFNfTFQuMTAwMC40LzEvMjAyNS4uLlVTRC5IAQAAAN62AQACAAAABDY5NzgBCAAAAAUAAAABMQEAAAALLTE5NTgyODEwOTcDAAAAAzE2MAIAAAAEMTAyNgQAAAABMAcAAAAINC8xLzIwMjUIAAAACjEyLzMxLzIwMjQJAAAAATA+C1ZkwXPdCNG635TEc90INkNJUS5OWVNFOklCTS5JUV9ERUZfVEFYX0FTU0VUU19MVC45OTEuNC8xLzIwMjUuLi5VU0QuSAEAAADetgEA</t>
  </si>
  <si>
    <t>AgAAAAQ0ODIyAQgAAAAFAAAAATEBAAAACjE4NzY0MzI4NzIDAAAAAzE2MAIAAAAEMTAyNgQAAAABMAcAAAAINC8xLzIwMjUIAAAACjEyLzMxLzIwMTUJAAAAATA+C1ZkwXPdCIBs35TEc90INkNJUS5OWVNFOklCTS5JUV9ERUZfVEFYX0FTU0VUU19MVC45OTIuNC8xLzIwMjUuLi5VU0QuSAEAAADetgEAAgAAAAQ1MjI0AQgAAAAFAAAAATEBAAAACjE5NDcxNzk1ODMDAAAAAzE2MAIAAAAEMTAyNgQAAAABMAcAAAAINC8xLzIwMjUIAAAACjEyLzMxLzIwMTYJAAAAATA+C1ZkwXPdCIBs35TEc90INkNJUS5OWVNFOklCTS5JUV9ERUZfVEFYX0FTU0VUU19MVC45OTMuNC8xLzIwMjUuLi5VU0QuSAEAAADetgEAAgAAAAQ0ODYyAQgAAAAFAAAAATEBAAAACjIwMTcxNjQyNDQDAAAAAzE2MAIAAAAEMTAyNgQAAAABMAcAAAAINC8xLzIwMjUIAAAACjEyLzMxLzIwMTcJAAAAATA+C1ZkwXPdCIBs35TEc90INkNJUS5OWVNFOklCTS5JUV9ERUZfVEFYX0FTU0VUU19MVC45OTQuNC8xLzIwMjUuLi5VU0QuSAEAAADetgEAAgAAAAQ1MjE2AQgAAAAFAAAAATEBAAAACjIwODE1MDU0MDEDAAAAAzE2MAIAAAAEMTAyNgQAAAABMAcAAAAINC8xLzIwMjUIAAAACjEyLzMxLzIwMTgJAAAAATA+C1ZkwXPdCNG635TEc90INkNJUS5OWVNFOklCTS5JUV9ERUZfVEFYX0FTU0VUU19MVC45OTUuNC8xLzIwMjUuLi5VU0QuSAEAAADe</t>
  </si>
  <si>
    <t>tgEAAgAAAAQ1MTgyAQgAAAAFAAAAATEBAAAACy0yMTEwNzY5MzU1AwAAAAMxNjACAAAABDEwMjYEAAAAATAHAAAACDQvMS8yMDI1CAAAAAoxMi8zMS8yMDE5CQAAAAEwPgtWZMFz3QjRut+UxHPdCDRDSVEuTllTRTpJQk0uSVFfTE9BTlNfUkVDRUlWX0xULjk5OC40LzEvMjAyNS4uLlVTRC5IAQAAAN62AQADAAAAAAA+C1ZkwXPdCNG635TEc90INENJUS5OWVNFOklCTS5JUV9MT0FOU19SRUNFSVZfTFQuOTk5LjQvMS8yMDI1Li4uVVNELkgBAAAA3rYBAAMAAAAAAD4LVmTBc90Iu1/BlMRz3Qg1Q0lRLk5ZU0U6SUJNLklRX0xPQU5TX1JFQ0VJVl9MVC4xMDAwLjQvMS8yMDI1Li4uVVNELkgBAAAA3rYBAAMAAAAAAD4LVmTBc90IgGzflMRz3Qg1Q0lRLk5ZU0U6SUJNLklRX0xPQU5TX1JFQ0VJVl9MVC4yMDAwLjQvMS8yMDI1Li4uVVNELkgBAAAA3rYBAAMAAAAAAD4LVmTBc90IE8PAlMRz3Qg2Q0lRLk5ZU0U6SUJNLklRX0RFRl9UQVhfQVNTRVRTX0xULjk5MC40LzEvMjAyNS4uLlVTRC5IAQAAAN62AQACAAAABDY2NzUBCAAAAAUAAAABMQEAAAAKMTgyOTkxMTk2OAMAAAADMTYwAgAAAAQxMDI2BAAAAAEwBwAAAAg0LzEvMjAyNQgAAAAKMTIvMzEvMjAxNAkAAAABMD4LVmTBc90IgGzflMRz3Qg0Q0lRLk5ZU0U6SUJNLklRX0xPQU5TX1JFQ0VJVl9MVC45OTMuNC8xLzIwMjUuLi5VU0QuSAEAAADetgEAAwAA</t>
  </si>
  <si>
    <t>AAAAPgtWZMFz3QiAbN+UxHPdCDRDSVEuTllTRTpJQk0uSVFfTE9BTlNfUkVDRUlWX0xULjk5NC40LzEvMjAyNS4uLlVTRC5IAQAAAN62AQADAAAAAAA+C1ZkwXPdCIBs35TEc90INENJUS5OWVNFOklCTS5JUV9MT0FOU19SRUNFSVZfTFQuOTk1LjQvMS8yMDI1Li4uVVNELkgBAAAA3rYBAAMAAAAAAD4LVmTBc90IgGzflMRz3Qg0Q0lRLk5ZU0U6SUJNLklRX0xPQU5TX1JFQ0VJVl9MVC45OTYuNC8xLzIwMjUuLi5VU0QuSAEAAADetgEAAwAAAAAAPgtWZMFz3QiAbN+UxHPdCDRDSVEuTllTRTpJQk0uSVFfTE9BTlNfUkVDRUlWX0xULjk5Ny40LzEvMjAyNS4uLlVTRC5IAQAAAN62AQADAAAAAAA+C1ZkwXPdCIBs35TEc90IK0NJUS5OWVNFOklCTS5JUV9BUl9MVC4xMDAwLjQvMS8yMDI1Li4uVVNELkgBAAAA3rYBAAMAAAAAAD4LVmTBc90IgGzflMRz3QgrQ0lRLk5ZU0U6SUJNLklRX0FSX0xULjIwMDAuNC8xLzIwMjUuLi5VU0QuSAEAAADetgEAAwAAAAAAPgtWZMFz3QgTw8CUxHPdCDRDSVEuTllTRTpJQk0uSVFfTE9BTlNfUkVDRUlWX0xULjk5MC40LzEvMjAyNS4uLlVTRC5IAQAAAN62AQADAAAAAAA+C1ZkwXPdCIBs35TEc90INENJUS5OWVNFOklCTS5JUV9MT0FOU19SRUNFSVZfTFQuOTkxLjQvMS8yMDI1Li4uVVNELkgBAAAA3rYBAAMAAAAAAD4LVmTBc90IgGzflMRz3Qg0Q0lRLk5ZU0U6SUJNLklR</t>
  </si>
  <si>
    <t>X0xPQU5TX1JFQ0VJVl9MVC45OTIuNC8xLzIwMjUuLi5VU0QuSAEAAADetgEAAwAAAAAAPgtWZMFz3QiAbN+UxHPdCCpDSVEuTllTRTpJQk0uSVFfQVJfTFQuOTk1LjQvMS8yMDI1Li4uVVNELkgBAAAA3rYBAAMAAAAAAD4LVmTBc90IgGzflMRz3QgqQ0lRLk5ZU0U6SUJNLklRX0FSX0xULjk5Ni40LzEvMjAyNS4uLlVTRC5IAQAAAN62AQADAAAAAAA+C1ZkwXPdCIBs35TEc90IKkNJUS5OWVNFOklCTS5JUV9BUl9MVC45OTcuNC8xLzIwMjUuLi5VU0QuSAEAAADetgEAAwAAAAAAPgtWZMFz3QiAbN+UxHPdCCpDSVEuTllTRTpJQk0uSVFfQVJfTFQuOTk4LjQvMS8yMDI1Li4uVVNELkgBAAAA3rYBAAMAAAAAAD4LVmTBc90IgGzflMRz3QgqQ0lRLk5ZU0U6SUJNLklRX0FSX0xULjk5OS40LzEvMjAyNS4uLlVTRC5IAQAAAN62AQADAAAAAAA+C1ZkwXPdCAauwZTEc90IKkNJUS5OWVNFOklCTS5JUV9BUl9MVC45OTAuNC8xLzIwMjUuLi5VU0QuSAEAAADetgEAAwAAAAAAPgtWZMFz3QiAbN+UxHPdCCpDSVEuTllTRTpJQk0uSVFfQVJfTFQuOTkxLjQvMS8yMDI1Li4uVVNELkgBAAAA3rYBAAMAAAAAAD4LVmTBc90IgGzflMRz3QgqQ0lRLk5ZU0U6SUJNLklRX0FSX0xULjk5Mi40LzEvMjAyNS4uLlVTRC5IAQAAAN62AQADAAAAAAA+C1ZkwXPdCIBs35TEc90IKkNJUS5OWVNFOklCTS5JUV9BUl9MVC45OTMuNC8x</t>
  </si>
  <si>
    <t>LzIwMjUuLi5VU0QuSAEAAADetgEAAwAAAAAAPgtWZMFz3QiAbN+UxHPdCCpDSVEuTllTRTpJQk0uSVFfQVJfTFQuOTk0LjQvMS8yMDI1Li4uVVNELkgBAAAA3rYBAAMAAAAAAD4LVmTBc90IgGzflMRz3Qg2Q0lRLk5ZU0U6SUJNLklRX0ZJTl9ESVZfQVNTRVRTX0xULjk5Ny40LzEvMjAyNS4uLlVTRC5IAQAAAN62AQADAAAAAAA+C1ZkwXPdCIBs35TEc90INkNJUS5OWVNFOklCTS5JUV9GSU5fRElWX0FTU0VUU19MVC45OTguNC8xLzIwMjUuLi5VU0QuSAEAAADetgEAAwAAAAAAPgtWZMFz3QiAbN+UxHPdCDZDSVEuTllTRTpJQk0uSVFfRklOX0RJVl9BU1NFVFNfTFQuOTk5LjQvMS8yMDI1Li4uVVNELkgBAAAA3rYBAAMAAAAAAD4LVmTBc90IBq7BlMRz3Qg3Q0lRLk5ZU0U6SUJNLklRX0ZJTl9ESVZfQVNTRVRTX0xULjEwMDAuNC8xLzIwMjUuLi5VU0QuSAEAAADetgEAAwAAAAAAPgtWZMFz3QiAbN+UxHPdCDdDSVEuTllTRTpJQk0uSVFfRklOX0RJVl9BU1NFVFNfTFQuMjAwMC40LzEvMjAyNS4uLlVTRC5IAQAAAN62AQADAAAAAAA+C1ZkwXPdCBPDwJTEc90INkNJUS5OWVNFOklCTS5JUV9GSU5fRElWX0FTU0VUU19MVC45OTIuNC8xLzIwMjUuLi5VU0QuSAEAAADetgEAAwAAAAAAPgtWZMFz3QiAbN+UxHPdCDZDSVEuTllTRTpJQk0uSVFfRklOX0RJVl9BU1NFVFNfTFQuOTkzLjQvMS8yMDI1Li4uVVNE</t>
  </si>
  <si>
    <t>LkgBAAAA3rYBAAMAAAAAAD4LVmTBc90IgGzflMRz3Qg2Q0lRLk5ZU0U6SUJNLklRX0ZJTl9ESVZfQVNTRVRTX0xULjk5NC40LzEvMjAyNS4uLlVTRC5IAQAAAN62AQADAAAAAAA+C1ZkwXPdCIBs35TEc90INkNJUS5OWVNFOklCTS5JUV9GSU5fRElWX0FTU0VUU19MVC45OTUuNC8xLzIwMjUuLi5VU0QuSAEAAADetgEAAwAAAAAAPgtWZMFz3QiAbN+UxHPdCDZDSVEuTllTRTpJQk0uSVFfRklOX0RJVl9BU1NFVFNfTFQuOTk2LjQvMS8yMDI1Li4uVVNELkgBAAAA3rYBAAMAAAAAAD4LVmTBc90IgGzflMRz3Qg1Q0lRLk5ZU0U6SUJNLklRX0ZJTl9ESVZfTE9BTlNfTFQuOTk5LjQvMS8yMDI1Li4uVVNELkgBAAAA3rYBAAIAAAAENTc2NgEIAAAABQAAAAExAQAAAAstMTk1ODI4MTA5NQMAAAADMTYwAgAAAAQxMDMzBAAAAAEwBwAAAAg0LzEvMjAyNQgAAAAKMTIvMzEvMjAyMwkAAAABMD4LVmTBc90IBq7BlMRz3Qg2Q0lRLk5ZU0U6SUJNLklRX0ZJTl9ESVZfTE9BTlNfTFQuMTAwMC40LzEvMjAyNS4uLlVTRC5IAQAAAN62AQACAAAABDUzNTMBCAAAAAUAAAABMQEAAAALLTE5NTgyODEwOTcDAAAAAzE2MAIAAAAEMTAzMwQAAAABMAcAAAAINC8xLzIwMjUIAAAACjEyLzMxLzIwMjQJAAAAATA+C1ZkwXPdCIBs35TEc90INkNJUS5OWVNFOklCTS5JUV9GSU5fRElWX0xPQU5TX0xULjIwMDAuNC8xLzIwMjUuLi5V</t>
  </si>
  <si>
    <t>U0QuSAEAAADetgEAAgAAAAQ1MzUzAQgAAAAFAAAAATEBAAAACy0xOTU4MjgwNjE1AwAAAAMxNjACAAAABDEwMzMEAAAAATAHAAAACDQvMS8yMDI1CAAAAAoxMi8zMS8yMDI0CQAAAAEwPgtWZMFz3QgTw8CUxHPdCDZDSVEuTllTRTpJQk0uSVFfRklOX0RJVl9BU1NFVFNfTFQuOTkwLjQvMS8yMDI1Li4uVVNELkgBAAAA3rYBAAMAAAAAAD4LVmTBc90IgGzflMRz3Qg2Q0lRLk5ZU0U6SUJNLklRX0ZJTl9ESVZfQVNTRVRTX0xULjk5MS40LzEvMjAyNS4uLlVTRC5IAQAAAN62AQADAAAAAAA+C1ZkwXPdCIBs35TEc90INUNJUS5OWVNFOklCTS5JUV9GSU5fRElWX0xPQU5TX0xULjk5NC40LzEvMjAyNS4uLlVTRC5IAQAAAN62AQACAAAABDkxNDgBCAAAAAUAAAABMQEAAAAKMjA4MTUwNTQwMQMAAAADMTYwAgAAAAQxMDMzBAAAAAEwBwAAAAg0LzEvMjAyNQgAAAAKMTIvMzEvMjAxOAkAAAABMD4LVmTBc90IgGzflMRz3Qg1Q0lRLk5ZU0U6SUJNLklRX0ZJTl9ESVZfTE9BTlNfTFQuOTk1LjQvMS8yMDI1Li4uVVNELkgBAAAA3rYBAAIAAAAEODcxMgEIAAAABQAAAAExAQAAAAstMjExMDc2OTM1NQMAAAADMTYwAgAAAAQxMDMzBAAAAAEwBwAAAAg0LzEvMjAyNQgAAAAKMTIvMzEvMjAxOQkAAAABMD4LVmTBc90IgGzflMRz3Qg1Q0lRLk5ZU0U6SUJNLklRX0ZJTl9ESVZfTE9BTlNfTFQuOTk2LjQvMS8yMDI1Li4u</t>
  </si>
  <si>
    <t>VVNELkgBAAAA3rYBAAIAAAAENzA4NgEIAAAABQAAAAExAQAAAAstMjA1OTA3MzIwMgMAAAADMTYwAgAAAAQxMDMzBAAAAAEwBwAAAAg0LzEvMjAyNQgAAAAKMTIvMzEvMjAyMAkAAAABMD4LVmTBc90IgGzflMRz3Qg1Q0lRLk5ZU0U6SUJNLklRX0ZJTl9ESVZfTE9BTlNfTFQuOTk3LjQvMS8yMDI1Li4uVVNELkgBAAAA3rYBAAIAAAAENTQyNQEIAAAABQAAAAExAQAAAAstMjAwODY0NzE5OAMAAAADMTYwAgAAAAQxMDMzBAAAAAEwBwAAAAg0LzEvMjAyNQgAAAAKMTIvMzEvMjAyMQkAAAABMD4LVmTBc90IJh7flMRz3Qg1Q0lRLk5ZU0U6SUJNLklRX0ZJTl9ESVZfTE9BTlNfTFQuOTk4LjQvMS8yMDI1Li4uVVNELkgBAAAA3rYBAAIAAAAENTgwNgEIAAAABQAAAAExAQAAAAstMTk1ODI4MTA5NgMAAAADMTYwAgAAAAQxMDMzBAAAAAEwBwAAAAg0LzEvMjAyNQgAAAAKMTIvMzEvMjAyMgkAAAABMD4LVmTBc90IJh7flMRz3QgxQ0lRLk5ZU0U6SUJNLklRX09USEVSX0lOVEFOLjIwMDAuNC8xLzIwMjUuLi5VU0QuSAEAAADetgEAAgAAAAUxMDY2MAEIAAAABQAAAAExAQAAAAstMTk1ODI4MDYxNQMAAAADMTYwAgAAAAQxMDQwBAAAAAEwBwAAAAg0LzEvMjAyNQgAAAAKMTIvMzEvMjAyNAkAAAABMD4LVmTBc90IE8PAlMRz3Qg1Q0lRLk5ZU0U6SUJNLklRX0ZJTl9ESVZfTE9BTlNfTFQuOTkwLjQvMS8yMDI1Li4u</t>
  </si>
  <si>
    <t>VVNELkgBAAAA3rYBAAIAAAAFMTExMDkBCAAAAAUAAAABMQEAAAAKMTgyOTkxMTk2OAMAAAADMTYwAgAAAAQxMDMzBAAAAAEwBwAAAAg0LzEvMjAyNQgAAAAKMTIvMzEvMjAxNAkAAAABMD4LVmTBc90IJh7flMRz3Qg1Q0lRLk5ZU0U6SUJNLklRX0ZJTl9ESVZfTE9BTlNfTFQuOTkxLjQvMS8yMDI1Li4uVVNELkgBAAAA3rYBAAIAAAAFMTAwMTMBCAAAAAUAAAABMQEAAAAKMTg3NjQzMjg3MgMAAAADMTYwAgAAAAQxMDMzBAAAAAEwBwAAAAg0LzEvMjAyNQgAAAAKMTIvMzEvMjAxNQkAAAABMD4LVmTBc90IJh7flMRz3Qg1Q0lRLk5ZU0U6SUJNLklRX0ZJTl9ESVZfTE9BTlNfTFQuOTkyLjQvMS8yMDI1Li4uVVNELkgBAAAA3rYBAAIAAAAEOTAyMQEIAAAABQAAAAExAQAAAAoxOTQ3MTc5NTgzAwAAAAMxNjACAAAABDEwMzMEAAAAATAHAAAACDQvMS8yMDI1CAAAAAoxMi8zMS8yMDE2CQAAAAEwPgtWZMFz3QiAbN+UxHPdCDVDSVEuTllTRTpJQk0uSVFfRklOX0RJVl9MT0FOU19MVC45OTMuNC8xLzIwMjUuLi5VU0QuSAEAAADetgEAAgAAAAQ5NTUwAQgAAAAFAAAAATEBAAAACjIwMTcxNjQyNDQDAAAAAzE2MAIAAAAEMTAzMwQAAAABMAcAAAAINC8xLzIwMjUIAAAACjEyLzMxLzIwMTcJAAAAATA+C1ZkwXPdCCYe35TEc90IMENJUS5OWVNFOklCTS5JUV9PVEhFUl9JTlRBTi45OTYuNC8xLzIwMjUuLi5VU0Qu</t>
  </si>
  <si>
    <t>SAEAAADetgEAAgAAAAUxMzczOQEIAAAABQAAAAExAQAAAAstMjA1OTA3MzIwMgMAAAADMTYwAgAAAAQxMDQwBAAAAAEwBwAAAAg0LzEvMjAyNQgAAAAKMTIvMzEvMjAyMAkAAAABMD4LVmTBc90IJh7flMRz3QgwQ0lRLk5ZU0U6SUJNLklRX09USEVSX0lOVEFOLjk5Ny40LzEvMjAyNS4uLlVTRC5IAQAAAN62AQACAAAABTEyNTExAQgAAAAFAAAAATEBAAAACy0yMDA4NjQ3MTk4AwAAAAMxNjACAAAABDEwNDAEAAAAATAHAAAACDQvMS8yMDI1CAAAAAoxMi8zMS8yMDIxCQAAAAEwPgtWZMFz3QgmHt+UxHPdCDBDSVEuTllTRTpJQk0uSVFfT1RIRVJfSU5UQU4uOTk4LjQvMS8yMDI1Li4uVVNELkgBAAAA3rYBAAIAAAAFMTExODQBCAAAAAUAAAABMQEAAAALLTE5NTgyODEwOTYDAAAAAzE2MAIAAAAEMTA0MAQAAAABMAcAAAAINC8xLzIwMjUIAAAACjEyLzMxLzIwMjIJAAAAATA+C1ZkwXPdCCYe35TEc90IMENJUS5OWVNFOklCTS5JUV9PVEhFUl9JTlRBTi45OTkuNC8xLzIwMjUuLi5VU0QuSAEAAADetgEAAgAAAAUxMTAzNgEIAAAABQAAAAExAQAAAAstMTk1ODI4MTA5NQMAAAADMTYwAgAAAAQxMDQwBAAAAAEwBwAAAAg0LzEvMjAyNQgAAAAKMTIvMzEvMjAyMwkAAAABMD4LVmTBc90IBq7BlMRz3QgxQ0lRLk5ZU0U6SUJNLklRX09USEVSX0lOVEFOLjEwMDAuNC8xLzIwMjUuLi5VU0QuSAEAAADetgEAAgAA</t>
  </si>
  <si>
    <t>AAUxMDY2MAEIAAAABQAAAAExAQAAAAstMTk1ODI4MTA5NwMAAAADMTYwAgAAAAQxMDQwBAAAAAEwBwAAAAg0LzEvMjAyNQgAAAAKMTIvMzEvMjAyNAkAAAABMD4LVmTBc90IJh7flMRz3QgwQ0lRLk5ZU0U6SUJNLklRX09USEVSX0lOVEFOLjk5MS40LzEvMjAyNS4uLlVTRC5IAQAAAN62AQACAAAABDM0ODcBCAAAAAUAAAABMQEAAAAKMTg3NjQzMjg3MgMAAAADMTYwAgAAAAQxMDQwBAAAAAEwBwAAAAg0LzEvMjAyNQgAAAAKMTIvMzEvMjAxNQkAAAABMD4LVmTBc90IJh7flMRz3QgwQ0lRLk5ZU0U6SUJNLklRX09USEVSX0lOVEFOLjk5Mi40LzEvMjAyNS4uLlVTRC5IAQAAAN62AQACAAAABDQ2ODgBCAAAAAUAAAABMQEAAAAKMTk0NzE3OTU4MwMAAAADMTYwAgAAAAQxMDQwBAAAAAEwBwAAAAg0LzEvMjAyNQgAAAAKMTIvMzEvMjAxNgkAAAABMD4LVmTBc90IJh7flMRz3QgwQ0lRLk5ZU0U6SUJNLklRX09USEVSX0lOVEFOLjk5My40LzEvMjAyNS4uLlVTRC5IAQAAAN62AQACAAAABDM3NDIBCAAAAAUAAAABMQEAAAAKMjAxNzE2NDI0NAMAAAADMTYwAgAAAAQxMDQwBAAAAAEwBwAAAAg0LzEvMjAyNQgAAAAKMTIvMzEvMjAxNwkAAAABMD4LVmTBc90IJh7flMRz3QgwQ0lRLk5ZU0U6SUJNLklRX09USEVSX0lOVEFOLjk5NC40LzEvMjAyNS4uLlVTRC5IAQAAAN62AQACAAAABDMwODcBCAAAAAUAAAABMQEA</t>
  </si>
  <si>
    <t>AAAKMjA4MTUwNTQwMQMAAAADMTYwAgAAAAQxMDQwBAAAAAEwBwAAAAg0LzEvMjAyNQgAAAAKMTIvMzEvMjAxOAkAAAABMD4LVmTBc90IJh7flMRz3QgwQ0lRLk5ZU0U6SUJNLklRX09USEVSX0lOVEFOLjk5NS40LzEvMjAyNS4uLlVTRC5IAQAAAN62AQACAAAABTE1MjM1AQgAAAAFAAAAATEBAAAACy0yMTEwNzY5MzU1AwAAAAMxNjACAAAABDEwNDAEAAAAATAHAAAACDQvMS8yMDI1CAAAAAoxMi8zMS8yMDE5CQAAAAEwPgtWZMFz3QgmHt+UxHPdCCdDSVEuTllTRTpJQk0uSVFfR1cuOTk4LjQvMS8yMDI1Li4uVVNELkgBAAAA3rYBAAIAAAAFNTU5NDkBCAAAAAUAAAABMQEAAAALLTE5NTgyODEwOTYDAAAAAzE2MAIAAAAEMTE3MQQAAAABMAcAAAAINC8xLzIwMjUIAAAACjEyLzMxLzIwMjIJAAAAATA+C1ZkwXPdCCYe35TEc90IJ0NJUS5OWVNFOklCTS5JUV9HVy45OTkuNC8xLzIwMjUuLi5VU0QuSAEAAADetgEAAgAAAAU2MDE3OAEIAAAABQAAAAExAQAAAAstMTk1ODI4MTA5NQMAAAADMTYwAgAAAAQxMTcxBAAAAAEwBwAAAAg0LzEvMjAyNQgAAAAKMTIvMzEvMjAyMwkAAAABMD4LVmTBc90IBq7BlMRz3QgoQ0lRLk5ZU0U6SUJNLklRX0dXLjEwMDAuNC8xLzIwMjUuLi5VU0QuSAEAAADetgEAAgAAAAU2MDcwNgEIAAAABQAAAAExAQAAAAstMTk1ODI4MTA5NwMAAAADMTYwAgAAAAQxMTcxBAAAAAEwBwAA</t>
  </si>
  <si>
    <t>AAg0LzEvMjAyNQgAAAAKMTIvMzEvMjAyNAkAAAABMD4LVmTBc90IJh7flMRz3QgoQ0lRLk5ZU0U6SUJNLklRX0dXLjIwMDAuNC8xLzIwMjUuLi5VU0QuSAEAAADetgEAAgAAAAU2MDcwNgEIAAAABQAAAAExAQAAAAstMTk1ODI4MDYxNQMAAAADMTYwAgAAAAQxMTcxBAAAAAEwBwAAAAg0LzEvMjAyNQgAAAAKMTIvMzEvMjAyNAkAAAABMD4LVmTBc90IE8PAlMRz3QgwQ0lRLk5ZU0U6SUJNLklRX09USEVSX0lOVEFOLjk5MC40LzEvMjAyNS4uLlVTRC5IAQAAAN62AQACAAAABDMxMDQBCAAAAAUAAAABMQEAAAAKMTgyOTkxMTk2OAMAAAADMTYwAgAAAAQxMDQwBAAAAAEwBwAAAAg0LzEvMjAyNQgAAAAKMTIvMzEvMjAxNAkAAAABMD4LVmTBc90IJh7flMRz3QgnQ0lRLk5ZU0U6SUJNLklRX0dXLjk5My40LzEvMjAyNS4uLlVTRC5IAQAAAN62AQACAAAABTM2Nzg4AQgAAAAFAAAAATEBAAAACjIwMTcxNjQyNDQDAAAAAzE2MAIAAAAEMTE3MQQAAAABMAcAAAAINC8xLzIwMjUIAAAACjEyLzMxLzIwMTcJAAAAATA+C1ZkwXPdCCYe35TEc90IJ0NJUS5OWVNFOklCTS5JUV9HVy45OTQuNC8xLzIwMjUuLi5VU0QuSAEAAADetgEAAgAAAAUzNjI2NQEIAAAABQAAAAExAQAAAAoyMDgxNTA1NDAxAwAAAAMxNjACAAAABDExNzEEAAAAATAHAAAACDQvMS8yMDI1CAAAAAoxMi8zMS8yMDE4CQAAAAEwPgtWZMFz3QgmHt+U</t>
  </si>
  <si>
    <t>xHPdCCdDSVEuTllTRTpJQk0uSVFfR1cuOTk1LjQvMS8yMDI1Li4uVVNELkgBAAAA3rYBAAIAAAAFNTgyMjIBCAAAAAUAAAABMQEAAAALLTIxMTA3NjkzNTUDAAAAAzE2MAIAAAAEMTE3MQQAAAABMAcAAAAINC8xLzIwMjUIAAAACjEyLzMxLzIwMTkJAAAAATA+C1ZkwXPdCCYe35TEc90IJ0NJUS5OWVNFOklCTS5JUV9HVy45OTYuNC8xLzIwMjUuLi5VU0QuSAEAAADetgEAAgAAAAU1Mzc2NQEIAAAABQAAAAExAQAAAAstMjA1OTA3MzIwMgMAAAADMTYwAgAAAAQxMTcxBAAAAAEwBwAAAAg0LzEvMjAyNQgAAAAKMTIvMzEvMjAyMAkAAAABMD4LVmTBc90IJh7flMRz3QgnQ0lRLk5ZU0U6SUJNLklRX0dXLjk5Ny40LzEvMjAyNS4uLlVTRC5IAQAAAN62AQACAAAABTU1NjQzAQgAAAAFAAAAATEBAAAACy0yMDA4NjQ3MTk4AwAAAAMxNjACAAAABDExNzEEAAAAATAHAAAACDQvMS8yMDI1CAAAAAoxMi8zMS8yMDIxCQAAAAEwPgtWZMFz3QgmHt+UxHPdCC9DSVEuTllTRTpJQk0uSVFfTFRfSU5WRVNULjEwMDAuNC8xLzIwMjUuLi5VU0QuSAEAAADetgEAAgAAAAQxNjkxAQgAAAAFAAAAATEBAAAACy0xOTU4MjgxMDk3AwAAAAMxNjACAAAABDEwNTQEAAAAATAHAAAACDQvMS8yMDI1CAAAAAoxMi8zMS8yMDI0CQAAAAEwPgtWZMFz3QgmHt+UxHPdCC9DSVEuTllTRTpJQk0uSVFfTFRfSU5WRVNULjIwMDAuNC8xLzIw</t>
  </si>
  <si>
    <t>MjUuLi5VU0QuSAEAAADetgEAAgAAAAQxNjkxAQgAAAAFAAAAATEBAAAACy0xOTU4MjgwNjE1AwAAAAMxNjACAAAABDEwNTQEAAAAATAHAAAACDQvMS8yMDI1CAAAAAoxMi8zMS8yMDI0CQAAAAEwPgtWZMFz3QgTw8CUxHPdCCdDSVEuTllTRTpJQk0uSVFfR1cuOTkwLjQvMS8yMDI1Li4uVVNELkgBAAAA3rYBAAIAAAAFMzA1NTYBCAAAAAUAAAABMQEAAAAKMTgyOTkxMTk2OAMAAAADMTYwAgAAAAQxMTcxBAAAAAEwBwAAAAg0LzEvMjAyNQgAAAAKMTIvMzEvMjAxNAkAAAABMD4LVmTBc90IJh7flMRz3QgnQ0lRLk5ZU0U6SUJNLklRX0dXLjk5MS40LzEvMjAyNS4uLlVTRC5IAQAAAN62AQACAAAABTMyMDIxAQgAAAAFAAAAATEBAAAACjE4NzY0MzI4NzIDAAAAAzE2MAIAAAAEMTE3MQQAAAABMAcAAAAINC8xLzIwMjUIAAAACjEyLzMxLzIwMTUJAAAAATA+C1ZkwXPdCCYe35TEc90IJ0NJUS5OWVNFOklCTS5JUV9HVy45OTIuNC8xLzIwMjUuLi5VU0QuSAEAAADetgEAAgAAAAUzNjE5OQEIAAAABQAAAAExAQAAAAoxOTQ3MTc5NTgzAwAAAAMxNjACAAAABDExNzEEAAAAATAHAAAACDQvMS8yMDI1CAAAAAoxMi8zMS8yMDE2CQAAAAEwPgtWZMFz3QgmHt+UxHPdCC5DSVEuTllTRTpJQk0uSVFfTFRfSU5WRVNULjk5NS40LzEvMjAyNS4uLlVTRC5IAQAAAN62AQACAAAAAzIyMgEIAAAABQAAAAExAQAAAAstMjEx</t>
  </si>
  <si>
    <t>MDc2OTM1NQMAAAADMTYwAgAAAAQxMDU0BAAAAAEwBwAAAAg0LzEvMjAyNQgAAAAKMTIvMzEvMjAxOQkAAAABMD4LVmTBc90IJh7flMRz3QguQ0lRLk5ZU0U6SUJNLklRX0xUX0lOVkVTVC45OTYuNC8xLzIwMjUuLi5VU0QuSAEAAADetgEAAgAAAAMyMTYBCAAAAAUAAAABMQEAAAALLTIwNTkwNzMyMDIDAAAAAzE2MAIAAAAEMTA1NAQAAAABMAcAAAAINC8xLzIwMjUIAAAACjEyLzMxLzIwMjAJAAAAATA+C1ZkwXPdCCYe35TEc90ILkNJUS5OWVNFOklCTS5JUV9MVF9JTlZFU1QuOTk3LjQvMS8yMDI1Li4uVVNELkgBAAAA3rYBAAIAAAAEMTc4MwEIAAAABQAAAAExAQAAAAstMjAwODY0NzE5OAMAAAADMTYwAgAAAAQxMDU0BAAAAAEwBwAAAAg0LzEvMjAyNQgAAAAKMTIvMzEvMjAyMQkAAAABMD4LVmTBc90IJh7flMRz3QguQ0lRLk5ZU0U6SUJNLklRX0xUX0lOVkVTVC45OTguNC8xLzIwMjUuLi5VU0QuSAEAAADetgEAAgAAAAQxNjEwAQgAAAAFAAAAATEBAAAACy0xOTU4MjgxMDk2AwAAAAMxNjACAAAABDEwNTQEAAAAATAHAAAACDQvMS8yMDI1CAAAAAoxMi8zMS8yMDIyCQAAAAEwPgtWZMFz3QgmHt+UxHPdCC5DSVEuTllTRTpJQk0uSVFfTFRfSU5WRVNULjk5OS40LzEvMjAyNS4uLlVTRC5IAQAAAN62AQACAAAABDE1ODkBCAAAAAUAAAABMQEAAAALLTE5NTgyODEwOTUDAAAAAzE2MAIAAAAEMTA1NAQA</t>
  </si>
  <si>
    <t>AAABMAcAAAAINC8xLzIwMjUIAAAACjEyLzMxLzIwMjMJAAAAATA+C1ZkwXPdCAauwZTEc90ILkNJUS5OWVNFOklCTS5JUV9MVF9JTlZFU1QuOTkwLjQvMS8yMDI1Li4uVVNELkgBAAAA3rYBAAIAAAAEMTIyMgEIAAAABQAAAAExAQAAAAoxODI5OTExOTY4AwAAAAMxNjACAAAABDEwNTQEAAAAATAHAAAACDQvMS8yMDI1CAAAAAoxMi8zMS8yMDE0CQAAAAEwPgtWZMFz3QgmHt+UxHPdCC5DSVEuTllTRTpJQk0uSVFfTFRfSU5WRVNULjk5MS40LzEvMjAyNS4uLlVTRC5IAQAAAN62AQACAAAABDExMzEBCAAAAAUAAAABMQEAAAAKMTg3NjQzMjg3MgMAAAADMTYwAgAAAAQxMDU0BAAAAAEwBwAAAAg0LzEvMjAyNQgAAAAKMTIvMzEvMjAxNQkAAAABMD4LVmTBc90IJh7flMRz3QguQ0lRLk5ZU0U6SUJNLklRX0xUX0lOVkVTVC45OTIuNC8xLzIwMjUuLi5VU0QuSAEAAADetgEAAgAAAAM2NTkBCAAAAAUAAAABMQEAAAAKMTk0NzE3OTU4MwMAAAADMTYwAgAAAAQxMDU0BAAAAAEwBwAAAAg0LzEvMjAyNQgAAAAKMTIvMzEvMjAxNgkAAAABMD4LVmTBc90IJh7flMRz3QguQ0lRLk5ZU0U6SUJNLklRX0xUX0lOVkVTVC45OTMuNC8xLzIwMjUuLi5VU0QuSAEAAADetgEAAgAAAAM1ODEBCAAAAAUAAAABMQEAAAAKMjAxNzE2NDI0NAMAAAADMTYwAgAAAAQxMDU0BAAAAAEwBwAAAAg0LzEvMjAyNQgAAAAKMTIvMzEvMjAx</t>
  </si>
  <si>
    <t>NwkAAAABMD4LVmTBc90IJh7flMRz3QguQ0lRLk5ZU0U6SUJNLklRX0xUX0lOVkVTVC45OTQuNC8xLzIwMjUuLi5VU0QuSAEAAADetgEAAgAAAAMyMjYBCAAAAAUAAAABMQEAAAAKMjA4MTUwNTQwMQMAAAADMTYwAgAAAAQxMDU0BAAAAAEwBwAAAAg0LzEvMjAyNQgAAAAKMTIvMzEvMjAxOAkAAAABMD4LVmTBc90IJh7flMRz3QgpQ0lRLk5ZU0U6SUJNLklRX05QUEUuOTk3LjQvMS8yMDI1Li4uVVNELkgBAAAA3rYBAAIAAAAEODkxNgEIAAAABQAAAAExAQAAAAstMjAwODY0NzE5OAMAAAADMTYwAgAAAAQxMDA0BAAAAAEwBwAAAAg0LzEvMjAyNQgAAAAKMTIvMzEvMjAyMQkAAAABMD4LVmTBc90IJh7flMRz3QgpQ0lRLk5ZU0U6SUJNLklRX05QUEUuOTk4LjQvMS8yMDI1Li4uVVNELkgBAAAA3rYBAAIAAAAEODIxMgEIAAAABQAAAAExAQAAAAstMTk1ODI4MTA5NgMAAAADMTYwAgAAAAQxMDA0BAAAAAEwBwAAAAg0LzEvMjAyNQgAAAAKMTIvMzEvMjAyMgkAAAABMD4LVmTBc90IJh7flMRz3QgpQ0lRLk5ZU0U6SUJNLklRX05QUEUuOTk5LjQvMS8yMDI1Li4uVVNELkgBAAAA3rYBAAIAAAAEODcyMQEIAAAABQAAAAExAQAAAAstMTk1ODI4MTA5NQMAAAADMTYwAgAAAAQxMDA0BAAAAAEwBwAAAAg0LzEvMjAyNQgAAAAKMTIvMzEvMjAyMwkAAAABMD4LVmTBc90IBq7BlMRz3QgqQ0lRLk5ZU0U6SUJNLklRX05Q</t>
  </si>
  <si>
    <t>UEUuMTAwMC40LzEvMjAyNS4uLlVTRC5IAQAAAN62AQACAAAABDg5MjkBCAAAAAUAAAABMQEAAAALLTE5NTgyODEwOTcDAAAAAzE2MAIAAAAEMTAwNAQAAAABMAcAAAAINC8xLzIwMjUIAAAACjEyLzMxLzIwMjQJAAAAATA+C1ZkwXPdCCYe35TEc90IKkNJUS5OWVNFOklCTS5JUV9OUFBFLjIwMDAuNC8xLzIwMjUuLi5VU0QuSAEAAADetgEAAgAAAAQ4OTI5AQgAAAAFAAAAATEBAAAACy0xOTU4MjgwNjE1AwAAAAMxNjACAAAABDEwMDQEAAAAATAHAAAACDQvMS8yMDI1CAAAAAoxMi8zMS8yMDI0CQAAAAEwPgtWZMFz3QgTw8CUxHPdCClDSVEuTllTRTpJQk0uSVFfTlBQRS45OTIuNC8xLzIwMjUuLi5VU0QuSAEAAADetgEAAgAAAAUxMDgzMAEIAAAABQAAAAExAQAAAAoxOTQ3MTc5NTgzAwAAAAMxNjACAAAABDEwMDQEAAAAATAHAAAACDQvMS8yMDI1CAAAAAoxMi8zMS8yMDE2CQAAAAEwPgtWZMFz3QgmHt+UxHPdCClDSVEuTllTRTpJQk0uSVFfTlBQRS45OTMuNC8xLzIwMjUuLi5VU0QuSAEAAADetgEAAgAAAAUxMTExNgEIAAAABQAAAAExAQAAAAoyMDE3MTY0MjQ0AwAAAAMxNjACAAAABDEwMDQEAAAAATAHAAAACDQvMS8yMDI1CAAAAAoxMi8zMS8yMDE3CQAAAAEwPgtWZMFz3QiSl96UxHPdCClDSVEuTllTRTpJQk0uSVFfTlBQRS45OTQuNC8xLzIwMjUuLi5VU0QuSAEAAADetgEAAgAAAAUxMDc5MgEI</t>
  </si>
  <si>
    <t>AAAABQAAAAExAQAAAAoyMDgxNTA1NDAxAwAAAAMxNjACAAAABDEwMDQEAAAAATAHAAAACDQvMS8yMDI1CAAAAAoxMi8zMS8yMDE4CQAAAAEwPgtWZMFz3QiSl96UxHPdCClDSVEuTllTRTpJQk0uSVFfTlBQRS45OTUuNC8xLzIwMjUuLi5VU0QuSAEAAADetgEAAgAAAAUxNTAwNgEIAAAABQAAAAExAQAAAAstMjExMDc2OTM1NQMAAAADMTYwAgAAAAQxMDA0BAAAAAEwBwAAAAg0LzEvMjAyNQgAAAAKMTIvMzEvMjAxOQkAAAABMD4LVmTBc90IkpfelMRz3QgpQ0lRLk5ZU0U6SUJNLklRX05QUEUuOTk2LjQvMS8yMDI1Li4uVVNELkgBAAAA3rYBAAIAAAAEOTc3MQEIAAAABQAAAAExAQAAAAstMjA1OTA3MzIwMgMAAAADMTYwAgAAAAQxMDA0BAAAAAEwBwAAAAg0LzEvMjAyNQgAAAAKMTIvMzEvMjAyMAkAAAABMD4LVmTBc90IkpfelMRz3QgnQ0lRLk5ZU0U6SUJNLklRX0FELjk5OS40LzEvMjAyNS4uLlVTRC5IAQAAAN62AQACAAAABi0xMjYyMQEIAAAABQAAAAExAQAAAAstMTk1ODI4MTA5NQMAAAADMTYwAgAAAAQxMDc1BAAAAAEwBwAAAAg0LzEvMjAyNQgAAAAKMTIvMzEvMjAyMwkAAAABMD4LVmTBc90IBq7BlMRz3QgoQ0lRLk5ZU0U6SUJNLklRX0FELjEwMDAuNC8xLzIwMjUuLi5VU0QuSAEAAADetgEAAgAAAAYtMTE5NTkBCAAAAAUAAAABMQEAAAALLTE5NTgyODEwOTcDAAAAAzE2MAIAAAAEMTA3NQQA</t>
  </si>
  <si>
    <t>AAABMAcAAAAINC8xLzIwMjUIAAAACjEyLzMxLzIwMjQJAAAAATA+C1ZkwXPdCJKX3pTEc90IKENJUS5OWVNFOklCTS5JUV9BRC4yMDAwLjQvMS8yMDI1Li4uVVNELkgBAAAA3rYBAAIAAAAGLTExOTU5AQgAAAAFAAAAATEBAAAACy0xOTU4MjgwNjE1AwAAAAMxNjACAAAABDEwNzUEAAAAATAHAAAACDQvMS8yMDI1CAAAAAoxMi8zMS8yMDI0CQAAAAEwPgtWZMFz3QgTw8CUxHPdCClDSVEuTllTRTpJQk0uSVFfTlBQRS45OTAuNC8xLzIwMjUuLi5VU0QuSAEAAADetgEAAgAAAAUxMDc3MQEIAAAABQAAAAExAQAAAAoxODI5OTExOTY4AwAAAAMxNjACAAAABDEwMDQEAAAAATAHAAAACDQvMS8yMDI1CAAAAAoxMi8zMS8yMDE0CQAAAAEwPgtWZMFz3QiSl96UxHPdCClDSVEuTllTRTpJQk0uSVFfTlBQRS45OTEuNC8xLzIwMjUuLi5VU0QuSAEAAADetgEAAgAAAAUxMDcyNwEIAAAABQAAAAExAQAAAAoxODc2NDMyODcyAwAAAAMxNjACAAAABDEwMDQEAAAAATAHAAAACDQvMS8yMDI1CAAAAAoxMi8zMS8yMDE1CQAAAAEwPgtWZMFz3QiSl96UxHPdCCdDSVEuTllTRTpJQk0uSVFfQUQuOTk0LjQvMS8yMDI1Li4uVVNELkgBAAAA3rYBAAIAAAAGLTIxNjY4AQgAAAAFAAAAATEBAAAACjIwODE1MDU0MDEDAAAAAzE2MAIAAAAEMTA3NQQAAAABMAcAAAAINC8xLzIwMjUIAAAACjEyLzMxLzIwMTgJAAAAATA+C1ZkwXPd</t>
  </si>
  <si>
    <t>CJKX3pTEc90IJ0NJUS5OWVNFOklCTS5JUV9BRC45OTUuNC8xLzIwMjUuLi5VU0QuSAEAAADetgEAAgAAAAYtMjIwMTgBCAAAAAUAAAABMQEAAAALLTIxMTA3NjkzNTUDAAAAAzE2MAIAAAAEMTA3NQQAAAABMAcAAAAINC8xLzIwMjUIAAAACjEyLzMxLzIwMTkJAAAAATA+C1ZkwXPdCJKX3pTEc90IJ0NJUS5OWVNFOklCTS5JUV9BRC45OTYuNC8xLzIwMjUuLi5VU0QuSAEAAADetgEAAgAAAAYtMTM4OTYBCAAAAAUAAAABMQEAAAALLTIwNTkwNzMyMDIDAAAAAzE2MAIAAAAEMTA3NQQAAAABMAcAAAAINC8xLzIwMjUIAAAACjEyLzMxLzIwMjAJAAAAATA+C1ZkwXPdCJKX3pTEc90IJ0NJUS5OWVNFOklCTS5JUV9BRC45OTcuNC8xLzIwMjUuLi5VU0QuSAEAAADetgEAAgAAAAYtMTQzOTABCAAAAAUAAAABMQEAAAALLTIwMDg2NDcxOTgDAAAAAzE2MAIAAAAEMTA3NQQAAAABMAcAAAAINC8xLzIwMjUIAAAACjEyLzMxLzIwMjEJAAAAATA+C1ZkwXPdCJKX3pTEc90IJ0NJUS5OWVNFOklCTS5JUV9BRC45OTguNC8xLzIwMjUuLi5VU0QuSAEAAADetgEAAgAAAAYtMTMzNjEBCAAAAAUAAAABMQEAAAALLTE5NTgyODEwOTYDAAAAAzE2MAIAAAAEMTA3NQQAAAABMAcAAAAINC8xLzIwMjUIAAAACjEyLzMxLzIwMjIJAAAAATA+C1ZkwXPdCJKX3pTEc90IKkNJUS5OWVNFOklCTS5JUV9HUFBFLjIwMDAuNC8xLzIwMjUu</t>
  </si>
  <si>
    <t>Li5VU0QuSAEAAADetgEAAgAAAAUyMDg4OAEIAAAABQAAAAExAQAAAAstMTk1ODI4MDYxNQMAAAADMTYwAgAAAAQxMTY5BAAAAAEwBwAAAAg0LzEvMjAyNQgAAAAKMTIvMzEvMjAyNAkAAAABMD4LVmTBc90IE8PAlMRz3QgnQ0lRLk5ZU0U6SUJNLklRX0FELjk5MC40LzEvMjAyNS4uLlVTRC5IAQAAAN62AQACAAAABi0yODI2MwEIAAAABQAAAAExAQAAAAoxODI5OTExOTY4AwAAAAMxNjACAAAABDEwNzUEAAAAATAHAAAACDQvMS8yMDI1CAAAAAoxMi8zMS8yMDE0CQAAAAEwPgtWZMFz3QiSl96UxHPdCCdDSVEuTllTRTpJQk0uSVFfQUQuOTkxLjQvMS8yMDI1Li4uVVNELkgBAAAA3rYBAAIAAAAGLTE4NjE2AQgAAAAFAAAAATEBAAAACjE4NzY0MzI4NzIDAAAAAzE2MAIAAAAEMTA3NQQAAAABMAcAAAAINC8xLzIwMjUIAAAACjEyLzMxLzIwMTUJAAAAATA+C1ZkwXPdCJKX3pTEc90IJ0NJUS5OWVNFOklCTS5JUV9BRC45OTIuNC8xLzIwMjUuLi5VU0QuSAEAAADetgEAAgAAAAYtMTkzMDMBCAAAAAUAAAABMQEAAAAKMTk0NzE3OTU4MwMAAAADMTYwAgAAAAQxMDc1BAAAAAEwBwAAAAg0LzEvMjAyNQgAAAAKMTIvMzEvMjAxNgkAAAABMD4LVmTBc90IkpfelMRz3QgnQ0lRLk5ZU0U6SUJNLklRX0FELjk5My40LzEvMjAyNS4uLlVTRC5IAQAAAN62AQACAAAABi0yMTIxNQEIAAAABQAAAAExAQAAAAoyMDE3MTY0</t>
  </si>
  <si>
    <t>MjQ0AwAAAAMxNjACAAAABDEwNzUEAAAAATAHAAAACDQvMS8yMDI1CAAAAAoxMi8zMS8yMDE3CQAAAAEwPgtWZMFz3QiSl96UxHPdCClDSVEuTllTRTpJQk0uSVFfR1BQRS45OTYuNC8xLzIwMjUuLi5VU0QuSAEAAADetgEAAgAAAAUyMzY2NwEIAAAABQAAAAExAQAAAAstMjA1OTA3MzIwMgMAAAADMTYwAgAAAAQxMTY5BAAAAAEwBwAAAAg0LzEvMjAyNQgAAAAKMTIvMzEvMjAyMAkAAAABMD4LVmTBc90IkpfelMRz3QgpQ0lRLk5ZU0U6SUJNLklRX0dQUEUuOTk3LjQvMS8yMDI1Li4uVVNELkgBAAAA3rYBAAIAAAAFMjMzMDYBCAAAAAUAAAABMQEAAAALLTIwMDg2NDcxOTgDAAAAAzE2MAIAAAAEMTE2OQQAAAABMAcAAAAINC8xLzIwMjUIAAAACjEyLzMxLzIwMjEJAAAAATA+C1ZkwXPdCJKX3pTEc90IKUNJUS5OWVNFOklCTS5JUV9HUFBFLjk5OC40LzEvMjAyNS4uLlVTRC5IAQAAAN62AQACAAAABTIxNTczAQgAAAAFAAAAATEBAAAACy0xOTU4MjgxMDk2AwAAAAMxNjACAAAABDExNjkEAAAAATAHAAAACDQvMS8yMDI1CAAAAAoxMi8zMS8yMDIyCQAAAAEwPgtWZMFz3QiSl96UxHPdCClDSVEuTllTRTpJQk0uSVFfR1BQRS45OTkuNC8xLzIwMjUuLi5VU0QuSAEAAADetgEAAgAAAAUyMTM0MgEIAAAABQAAAAExAQAAAAstMTk1ODI4MTA5NQMAAAADMTYwAgAAAAQxMTY5BAAAAAEwBwAAAAg0LzEvMjAyNQgA</t>
  </si>
  <si>
    <t>AAAKMTIvMzEvMjAyMwkAAAABMD4LVmTBc90IBq7BlMRz3QgqQ0lRLk5ZU0U6SUJNLklRX0dQUEUuMTAwMC40LzEvMjAyNS4uLlVTRC5IAQAAAN62AQACAAAABTIwODg4AQgAAAAFAAAAATEBAAAACy0xOTU4MjgxMDk3AwAAAAMxNjACAAAABDExNjkEAAAAATAHAAAACDQvMS8yMDI1CAAAAAoxMi8zMS8yMDI0CQAAAAEwPgtWZMFz3QiSl96UxHPdCClDSVEuTllTRTpJQk0uSVFfR1BQRS45OTEuNC8xLzIwMjUuLi5VU0QuSAEAAADetgEAAgAAAAUyOTM0MwEIAAAABQAAAAExAQAAAAoxODc2NDMyODcyAwAAAAMxNjACAAAABDExNjkEAAAAATAHAAAACDQvMS8yMDI1CAAAAAoxMi8zMS8yMDE1CQAAAAEwPgtWZMFz3QiSl96UxHPdCClDSVEuTllTRTpJQk0uSVFfR1BQRS45OTIuNC8xLzIwMjUuLi5VU0QuSAEAAADetgEAAgAAAAUzMDEzMwEIAAAABQAAAAExAQAAAAoxOTQ3MTc5NTgzAwAAAAMxNjACAAAABDExNjkEAAAAATAHAAAACDQvMS8yMDI1CAAAAAoxMi8zMS8yMDE2CQAAAAEwPgtWZMFz3QiSl96UxHPdCClDSVEuTllTRTpJQk0uSVFfR1BQRS45OTMuNC8xLzIwMjUuLi5VU0QuSAEAAADetgEAAgAAAAUzMjMzMQEIAAAABQAAAAExAQAAAAoyMDE3MTY0MjQ0AwAAAAMxNjACAAAABDExNjkEAAAAATAHAAAACDQvMS8yMDI1CAAAAAoxMi8zMS8yMDE3CQAAAAEwPgtWZMFz3QiSl96UxHPdCClDSVEuTllT</t>
  </si>
  <si>
    <t>RTpJQk0uSVFfR1BQRS45OTQuNC8xLzIwMjUuLi5VU0QuSAEAAADetgEAAgAAAAUzMjQ2MAEIAAAABQAAAAExAQAAAAoyMDgxNTA1NDAxAwAAAAMxNjACAAAABDExNjkEAAAAATAHAAAACDQvMS8yMDI1CAAAAAoxMi8zMS8yMDE4CQAAAAEwPgtWZMFz3QiSl96UxHPdCClDSVEuTllTRTpJQk0uSVFfR1BQRS45OTUuNC8xLzIwMjUuLi5VU0QuSAEAAADetgEAAgAAAAUzNzAyNAEIAAAABQAAAAExAQAAAAstMjExMDc2OTM1NQMAAAADMTYwAgAAAAQxMTY5BAAAAAEwBwAAAAg0LzEvMjAyNQgAAAAKMTIvMzEvMjAxOQkAAAABMD4LVmTBc90IkpfelMRz3QgtQ0lRLk5ZU0U6SUJNLklRX1RPVEFMX0NBLjk5OC40LzEvMjAyNS4uLlVTRC5IAQAAAN62AQACAAAABTI5MTE4AQgAAAAFAAAAATEBAAAACy0xOTU4MjgxMDk2AwAAAAMxNjACAAAABDEwMDgEAAAAATAHAAAACDQvMS8yMDI1CAAAAAoxMi8zMS8yMDIyCQAAAAEwPgtWZMFz3QiSl96UxHPdCC1DSVEuTllTRTpJQk0uSVFfVE9UQUxfQ0EuOTk5LjQvMS8yMDI1Li4uVVNELkgBAAAA3rYBAAIAAAAFMzI5MDgBCAAAAAUAAAABMQEAAAALLTE5NTgyODEwOTUDAAAAAzE2MAIAAAAEMTAwOAQAAAABMAcAAAAINC8xLzIwMjUIAAAACjEyLzMxLzIwMjMJAAAAATA+C1ZkwXPdCAauwZTEc90ILkNJUS5OWVNFOklCTS5JUV9UT1RBTF9DQS4xMDAwLjQvMS8yMDI1Li4u</t>
  </si>
  <si>
    <t>VVNELkgBAAAA3rYBAAIAAAAFMzQ0ODIBCAAAAAUAAAABMQEAAAALLTE5NTgyODEwOTcDAAAAAzE2MAIAAAAEMTAwOAQAAAABMAcAAAAINC8xLzIwMjUIAAAACjEyLzMxLzIwMjQJAAAAATA+C1ZkwXPdCJKX3pTEc90ILkNJUS5OWVNFOklCTS5JUV9UT1RBTF9DQS4yMDAwLjQvMS8yMDI1Li4uVVNELkgBAAAA3rYBAAIAAAAFMzQ0ODIBCAAAAAUAAAABMQEAAAALLTE5NTgyODA2MTUDAAAAAzE2MAIAAAAEMTAwOAQAAAABMAcAAAAINC8xLzIwMjUIAAAACjEyLzMxLzIwMjQJAAAAATA+C1ZkwXPdCBPDwJTEc90IKUNJUS5OWVNFOklCTS5JUV9HUFBFLjk5MC40LzEvMjAyNS4uLlVTRC5IAQAAAN62AQACAAAABTM5MDM0AQgAAAAFAAAAATEBAAAACjE4Mjk5MTE5NjgDAAAAAzE2MAIAAAAEMTE2OQQAAAABMAcAAAAINC8xLzIwMjUIAAAACjEyLzMxLzIwMTQJAAAAATA+C1ZkwXPdCJKX3pTEc90ILUNJUS5OWVNFOklCTS5JUV9UT1RBTF9DQS45OTMuNC8xLzIwMjUuLi5VU0QuSAEAAADetgEAAgAAAAU0OTczNQEIAAAABQAAAAExAQAAAAoyMDE3MTY0MjQ0AwAAAAMxNjACAAAABDEwMDgEAAAAATAHAAAACDQvMS8yMDI1CAAAAAoxMi8zMS8yMDE3CQAAAAEwPgtWZMFz3QiSl96UxHPdCC1DSVEuTllTRTpJQk0uSVFfVE9UQUxfQ0EuOTk0LjQvMS8yMDI1Li4uVVNELkgBAAAA3rYBAAIAAAAFNDkxNDYBCAAAAAUA</t>
  </si>
  <si>
    <t>AAABMQEAAAAKMjA4MTUwNTQwMQMAAAADMTYwAgAAAAQxMDA4BAAAAAEwBwAAAAg0LzEvMjAyNQgAAAAKMTIvMzEvMjAxOAkAAAABMD4LVmTBc90IkpfelMRz3QgtQ0lRLk5ZU0U6SUJNLklRX1RPVEFMX0NBLjk5NS40LzEvMjAyNS4uLlVTRC5IAQAAAN62AQACAAAABTM4NDIwAQgAAAAFAAAAATEBAAAACy0yMTEwNzY5MzU1AwAAAAMxNjACAAAABDEwMDgEAAAAATAHAAAACDQvMS8yMDI1CAAAAAoxMi8zMS8yMDE5CQAAAAEwPgtWZMFz3QiSl96UxHPdCC1DSVEuTllTRTpJQk0uSVFfVE9UQUxfQ0EuOTk2LjQvMS8yMDI1Li4uVVNELkgBAAAA3rYBAAIAAAAFMzkxNjUBCAAAAAUAAAABMQEAAAALLTIwNTkwNzMyMDIDAAAAAzE2MAIAAAAEMTAwOAQAAAABMAcAAAAINC8xLzIwMjUIAAAACjEyLzMxLzIwMjAJAAAAATA+C1ZkwXPdCJKX3pTEc90ILUNJUS5OWVNFOklCTS5JUV9UT1RBTF9DQS45OTcuNC8xLzIwMjUuLi5VU0QuSAEAAADetgEAAgAAAAUyOTUzOQEIAAAABQAAAAExAQAAAAstMjAwODY0NzE5OAMAAAADMTYwAgAAAAQxMDA4BAAAAAEwBwAAAAg0LzEvMjAyNQgAAAAKMTIvMzEvMjAyMQkAAAABMD4LVmTBc90IkpfelMRz3Qg0Q0lRLk5ZU0U6SUJNLklRX09USEVSX0NBX1NVUFBMLjEwMDAuNC8xLzIwMjUuLi5VU0QuSAEAAADetgEAAgAAAAQxNTYyAQgAAAAFAAAAATEBAAAACy0xOTU4MjgxMDk3</t>
  </si>
  <si>
    <t>AwAAAAMxNjACAAAABDEwNTUEAAAAATAHAAAACDQvMS8yMDI1CAAAAAoxMi8zMS8yMDI0CQAAAAEwPgtWZMFz3QiSl96UxHPdCDRDSVEuTllTRTpJQk0uSVFfT1RIRVJfQ0FfU1VQUEwuMjAwMC40LzEvMjAyNS4uLlVTRC5IAQAAAN62AQACAAAABDE1NjIBCAAAAAUAAAABMQEAAAALLTE5NTgyODA2MTUDAAAAAzE2MAIAAAAEMTA1NQQAAAABMAcAAAAINC8xLzIwMjUIAAAACjEyLzMxLzIwMjQJAAAAATA+C1ZkwXPdCBPDwJTEc90ILUNJUS5OWVNFOklCTS5JUV9UT1RBTF9DQS45OTAuNC8xLzIwMjUuLi5VU0QuSAEAAADetgEAAgAAAAU0NzM3NwEIAAAABQAAAAExAQAAAAoxODI5OTExOTY4AwAAAAMxNjACAAAABDEwMDgEAAAAATAHAAAACDQvMS8yMDI1CAAAAAoxMi8zMS8yMDE0CQAAAAEwPgtWZMFz3QiSl96UxHPdCC1DSVEuTllTRTpJQk0uSVFfVE9UQUxfQ0EuOTkxLjQvMS8yMDI1Li4uVVNELkgBAAAA3rYBAAIAAAAFNDI1MDQBCAAAAAUAAAABMQEAAAAKMTg3NjQzMjg3MgMAAAADMTYwAgAAAAQxMDA4BAAAAAEwBwAAAAg0LzEvMjAyNQgAAAAKMTIvMzEvMjAxNQkAAAABMD4LVmTBc90IkpfelMRz3QgtQ0lRLk5ZU0U6SUJNLklRX1RPVEFMX0NBLjk5Mi40LzEvMjAyNS4uLlVTRC5IAQAAAN62AQACAAAABTQzODg5AQgAAAAFAAAAATEBAAAACjE5NDcxNzk1ODMDAAAAAzE2MAIAAAAEMTAwOAQAAAAB</t>
  </si>
  <si>
    <t>MAcAAAAINC8xLzIwMjUIAAAACjEyLzMxLzIwMTYJAAAAATA+C1ZkwXPdCJKX3pTEc90IM0NJUS5OWVNFOklCTS5JUV9PVEhFUl9DQV9TVVBQTC45OTUuNC8xLzIwMjUuLi5VU0QuSAEAAADetgEAAgAAAAQyMDcxAQgAAAAFAAAAATEBAAAACy0yMTEwNzY5MzU1AwAAAAMxNjACAAAABDEwNTUEAAAAATAHAAAACDQvMS8yMDI1CAAAAAoxMi8zMS8yMDE5CQAAAAEwPgtWZMFz3QiSl96UxHPdCDNDSVEuTllTRTpJQk0uSVFfT1RIRVJfQ0FfU1VQUEwuOTk2LjQvMS8yMDI1Li4uVVNELkgBAAAA3rYBAAIAAAAEMzcyMQEIAAAABQAAAAExAQAAAAstMjA1OTA3MzIwMgMAAAADMTYwAgAAAAQxMDU1BAAAAAEwBwAAAAg0LzEvMjAyNQgAAAAKMTIvMzEvMjAyMAkAAAABMD4LVmTBc90IkpfelMRz3QgzQ0lRLk5ZU0U6SUJNLklRX09USEVSX0NBX1NVUFBMLjk5Ny40LzEvMjAyNS4uLlVTRC5IAQAAAN62AQACAAAABDIyNjQBCAAAAAUAAAABMQEAAAALLTIwMDg2NDcxOTgDAAAAAzE2MAIAAAAEMTA1NQQAAAABMAcAAAAINC8xLzIwMjUIAAAACjEyLzMxLzIwMjEJAAAAATA+C1ZkwXPdCJKX3pTEc90IM0NJUS5OWVNFOklCTS5JUV9PVEhFUl9DQV9TVVBQTC45OTguNC8xLzIwMjUuLi5VU0QuSAEAAADetgEAAgAAAAQxMzc3AQgAAAAFAAAAATEBAAAACy0xOTU4MjgxMDk2AwAAAAMxNjACAAAABDEwNTUEAAAAATAHAAAA</t>
  </si>
  <si>
    <t>CDQvMS8yMDI1CAAAAAoxMi8zMS8yMDIyCQAAAAEwPgtWZMFz3QiSl96UxHPdCDNDSVEuTllTRTpJQk0uSVFfT1RIRVJfQ0FfU1VQUEwuOTk5LjQvMS8yMDI1Li4uVVNELkgBAAAA3rYBAAIAAAAEMTM3NQEIAAAABQAAAAExAQAAAAstMTk1ODI4MTA5NQMAAAADMTYwAgAAAAQxMDU1BAAAAAEwBwAAAAg0LzEvMjAyNQgAAAAKMTIvMzEvMjAyMwkAAAABMD4LVmTBc90IBq7BlMRz3QgzQ0lRLk5ZU0U6SUJNLklRX09USEVSX0NBX1NVUFBMLjk5MC40LzEvMjAyNS4uLlVTRC5IAQAAAN62AQACAAAAAzc0NgEIAAAABQAAAAExAQAAAAoxODI5OTExOTY4AwAAAAMxNjACAAAABDEwNTUEAAAAATAHAAAACDQvMS8yMDI1CAAAAAoxMi8zMS8yMDE0CQAAAAEwPgtWZMFz3QgySd6UxHPdCDNDSVEuTllTRTpJQk0uSVFfT1RIRVJfQ0FfU1VQUEwuOTkxLjQvMS8yMDI1Li4uVVNELkgBAAAA3rYBAAIAAAADMjkzAQgAAAAFAAAAATEBAAAACjE4NzY0MzI4NzIDAAAAAzE2MAIAAAAEMTA1NQQAAAABMAcAAAAINC8xLzIwMjUIAAAACjEyLzMxLzIwMTUJAAAAATA+C1ZkwXPdCDJJ3pTEc90IM0NJUS5OWVNFOklCTS5JUV9PVEhFUl9DQV9TVVBQTC45OTIuNC8xLzIwMjUuLi5VU0QuSAEAAADetgEAAgAAAAM1MzIBCAAAAAUAAAABMQEAAAAKMTk0NzE3OTU4MwMAAAADMTYwAgAAAAQxMDU1BAAAAAEwBwAAAAg0LzEvMjAyNQgA</t>
  </si>
  <si>
    <t>AAAKMTIvMzEvMjAxNgkAAAABMD4LVmTBc90IMknelMRz3QgzQ0lRLk5ZU0U6SUJNLklRX09USEVSX0NBX1NVUFBMLjk5My40LzEvMjAyNS4uLlVTRC5IAQAAAN62AQACAAAABDIwMDQBCAAAAAUAAAABMQEAAAAKMjAxNzE2NDI0NAMAAAADMTYwAgAAAAQxMDU1BAAAAAEwBwAAAAg0LzEvMjAyNQgAAAAKMTIvMzEvMjAxNwkAAAABMD4LVmTBc90IMknelMRz3QgzQ0lRLk5ZU0U6SUJNLklRX09USEVSX0NBX1NVUFBMLjk5NC40LzEvMjAyNS4uLlVTRC5IAQAAAN62AQACAAAABDI2ODYBCAAAAAUAAAABMQEAAAAKMjA4MTUwNTQwMQMAAAADMTYwAgAAAAQxMDU1BAAAAAEwBwAAAAg0LzEvMjAyNQgAAAAKMTIvMzEvMjAxOAkAAAABMD4LVmTBc90IkpfelMRz3Qg0Q0lRLk5ZU0U6SUJNLklRX1JFU1RSSUNURURfQ0FTSC45OTcuNC8xLzIwMjUuLi5VU0QuSAEAAADetgEAAgAAAAMzMDcBCAAAAAUAAAABMQEAAAALLTIwMDg2NDcxOTgDAAAAAzE2MAIAAAAEMTEwNAQAAAABMAcAAAAINC8xLzIwMjUIAAAACjEyLzMxLzIwMjEJAAAAATA+C1ZkwXPdCDJJ3pTEc90INENJUS5OWVNFOklCTS5JUV9SRVNUUklDVEVEX0NBU0guOTk4LjQvMS8yMDI1Li4uVVNELkgBAAAA3rYBAAIAAAADMTAzAQgAAAAFAAAAATEBAAAACy0xOTU4MjgxMDk2AwAAAAMxNjACAAAABDExMDQEAAAAATAHAAAACDQvMS8yMDI1CAAAAAoxMi8z</t>
  </si>
  <si>
    <t>MS8yMDIyCQAAAAEwPgtWZMFz3QgySd6UxHPdCDRDSVEuTllTRTpJQk0uSVFfUkVTVFJJQ1RFRF9DQVNILjk5OS40LzEvMjAyNS4uLlVTRC5IAQAAAN62AQACAAAAAjIxAQgAAAAFAAAAATEBAAAACy0xOTU4MjgxMDk1AwAAAAMxNjACAAAABDExMDQEAAAAATAHAAAACDQvMS8yMDI1CAAAAAoxMi8zMS8yMDIzCQAAAAEwPgtWZMFz3QgGrsGUxHPdCDVDSVEuTllTRTpJQk0uSVFfUkVTVFJJQ1RFRF9DQVNILjEwMDAuNC8xLzIwMjUuLi5VU0QuSAEAAADetgEAAgAAAAMyMTQBCAAAAAUAAAABMQEAAAALLTE5NTgyODEwOTcDAAAAAzE2MAIAAAAEMTEwNAQAAAABMAcAAAAINC8xLzIwMjUIAAAACjEyLzMxLzIwMjQJAAAAATA+C1ZkwXPdCDJJ3pTEc90INUNJUS5OWVNFOklCTS5JUV9SRVNUUklDVEVEX0NBU0guMjAwMC40LzEvMjAyNS4uLlVTRC5IAQAAAN62AQACAAAAAzIxNAEIAAAABQAAAAExAQAAAAstMTk1ODI4MDYxNQMAAAADMTYwAgAAAAQxMTA0BAAAAAEwBwAAAAg0LzEvMjAyNQgAAAAKMTIvMzEvMjAyNAkAAAABMD4LVmTBc90IE8PAlMRz3Qg0Q0lRLk5ZU0U6SUJNLklRX1JFU1RSSUNURURfQ0FTSC45OTIuNC8xLzIwMjUuLi5VU0QuSAEAAADetgEAAwAAAAAAPgtWZMFz3QgySd6UxHPdCDRDSVEuTllTRTpJQk0uSVFfUkVTVFJJQ1RFRF9DQVNILjk5My40LzEvMjAyNS4uLlVTRC5IAQAAAN62AQAC</t>
  </si>
  <si>
    <t>AAAAAzI2MgEIAAAABQAAAAExAQAAAAoyMDE3MTY0MjQ0AwAAAAMxNjACAAAABDExMDQEAAAAATAHAAAACDQvMS8yMDI1CAAAAAoxMi8zMS8yMDE3CQAAAAEwPgtWZMFz3QgySd6UxHPdCDRDSVEuTllTRTpJQk0uSVFfUkVTVFJJQ1RFRF9DQVNILjk5NC40LzEvMjAyNS4uLlVTRC5IAQAAAN62AQACAAAAAzIyNQEIAAAABQAAAAExAQAAAAoyMDgxNTA1NDAxAwAAAAMxNjACAAAABDExMDQEAAAAATAHAAAACDQvMS8yMDI1CAAAAAoxMi8zMS8yMDE4CQAAAAEwPgtWZMFz3QgySd6UxHPdCDRDSVEuTllTRTpJQk0uSVFfUkVTVFJJQ1RFRF9DQVNILjk5NS40LzEvMjAyNS4uLlVTRC5IAQAAAN62AQACAAAAAzE0MQEIAAAABQAAAAExAQAAAAstMjExMDc2OTM1NQMAAAADMTYwAgAAAAQxMTA0BAAAAAEwBwAAAAg0LzEvMjAyNQgAAAAKMTIvMzEvMjAxOQkAAAABMD4LVmTBc90IMknelMRz3Qg0Q0lRLk5ZU0U6SUJNLklRX1JFU1RSSUNURURfQ0FTSC45OTYuNC8xLzIwMjUuLi5VU0QuSAEAAADetgEAAgAAAAM0NjMBCAAAAAUAAAABMQEAAAALLTIwNTkwNzMyMDIDAAAAAzE2MAIAAAAEMTEwNAQAAAABMAcAAAAINC8xLzIwMjUIAAAACjEyLzMxLzIwMjAJAAAAATA+C1ZkwXPdCDJJ3pTEc90IO0NJUS5OWVNFOklCTS5JUV9ERUZfVEFYX0FTU0VUU19DVVJSRU5ULjk5OS40LzEvMjAyNS4uLlVTRC5IAQAAAN62AQAD</t>
  </si>
  <si>
    <t>AAAAAAA+C1ZkwXPdCAauwZTEc90IPENJUS5OWVNFOklCTS5JUV9ERUZfVEFYX0FTU0VUU19DVVJSRU5ULjEwMDAuNC8xLzIwMjUuLi5VU0QuSAEAAADetgEAAwAAAAAAPgtWZMFz3QgySd6UxHPdCDxDSVEuTllTRTpJQk0uSVFfREVGX1RBWF9BU1NFVFNfQ1VSUkVOVC4yMDAwLjQvMS8yMDI1Li4uVVNELkgBAAAA3rYBAAMAAAAAAD4LVmTBc90IE8PAlMRz3Qg0Q0lRLk5ZU0U6SUJNLklRX1JFU1RSSUNURURfQ0FTSC45OTAuNC8xLzIwMjUuLi5VU0QuSAEAAADetgEAAwAAAAAAPgtWZMFz3QgySd6UxHPdCDRDSVEuTllTRTpJQk0uSVFfUkVTVFJJQ1RFRF9DQVNILjk5MS40LzEvMjAyNS4uLlVTRC5IAQAAAN62AQADAAAAAAA+C1ZkwXPdCDJJ3pTEc90IO0NJUS5OWVNFOklCTS5JUV9ERUZfVEFYX0FTU0VUU19DVVJSRU5ULjk5NC40LzEvMjAyNS4uLlVTRC5IAQAAAN62AQADAAAAAAA+C1ZkwXPdCDJJ3pTEc90IO0NJUS5OWVNFOklCTS5JUV9ERUZfVEFYX0FTU0VUU19DVVJSRU5ULjk5NS40LzEvMjAyNS4uLlVTRC5IAQAAAN62AQADAAAAAAA+C1ZkwXPdCDJJ3pTEc90IO0NJUS5OWVNFOklCTS5JUV9ERUZfVEFYX0FTU0VUU19DVVJSRU5ULjk5Ni40LzEvMjAyNS4uLlVTRC5IAQAAAN62AQADAAAAAAA+C1ZkwXPdCDJJ3pTEc90IO0NJUS5OWVNFOklCTS5JUV9ERUZfVEFYX0FTU0VUU19DVVJSRU5ULjk5</t>
  </si>
  <si>
    <t>Ny40LzEvMjAyNS4uLlVTRC5IAQAAAN62AQADAAAAAAA+C1ZkwXPdCDJJ3pTEc90IO0NJUS5OWVNFOklCTS5JUV9ERUZfVEFYX0FTU0VUU19DVVJSRU5ULjk5OC40LzEvMjAyNS4uLlVTRC5IAQAAAN62AQADAAAAAAA+C1ZkwXPdCDJJ3pTEc90INENJUS5OWVNFOklCTS5JUV9MT0FOU19GT1JfU0FMRS4yMDAwLjQvMS8yMDI1Li4uVVNELkgBAAAA3rYBAAMAAAAAAD4LVmTBc90IE8PAlMRz3Qg7Q0lRLk5ZU0U6SUJNLklRX0RFRl9UQVhfQVNTRVRTX0NVUlJFTlQuOTkwLjQvMS8yMDI1Li4uVVNELkgBAAAA3rYBAAMAAAAAAD4LVmTBc90IMknelMRz3Qg7Q0lRLk5ZU0U6SUJNLklRX0RFRl9UQVhfQVNTRVRTX0NVUlJFTlQuOTkxLjQvMS8yMDI1Li4uVVNELkgBAAAA3rYBAAMAAAAAAD4LVmTBc90IMknelMRz3Qg7Q0lRLk5ZU0U6SUJNLklRX0RFRl9UQVhfQVNTRVRTX0NVUlJFTlQuOTkyLjQvMS8yMDI1Li4uVVNELkgBAAAA3rYBAAMAAAAAAD4LVmTBc90IMknelMRz3Qg7Q0lRLk5ZU0U6SUJNLklRX0RFRl9UQVhfQVNTRVRTX0NVUlJFTlQuOTkzLjQvMS8yMDI1Li4uVVNELkgBAAAA3rYBAAMAAAAAAD4LVmTBc90IMknelMRz3QgzQ0lRLk5ZU0U6SUJNLklRX0xPQU5TX0ZPUl9TQUxFLjk5Ni40LzEvMjAyNS4uLlVTRC5IAQAAAN62AQADAAAAAAA+C1ZkwXPdCDJJ3pTEc90IM0NJUS5OWVNFOklCTS5JUV9M</t>
  </si>
  <si>
    <t>T0FOU19GT1JfU0FMRS45OTcuNC8xLzIwMjUuLi5VU0QuSAEAAADetgEAAwAAAAAAPgtWZMFz3QgySd6UxHPdCDNDSVEuTllTRTpJQk0uSVFfTE9BTlNfRk9SX1NBTEUuOTk4LjQvMS8yMDI1Li4uVVNELkgBAAAA3rYBAAMAAAAAAD4LVmTBc90IMknelMRz3QgzQ0lRLk5ZU0U6SUJNLklRX0xPQU5TX0ZPUl9TQUxFLjk5OS40LzEvMjAyNS4uLlVTRC5IAQAAAN62AQADAAAAAAA+C1ZkwXPdCAauwZTEc90INENJUS5OWVNFOklCTS5JUV9MT0FOU19GT1JfU0FMRS4xMDAwLjQvMS8yMDI1Li4uVVNELkgBAAAA3rYBAAMAAAAAAD4LVmTBc90IMknelMRz3QgzQ0lRLk5ZU0U6SUJNLklRX0xPQU5TX0ZPUl9TQUxFLjk5MS40LzEvMjAyNS4uLlVTRC5IAQAAAN62AQADAAAAAAA+C1ZkwXPdCDJJ3pTEc90IM0NJUS5OWVNFOklCTS5JUV9MT0FOU19GT1JfU0FMRS45OTIuNC8xLzIwMjUuLi5VU0QuSAEAAADetgEAAwAAAAAAPgtWZMFz3QgySd6UxHPdCDNDSVEuTllTRTpJQk0uSVFfTE9BTlNfRk9SX1NBTEUuOTkzLjQvMS8yMDI1Li4uVVNELkgBAAAA3rYBAAMAAAAAAD4LVmTBc90IMknelMRz3QgzQ0lRLk5ZU0U6SUJNLklRX0xPQU5TX0ZPUl9TQUxFLjk5NC40LzEvMjAyNS4uLlVTRC5IAQAAAN62AQADAAAAAAA+C1ZkwXPdCDJJ3pTEc90IM0NJUS5OWVNFOklCTS5JUV9MT0FOU19GT1JfU0FMRS45OTUuNC8xLzIw</t>
  </si>
  <si>
    <t>MjUuLi5VU0QuSAEAAADetgEAAwAAAAAAPgtWZMFz3QgySd6UxHPdCDtDSVEuTllTRTpJQk0uSVFfRklOX0RJVl9BU1NFVFNfQ1VSUkVOVC45OTguNC8xLzIwMjUuLi5VU0QuSAEAAADetgEAAgAAAAM5MzkBCAAAAAUAAAABMQEAAAALLTE5NTgyODEwOTYDAAAAAzE2MAIAAAAEMTAyOQQAAAABMAcAAAAINC8xLzIwMjUIAAAACjEyLzMxLzIwMjIJAAAAATA+C1ZkwXPdCDJJ3pTEc90IO0NJUS5OWVNFOklCTS5JUV9GSU5fRElWX0FTU0VUU19DVVJSRU5ULjk5OS40LzEvMjAyNS4uLlVTRC5IAQAAAN62AQACAAAAAzY5MgEIAAAABQAAAAExAQAAAAstMTk1ODI4MTA5NQMAAAADMTYwAgAAAAQxMDI5BAAAAAEwBwAAAAg0LzEvMjAyNQgAAAAKMTIvMzEvMjAyMwkAAAABMD4LVmTBc90IBq7BlMRz3Qg8Q0lRLk5ZU0U6SUJNLklRX0ZJTl9ESVZfQVNTRVRTX0NVUlJFTlQuMTAwMC40LzEvMjAyNS4uLlVTRC5IAQAAAN62AQACAAAAAzkwMAEIAAAABQAAAAExAQAAAAstMTk1ODI4MTA5NwMAAAADMTYwAgAAAAQxMDI5BAAAAAEwBwAAAAg0LzEvMjAyNQgAAAAKMTIvMzEvMjAyNAkAAAABMD4LVmTBc90IMknelMRz3Qg8Q0lRLk5ZU0U6SUJNLklRX0ZJTl9ESVZfQVNTRVRTX0NVUlJFTlQuMjAwMC40LzEvMjAyNS4uLlVTRC5IAQAAAN62AQACAAAAAzkwMAEIAAAABQAAAAExAQAAAAstMTk1ODI4MDYxNQMAAAADMTYw</t>
  </si>
  <si>
    <t>AgAAAAQxMDI5BAAAAAEwBwAAAAg0LzEvMjAyNQgAAAAKMTIvMzEvMjAyNAkAAAABMD4LVmTBc90IE8PAlMRz3QgzQ0lRLk5ZU0U6SUJNLklRX0xPQU5TX0ZPUl9TQUxFLjk5MC40LzEvMjAyNS4uLlVTRC5IAQAAAN62AQADAAAAAAA+C1ZkwXPdCDJJ3pTEc90IO0NJUS5OWVNFOklCTS5JUV9GSU5fRElWX0FTU0VUU19DVVJSRU5ULjk5My40LzEvMjAyNS4uLlVTRC5IAQAAAN62AQADAAAAAAA+C1ZkwXPdCDJJ3pTEc90IO0NJUS5OWVNFOklCTS5JUV9GSU5fRElWX0FTU0VUU19DVVJSRU5ULjk5NC40LzEvMjAyNS4uLlVTRC5IAQAAAN62AQADAAAAAAA+C1ZkwXPdCDJJ3pTEc90IO0NJUS5OWVNFOklCTS5JUV9GSU5fRElWX0FTU0VUU19DVVJSRU5ULjk5NS40LzEvMjAyNS4uLlVTRC5IAQAAAN62AQADAAAAAAA+C1ZkwXPdCM363ZTEc90IO0NJUS5OWVNFOklCTS5JUV9GSU5fRElWX0FTU0VUU19DVVJSRU5ULjk5Ni40LzEvMjAyNS4uLlVTRC5IAQAAAN62AQACAAAAAzM4MwEIAAAABQAAAAExAQAAAAstMjA1OTA3MzIwMgMAAAADMTYwAgAAAAQxMDI5BAAAAAEwBwAAAAg0LzEvMjAyNQgAAAAKMTIvMzEvMjAyMAkAAAABMD4LVmTBc90IzfrdlMRz3Qg7Q0lRLk5ZU0U6SUJNLklRX0ZJTl9ESVZfQVNTRVRTX0NVUlJFTlQuOTk3LjQvMS8yMDI1Li4uVVNELkgBAAAA3rYBAAIAAAADNzkzAQgAAAAFAAAAATEB</t>
  </si>
  <si>
    <t>AAAACy0yMDA4NjQ3MTk4AwAAAAMxNjACAAAABDEwMjkEAAAAATAHAAAACDQvMS8yMDI1CAAAAAoxMi8zMS8yMDIxCQAAAAEwPgtWZMFz3QjN+t2UxHPdCDtDSVEuTllTRTpJQk0uSVFfRklOX0RJVl9MT0FOU19DVVJSRU5ULjEwMDAuNC8xLzIwMjUuLi5VU0QuSAEAAADetgEAAgAAAAQ2MjU5AQgAAAAFAAAAATEBAAAACy0xOTU4MjgxMDk3AwAAAAMxNjACAAAABDEwMzIEAAAAATAHAAAACDQvMS8yMDI1CAAAAAoxMi8zMS8yMDI0CQAAAAEwPgtWZMFz3QjN+t2UxHPdCDtDSVEuTllTRTpJQk0uSVFfRklOX0RJVl9MT0FOU19DVVJSRU5ULjIwMDAuNC8xLzIwMjUuLi5VU0QuSAEAAADetgEAAgAAAAQ2MjU5AQgAAAAFAAAAATEBAAAACy0xOTU4MjgwNjE1AwAAAAMxNjACAAAABDEwMzIEAAAAATAHAAAACDQvMS8yMDI1CAAAAAoxMi8zMS8yMDI0CQAAAAEwPgtWZMFz3QgTw8CUxHPdCDtDSVEuTllTRTpJQk0uSVFfRklOX0RJVl9BU1NFVFNfQ1VSUkVOVC45OTAuNC8xLzIwMjUuLi5VU0QuSAEAAADetgEAAwAAAAAAPgtWZMFz3QjN+t2UxHPdCDtDSVEuTllTRTpJQk0uSVFfRklOX0RJVl9BU1NFVFNfQ1VSUkVOVC45OTEuNC8xLzIwMjUuLi5VU0QuSAEAAADetgEAAwAAAAAAPgtWZMFz3QjN+t2UxHPdCDtDSVEuTllTRTpJQk0uSVFfRklOX0RJVl9BU1NFVFNfQ1VSUkVOVC45OTIuNC8xLzIwMjUuLi5VU0Qu</t>
  </si>
  <si>
    <t>SAEAAADetgEAAwAAAAAAPgtWZMFz3QjN+t2UxHPdCDpDSVEuTllTRTpJQk0uSVFfRklOX0RJVl9MT0FOU19DVVJSRU5ULjk5NS40LzEvMjAyNS4uLlVTRC5IAQAAAN62AQACAAAABTE0MTkyAQgAAAAFAAAAATEBAAAACy0yMTEwNzY5MzU1AwAAAAMxNjACAAAABDEwMzIEAAAAATAHAAAACDQvMS8yMDI1CAAAAAoxMi8zMS8yMDE5CQAAAAEwPgtWZMFz3QjN+t2UxHPdCDpDSVEuTllTRTpJQk0uSVFfRklOX0RJVl9MT0FOU19DVVJSRU5ULjk5Ni40LzEvMjAyNS4uLlVTRC5IAQAAAN62AQACAAAABTEwNTA5AQgAAAAFAAAAATEBAAAACy0yMDU5MDczMjAyAwAAAAMxNjACAAAABDEwMzIEAAAAATAHAAAACDQvMS8yMDI1CAAAAAoxMi8zMS8yMDIwCQAAAAEwPgtWZMFz3QjN+t2UxHPdCDpDSVEuTllTRTpJQk0uSVFfRklOX0RJVl9MT0FOU19DVVJSRU5ULjk5Ny40LzEvMjAyNS4uLlVTRC5IAQAAAN62AQACAAAABDcyMjEBCAAAAAUAAAABMQEAAAALLTIwMDg2NDcxOTgDAAAAAzE2MAIAAAAEMTAzMgQAAAABMAcAAAAINC8xLzIwMjUIAAAACjEyLzMxLzIwMjEJAAAAATA+C1ZkwXPdCM363ZTEc90IOkNJUS5OWVNFOklCTS5JUV9GSU5fRElWX0xPQU5TX0NVUlJFTlQuOTk4LjQvMS8yMDI1Li4uVVNELkgBAAAA3rYBAAIAAAAENjg1MQEIAAAABQAAAAExAQAAAAstMTk1ODI4MTA5NgMAAAADMTYwAgAAAAQxMDMy</t>
  </si>
  <si>
    <t>BAAAAAEwBwAAAAg0LzEvMjAyNQgAAAAKMTIvMzEvMjAyMgkAAAABMD4LVmTBc90IzfrdlMRz3Qg6Q0lRLk5ZU0U6SUJNLklRX0ZJTl9ESVZfTE9BTlNfQ1VSUkVOVC45OTkuNC8xLzIwMjUuLi5VU0QuSAEAAADetgEAAgAAAAQ2MTAyAQgAAAAFAAAAATEBAAAACy0xOTU4MjgxMDk1AwAAAAMxNjACAAAABDEwMzIEAAAAATAHAAAACDQvMS8yMDI1CAAAAAoxMi8zMS8yMDIzCQAAAAEwPgtWZMFz3QgGrsGUxHPdCDpDSVEuTllTRTpJQk0uSVFfRklOX0RJVl9MT0FOU19DVVJSRU5ULjk5MC40LzEvMjAyNS4uLlVTRC5IAQAAAN62AQACAAAABTE5ODM1AQgAAAAFAAAAATEBAAAACjE4Mjk5MTE5NjgDAAAAAzE2MAIAAAAEMTAzMgQAAAABMAcAAAAINC8xLzIwMjUIAAAACjEyLzMxLzIwMTQJAAAAATA+C1ZkwXPdCM363ZTEc90IOkNJUS5OWVNFOklCTS5JUV9GSU5fRElWX0xPQU5TX0NVUlJFTlQuOTkxLjQvMS8yMDI1Li4uVVNELkgBAAAA3rYBAAIAAAAFMTkwMjABCAAAAAUAAAABMQEAAAAKMTg3NjQzMjg3MgMAAAADMTYwAgAAAAQxMDMyBAAAAAEwBwAAAAg0LzEvMjAyNQgAAAAKMTIvMzEvMjAxNQkAAAABMD4LVmTBc90IzfrdlMRz3Qg6Q0lRLk5ZU0U6SUJNLklRX0ZJTl9ESVZfTE9BTlNfQ1VSUkVOVC45OTIuNC8xLzIwMjUuLi5VU0QuSAEAAADetgEAAgAAAAUxOTAwNgEIAAAABQAAAAExAQAAAAoxOTQ3</t>
  </si>
  <si>
    <t>MTc5NTgzAwAAAAMxNjACAAAABDEwMzIEAAAAATAHAAAACDQvMS8yMDI1CAAAAAoxMi8zMS8yMDE2CQAAAAEwPgtWZMFz3QjN+t2UxHPdCDpDSVEuTllTRTpJQk0uSVFfRklOX0RJVl9MT0FOU19DVVJSRU5ULjk5My40LzEvMjAyNS4uLlVTRC5IAQAAAN62AQACAAAABTIxNzIxAQgAAAAFAAAAATEBAAAACjIwMTcxNjQyNDQDAAAAAzE2MAIAAAAEMTAzMgQAAAABMAcAAAAINC8xLzIwMjUIAAAACjEyLzMxLzIwMTcJAAAAATA+C1ZkwXPdCM363ZTEc90IOkNJUS5OWVNFOklCTS5JUV9GSU5fRElWX0xPQU5TX0NVUlJFTlQuOTk0LjQvMS8yMDI1Li4uVVNELkgBAAAA3rYBAAIAAAAFMjIzODgBCAAAAAUAAAABMQEAAAAKMjA4MTUwNTQwMQMAAAADMTYwAgAAAAQxMDMyBAAAAAEwBwAAAAg0LzEvMjAyNQgAAAAKMTIvMzEvMjAxOAkAAAABMD4LVmTBc90IzfrdlMRz3QgwQ0lRLk5ZU0U6SUJNLklRX1BSRVBBSURfRVhQLjk5Ny40LzEvMjAyNS4uLlVTRC5IAQAAAN62AQACAAAABDE4MzABCAAAAAUAAAABMQEAAAALLTIwMDg2NDcxOTgDAAAAAzE2MAIAAAAEMTIxMgQAAAABMAcAAAAINC8xLzIwMjUIAAAACjEyLzMxLzIwMjEJAAAAATA+C1ZkwXPdCM363ZTEc90IMENJUS5OWVNFOklCTS5JUV9QUkVQQUlEX0VYUC45OTguNC8xLzIwMjUuLi5VU0QuSAEAAADetgEAAgAAAAQxODc2AQgAAAAFAAAAATEBAAAACy0x</t>
  </si>
  <si>
    <t>OTU4MjgxMDk2AwAAAAMxNjACAAAABDEyMTIEAAAAATAHAAAACDQvMS8yMDI1CAAAAAoxMi8zMS8yMDIyCQAAAAEwPgtWZMFz3QjN+t2UxHPdCDBDSVEuTllTRTpJQk0uSVFfUFJFUEFJRF9FWFAuOTk5LjQvMS8yMDI1Li4uVVNELkgBAAAA3rYBAAIAAAAEMTc2OAEIAAAABQAAAAExAQAAAAstMTk1ODI4MTA5NQMAAAADMTYwAgAAAAQxMjEyBAAAAAEwBwAAAAg0LzEvMjAyNQgAAAAKMTIvMzEvMjAyMwkAAAABMD4LVmTBc90IBq7BlMRz3QgxQ0lRLk5ZU0U6SUJNLklRX1BSRVBBSURfRVhQLjEwMDAuNC8xLzIwMjUuLi5VU0QuSAEAAADetgEAAgAAAAQxNTEyAQgAAAAFAAAAATEBAAAACy0xOTU4MjgxMDk3AwAAAAMxNjACAAAABDEyMTIEAAAAATAHAAAACDQvMS8yMDI1CAAAAAoxMi8zMS8yMDI0CQAAAAEwPgtWZMFz3QjN+t2UxHPdCDFDSVEuTllTRTpJQk0uSVFfUFJFUEFJRF9FWFAuMjAwMC40LzEvMjAyNS4uLlVTRC5IAQAAAN62AQACAAAABDE1MTIBCAAAAAUAAAABMQEAAAALLTE5NTgyODA2MTUDAAAAAzE2MAIAAAAEMTIxMgQAAAABMAcAAAAINC8xLzIwMjUIAAAACjEyLzMxLzIwMjQJAAAAATA+C1ZkwXPdCNx+wJTEc90IMENJUS5OWVNFOklCTS5JUV9QUkVQQUlEX0VYUC45OTIuNC8xLzIwMjUuLi5VU0QuSAEAAADetgEAAgAAAAQ0MDMyAQgAAAAFAAAAATEBAAAACjE5NDcxNzk1ODMDAAAAAzE2</t>
  </si>
  <si>
    <t>MAIAAAAEMTIxMgQAAAABMAcAAAAINC8xLzIwMjUIAAAACjEyLzMxLzIwMTYJAAAAATA+C1ZkwXPdCM363ZTEc90IMENJUS5OWVNFOklCTS5JUV9QUkVQQUlEX0VYUC45OTMuNC8xLzIwMjUuLi5VU0QuSAEAAADetgEAAgAAAAQxMjAzAQgAAAAFAAAAATEBAAAACjIwMTcxNjQyNDQDAAAAAzE2MAIAAAAEMTIxMgQAAAABMAcAAAAINC8xLzIwMjUIAAAACjEyLzMxLzIwMTcJAAAAATA+C1ZkwXPdCM363ZTEc90IMENJUS5OWVNFOklCTS5JUV9QUkVQQUlEX0VYUC45OTQuNC8xLzIwMjUuLi5VU0QuSAEAAADetgEAAgAAAAQxNTIzAQgAAAAFAAAAATEBAAAACjIwODE1MDU0MDEDAAAAAzE2MAIAAAAEMTIxMgQAAAABMAcAAAAINC8xLzIwMjUIAAAACjEyLzMxLzIwMTgJAAAAATA+C1ZkwXPdCM363ZTEc90IMENJUS5OWVNFOklCTS5JUV9QUkVQQUlEX0VYUC45OTUuNC8xLzIwMjUuLi5VU0QuSAEAAADetgEAAgAAAAQxNDYwAQgAAAAFAAAAATEBAAAACy0yMTEwNzY5MzU1AwAAAAMxNjACAAAABDEyMTIEAAAAATAHAAAACDQvMS8yMDI1CAAAAAoxMi8zMS8yMDE5CQAAAAEwPgtWZMFz3QjN+t2UxHPdCDBDSVEuTllTRTpJQk0uSVFfUFJFUEFJRF9FWFAuOTk2LjQvMS8yMDI1Li4uVVNELkgBAAAA3rYBAAIAAAAEMTU3OQEIAAAABQAAAAExAQAAAAstMjA1OTA3MzIwMgMAAAADMTYwAgAAAAQxMjEyBAAAAAEwBwAA</t>
  </si>
  <si>
    <t>AAg0LzEvMjAyNQgAAAAKMTIvMzEvMjAyMAkAAAABMD4LVmTBc90IzfrdlMRz3QguQ0lRLk5ZU0U6SUJNLklRX0lOVkVOVE9SWS45OTkuNC8xLzIwMjUuLi5VU0QuSAEAAADetgEAAgAAAAQxMTYxAQgAAAAFAAAAATEBAAAACy0xOTU4MjgxMDk1AwAAAAMxNjACAAAABDEwNDMEAAAAATAHAAAACDQvMS8yMDI1CAAAAAoxMi8zMS8yMDIzCQAAAAEwPgtWZMFz3QgGrsGUxHPdCC9DSVEuTllTRTpJQk0uSVFfSU5WRU5UT1JZLjEwMDAuNC8xLzIwMjUuLi5VU0QuSAEAAADetgEAAgAAAAQxMjg5AQgAAAAFAAAAATEBAAAACy0xOTU4MjgxMDk3AwAAAAMxNjACAAAABDEwNDMEAAAAATAHAAAACDQvMS8yMDI1CAAAAAoxMi8zMS8yMDI0CQAAAAEwPgtWZMFz3QjN+t2UxHPdCC9DSVEuTllTRTpJQk0uSVFfSU5WRU5UT1JZLjIwMDAuNC8xLzIwMjUuLi5VU0QuSAEAAADetgEAAgAAAAQxMjg5AQgAAAAFAAAAATEBAAAACy0xOTU4MjgwNjE1AwAAAAMxNjACAAAABDEwNDMEAAAAATAHAAAACDQvMS8yMDI1CAAAAAoxMi8zMS8yMDI0CQAAAAEwPgtWZMFz3QjcfsCUxHPdCDBDSVEuTllTRTpJQk0uSVFfUFJFUEFJRF9FWFAuOTkwLjQvMS8yMDI1Li4uVVNELkgBAAAA3rYBAAIAAAAENDIxNgEIAAAABQAAAAExAQAAAAoxODI5OTExOTY4AwAAAAMxNjACAAAABDEyMTIEAAAAATAHAAAACDQvMS8yMDI1CAAAAAoxMi8zMS8y</t>
  </si>
  <si>
    <t>MDE0CQAAAAEwPgtWZMFz3QjN+t2UxHPdCDBDSVEuTllTRTpJQk0uSVFfUFJFUEFJRF9FWFAuOTkxLjQvMS8yMDI1Li4uVVNELkgBAAAA3rYBAAIAAAAEMzkxMgEIAAAABQAAAAExAQAAAAoxODc2NDMyODcyAwAAAAMxNjACAAAABDEyMTIEAAAAATAHAAAACDQvMS8yMDI1CAAAAAoxMi8zMS8yMDE1CQAAAAEwPgtWZMFz3QjN+t2UxHPdCC5DSVEuTllTRTpJQk0uSVFfSU5WRU5UT1JZLjk5NC40LzEvMjAyNS4uLlVTRC5IAQAAAN62AQACAAAABDE2ODIBCAAAAAUAAAABMQEAAAAKMjA4MTUwNTQwMQMAAAADMTYwAgAAAAQxMDQzBAAAAAEwBwAAAAg0LzEvMjAyNQgAAAAKMTIvMzEvMjAxOAkAAAABMD4LVmTBc90IzfrdlMRz3QguQ0lRLk5ZU0U6SUJNLklRX0lOVkVOVE9SWS45OTUuNC8xLzIwMjUuLi5VU0QuSAEAAADetgEAAgAAAAQxNjE5AQgAAAAFAAAAATEBAAAACy0yMTEwNzY5MzU1AwAAAAMxNjACAAAABDEwNDMEAAAAATAHAAAACDQvMS8yMDI1CAAAAAoxMi8zMS8yMDE5CQAAAAEwPgtWZMFz3QjN+t2UxHPdCC5DSVEuTllTRTpJQk0uSVFfSU5WRU5UT1JZLjk5Ni40LzEvMjAyNS4uLlVTRC5IAQAAAN62AQACAAAABDE4MTIBCAAAAAUAAAABMQEAAAALLTIwNTkwNzMyMDIDAAAAAzE2MAIAAAAEMTA0MwQAAAABMAcAAAAINC8xLzIwMjUIAAAACjEyLzMxLzIwMjAJAAAAATA+C1ZkwXPdCM363ZTEc90I</t>
  </si>
  <si>
    <t>LkNJUS5OWVNFOklCTS5JUV9JTlZFTlRPUlkuOTk3LjQvMS8yMDI1Li4uVVNELkgBAAAA3rYBAAIAAAAEMTY0OQEIAAAABQAAAAExAQAAAAstMjAwODY0NzE5OAMAAAADMTYwAgAAAAQxMDQzBAAAAAEwBwAAAAg0LzEvMjAyNQgAAAAKMTIvMzEvMjAyMQkAAAABMD4LVmTBc90IXKfdlMRz3QguQ0lRLk5ZU0U6SUJNLklRX0lOVkVOVE9SWS45OTguNC8xLzIwMjUuLi5VU0QuSAEAAADetgEAAgAAAAQxNTUyAQgAAAAFAAAAATEBAAAACy0xOTU4MjgxMDk2AwAAAAMxNjACAAAABDEwNDMEAAAAATAHAAAACDQvMS8yMDI1CAAAAAoxMi8zMS8yMDIyCQAAAAEwPgtWZMFz3Qhcp92UxHPdCDJDSVEuTllTRTpJQk0uSVFfVE9UQUxfUkVDRUlWLjIwMDAuNC8xLzIwMjUuLi5VU0QuSAEAAADetgEAAgAAAAQ4MTU1AQgAAAAFAAAAATEBAAAACy0xOTU4MjgwNjE1AwAAAAMxNjACAAAABDEwMDEEAAAAATAHAAAACDQvMS8yMDI1CAAAAAoxMi8zMS8yMDI0CQAAAAEwPgtWZMFz3QjcfsCUxHPdCC5DSVEuTllTRTpJQk0uSVFfSU5WRU5UT1JZLjk5MC40LzEvMjAyNS4uLlVTRC5IAQAAAN62AQACAAAABDIxMDMBCAAAAAUAAAABMQEAAAAKMTgyOTkxMTk2OAMAAAADMTYwAgAAAAQxMDQzBAAAAAEwBwAAAAg0LzEvMjAyNQgAAAAKMTIvMzEvMjAxNAkAAAABMD4LVmTBc90IXKfdlMRz3QguQ0lRLk5ZU0U6SUJNLklRX0lOVkVO</t>
  </si>
  <si>
    <t>VE9SWS45OTEuNC8xLzIwMjUuLi5VU0QuSAEAAADetgEAAgAAAAQxNTUxAQgAAAAFAAAAATEBAAAACjE4NzY0MzI4NzIDAAAAAzE2MAIAAAAEMTA0MwQAAAABMAcAAAAINC8xLzIwMjUIAAAACjEyLzMxLzIwMTUJAAAAATA+C1ZkwXPdCM363ZTEc90ILkNJUS5OWVNFOklCTS5JUV9JTlZFTlRPUlkuOTkyLjQvMS8yMDI1Li4uVVNELkgBAAAA3rYBAAIAAAAEMTU1MwEIAAAABQAAAAExAQAAAAoxOTQ3MTc5NTgzAwAAAAMxNjACAAAABDEwNDMEAAAAATAHAAAACDQvMS8yMDI1CAAAAAoxMi8zMS8yMDE2CQAAAAEwPgtWZMFz3QjN+t2UxHPdCC5DSVEuTllTRTpJQk0uSVFfSU5WRU5UT1JZLjk5My40LzEvMjAyNS4uLlVTRC5IAQAAAN62AQACAAAABDE1ODMBCAAAAAUAAAABMQEAAAAKMjAxNzE2NDI0NAMAAAADMTYwAgAAAAQxMDQzBAAAAAEwBwAAAAg0LzEvMjAyNQgAAAAKMTIvMzEvMjAxNwkAAAABMD4LVmTBc90IXKfdlMRz3QgxQ0lRLk5ZU0U6SUJNLklRX1RPVEFMX1JFQ0VJVi45OTYuNC8xLzIwMjUuLi5VU0QuSAEAAADetgEAAgAAAAQ2OTEwAQgAAAAFAAAAATEBAAAACy0yMDU5MDczMjAyAwAAAAMxNjACAAAABDEwMDEEAAAAATAHAAAACDQvMS8yMDI1CAAAAAoxMi8zMS8yMDIwCQAAAAEwPgtWZMFz3Qhcp92UxHPdCDFDSVEuTllTRTpJQk0uSVFfVE9UQUxfUkVDRUlWLjk5Ny40LzEvMjAyNS4uLlVT</t>
  </si>
  <si>
    <t>RC5IAQAAAN62AQACAAAABDgyMjUBCAAAAAUAAAABMQEAAAALLTIwMDg2NDcxOTgDAAAAAzE2MAIAAAAEMTAwMQQAAAABMAcAAAAINC8xLzIwMjUIAAAACjEyLzMxLzIwMjEJAAAAATA+C1ZkwXPdCFyn3ZTEc90IMUNJUS5OWVNFOklCTS5JUV9UT1RBTF9SRUNFSVYuOTk4LjQvMS8yMDI1Li4uVVNELkgBAAAA3rYBAAIAAAAENzY4MgEIAAAABQAAAAExAQAAAAstMTk1ODI4MTA5NgMAAAADMTYwAgAAAAQxMDAxBAAAAAEwBwAAAAg0LzEvMjAyNQgAAAAKMTIvMzEvMjAyMgkAAAABMD4LVmTBc90IXKfdlMRz3QgxQ0lRLk5ZU0U6SUJNLklRX1RPVEFMX1JFQ0VJVi45OTkuNC8xLzIwMjUuLi5VU0QuSAEAAADetgEAAgAAAAQ4MzQ4AQgAAAAFAAAAATEBAAAACy0xOTU4MjgxMDk1AwAAAAMxNjACAAAABDEwMDEEAAAAATAHAAAACDQvMS8yMDI1CAAAAAoxMi8zMS8yMDIzCQAAAAEwPgtWZMFz3QgGrsGUxHPdCDJDSVEuTllTRTpJQk0uSVFfVE9UQUxfUkVDRUlWLjEwMDAuNC8xLzIwMjUuLi5VU0QuSAEAAADetgEAAgAAAAQ4MTU1AQgAAAAFAAAAATEBAAAACy0xOTU4MjgxMDk3AwAAAAMxNjACAAAABDEwMDEEAAAAATAHAAAACDQvMS8yMDI1CAAAAAoxMi8zMS8yMDI0CQAAAAEwPgtWZMFz3Qhcp92UxHPdCDFDSVEuTllTRTpJQk0uSVFfVE9UQUxfUkVDRUlWLjk5MS40LzEvMjAyNS4uLlVTRC5IAQAAAN62AQAC</t>
  </si>
  <si>
    <t>AAAABDk1MzQBCAAAAAUAAAABMQEAAAAKMTg3NjQzMjg3MgMAAAADMTYwAgAAAAQxMDAxBAAAAAEwBwAAAAg0LzEvMjAyNQgAAAAKMTIvMzEvMjAxNQkAAAABMD4LVmTBc90IXKfdlMRz3QgxQ0lRLk5ZU0U6SUJNLklRX1RPVEFMX1JFQ0VJVi45OTIuNC8xLzIwMjUuLi5VU0QuSAEAAADetgEAAgAAAAUxMDIzOQEIAAAABQAAAAExAQAAAAoxOTQ3MTc5NTgzAwAAAAMxNjACAAAABDEwMDEEAAAAATAHAAAACDQvMS8yMDI1CAAAAAoxMi8zMS8yMDE2CQAAAAEwPgtWZMFz3Qhcp92UxHPdCDFDSVEuTllTRTpJQk0uSVFfVE9UQUxfUkVDRUlWLjk5My40LzEvMjAyNS4uLlVTRC5IAQAAAN62AQACAAAABTEwMzgwAQgAAAAFAAAAATEBAAAACjIwMTcxNjQyNDQDAAAAAzE2MAIAAAAEMTAwMQQAAAABMAcAAAAINC8xLzIwMjUIAAAACjEyLzMxLzIwMTcJAAAAATA+C1ZkwXPdCFyn3ZTEc90IMUNJUS5OWVNFOklCTS5JUV9UT1RBTF9SRUNFSVYuOTk0LjQvMS8yMDI1Li4uVVNELkgBAAAA3rYBAAIAAAAEODY0NQEIAAAABQAAAAExAQAAAAoyMDgxNTA1NDAxAwAAAAMxNjACAAAABDEwMDEEAAAAATAHAAAACDQvMS8yMDI1CAAAAAoxMi8zMS8yMDE4CQAAAAEwPgtWZMFz3Qhcp92UxHPdCDFDSVEuTllTRTpJQk0uSVFfVE9UQUxfUkVDRUlWLjk5NS40LzEvMjAyNS4uLlVTRC5IAQAAAN62AQACAAAABTEwMDY5AQgAAAAF</t>
  </si>
  <si>
    <t>AAAAATEBAAAACy0yMTEwNzY5MzU1AwAAAAMxNjACAAAABDEwMDEEAAAAATAHAAAACDQvMS8yMDI1CAAAAAoxMi8zMS8yMDE5CQAAAAEwPgtWZMFz3Qhcp92UxHPdCDNDSVEuTllTRTpJQk0uSVFfU1RfTk9URV9SRUNFSVYuOTk4LjQvMS8yMDI1Li4uVVNELkgBAAAA3rYBAAMAAAAAAD4LVmTBc90IXKfdlMRz3QgzQ0lRLk5ZU0U6SUJNLklRX1NUX05PVEVfUkVDRUlWLjk5OS40LzEvMjAyNS4uLlVTRC5IAQAAAN62AQADAAAAAAA+C1ZkwXPdCAauwZTEc90INENJUS5OWVNFOklCTS5JUV9TVF9OT1RFX1JFQ0VJVi4xMDAwLjQvMS8yMDI1Li4uVVNELkgBAAAA3rYBAAMAAAAAAD4LVmTBc90IXKfdlMRz3Qg0Q0lRLk5ZU0U6SUJNLklRX1NUX05PVEVfUkVDRUlWLjIwMDAuNC8xLzIwMjUuLi5VU0QuSAEAAADetgEAAwAAAAAAPgtWZMFz3QjcfsCUxHPdCDFDSVEuTllTRTpJQk0uSVFfVE9UQUxfUkVDRUlWLjk5MC40LzEvMjAyNS4uLlVTRC5IAQAAAN62AQACAAAABTExOTk2AQgAAAAFAAAAATEBAAAACjE4Mjk5MTE5NjgDAAAAAzE2MAIAAAAEMTAwMQQAAAABMAcAAAAINC8xLzIwMjUIAAAACjEyLzMxLzIwMTQJAAAAATA+C1ZkwXPdCFyn3ZTEc90IM0NJUS5OWVNFOklCTS5JUV9TVF9OT1RFX1JFQ0VJVi45OTMuNC8xLzIwMjUuLi5VU0QuSAEAAADetgEAAwAAAAAAPgtWZMFz3Qhcp92UxHPdCDNDSVEuTllT</t>
  </si>
  <si>
    <t>RTpJQk0uSVFfU1RfTk9URV9SRUNFSVYuOTk0LjQvMS8yMDI1Li4uVVNELkgBAAAA3rYBAAMAAAAAAD4LVmTBc90IXKfdlMRz3QgzQ0lRLk5ZU0U6SUJNLklRX1NUX05PVEVfUkVDRUlWLjk5NS40LzEvMjAyNS4uLlVTRC5IAQAAAN62AQADAAAAAAA+C1ZkwXPdCFyn3ZTEc90IM0NJUS5OWVNFOklCTS5JUV9TVF9OT1RFX1JFQ0VJVi45OTYuNC8xLzIwMjUuLi5VU0QuSAEAAADetgEAAwAAAAAAPgtWZMFz3Qhcp92UxHPdCDNDSVEuTllTRTpJQk0uSVFfU1RfTk9URV9SRUNFSVYuOTk3LjQvMS8yMDI1Li4uVVNELkgBAAAA3rYBAAMAAAAAAD4LVmTBc90IXKfdlMRz3QgyQ0lRLk5ZU0U6SUJNLklRX09USEVSX1JFQ0VJVi4xMDAwLjQvMS8yMDI1Li4uVVNELkgBAAAA3rYBAAIAAAADOTE4AQgAAAAFAAAAATEBAAAACy0xOTU4MjgxMDk3AwAAAAMxNjACAAAABDEyMDYEAAAAATAHAAAACDQvMS8yMDI1CAAAAAoxMi8zMS8yMDI0CQAAAAEwPgtWZMFz3Qhcp92UxHPdCDJDSVEuTllTRTpJQk0uSVFfT1RIRVJfUkVDRUlWLjIwMDAuNC8xLzIwMjUuLi5VU0QuSAEAAADetgEAAgAAAAM5MTgBCAAAAAUAAAABMQEAAAALLTE5NTgyODA2MTUDAAAAAzE2MAIAAAAEMTIwNgQAAAABMAcAAAAINC8xLzIwMjUIAAAACjEyLzMxLzIwMjQJAAAAATA+C1ZkwXPdCNx+wJTEc90IM0NJUS5OWVNFOklCTS5JUV9TVF9OT1RFX1JF</t>
  </si>
  <si>
    <t>Q0VJVi45OTAuNC8xLzIwMjUuLi5VU0QuSAEAAADetgEAAwAAAAAAPgtWZMFz3Qhcp92UxHPdCDNDSVEuTllTRTpJQk0uSVFfU1RfTk9URV9SRUNFSVYuOTkxLjQvMS8yMDI1Li4uVVNELkgBAAAA3rYBAAMAAAAAAD4LVmTBc90IXKfdlMRz3QgzQ0lRLk5ZU0U6SUJNLklRX1NUX05PVEVfUkVDRUlWLjk5Mi40LzEvMjAyNS4uLlVTRC5IAQAAAN62AQADAAAAAAA+C1ZkwXPdCFyn3ZTEc90IMUNJUS5OWVNFOklCTS5JUV9PVEhFUl9SRUNFSVYuOTk1LjQvMS8yMDI1Li4uVVNELkgBAAAA3rYBAAIAAAAEMTcwNwEIAAAABQAAAAExAQAAAAstMjExMDc2OTM1NQMAAAADMTYwAgAAAAQxMjA2BAAAAAEwBwAAAAg0LzEvMjAyNQgAAAAKMTIvMzEvMjAxOQkAAAABMD4LVmTBc90IXKfdlMRz3QgxQ0lRLk5ZU0U6SUJNLklRX09USEVSX1JFQ0VJVi45OTYuNC8xLzIwMjUuLi5VU0QuSAEAAADetgEAAgAAAAM2OTUBCAAAAAUAAAABMQEAAAALLTIwNTkwNzMyMDIDAAAAAzE2MAIAAAAEMTIwNgQAAAABMAcAAAAINC8xLzIwMjUIAAAACjEyLzMxLzIwMjAJAAAAATA+C1ZkwXPdCFyn3ZTEc90IMUNJUS5OWVNFOklCTS5JUV9PVEhFUl9SRUNFSVYuOTk3LjQvMS8yMDI1Li4uVVNELkgBAAAA3rYBAAIAAAAEMTAwMAEIAAAABQAAAAExAQAAAAstMjAwODY0NzE5OAMAAAADMTYwAgAAAAQxMjA2BAAAAAEwBwAAAAg0LzEvMjAy</t>
  </si>
  <si>
    <t>NQgAAAAKMTIvMzEvMjAyMQkAAAABMD4LVmTBc90IXKfdlMRz3QgxQ0lRLk5ZU0U6SUJNLklRX09USEVSX1JFQ0VJVi45OTguNC8xLzIwMjUuLi5VU0QuSAEAAADetgEAAgAAAAM2NzcBCAAAAAUAAAABMQEAAAALLTE5NTgyODEwOTYDAAAAAzE2MAIAAAAEMTIwNgQAAAABMAcAAAAINC8xLzIwMjUIAAAACjEyLzMxLzIwMjIJAAAAATA+C1ZkwXPdCFyn3ZTEc90IMUNJUS5OWVNFOklCTS5JUV9PVEhFUl9SRUNFSVYuOTk5LjQvMS8yMDI1Li4uVVNELkgBAAAA3rYBAAIAAAADNjI5AQgAAAAFAAAAATEBAAAACy0xOTU4MjgxMDk1AwAAAAMxNjACAAAABDEyMDYEAAAAATAHAAAACDQvMS8yMDI1CAAAAAoxMi8zMS8yMDIzCQAAAAEwPgtWZMFz3QgGrsGUxHPdCDFDSVEuTllTRTpJQk0uSVFfT1RIRVJfUkVDRUlWLjk5MC40LzEvMjAyNS4uLlVTRC5IAQAAAN62AQACAAAABDI5MDYBCAAAAAUAAAABMQEAAAAKMTgyOTkxMTk2OAMAAAADMTYwAgAAAAQxMjA2BAAAAAEwBwAAAAg0LzEvMjAyNQgAAAAKMTIvMzEvMjAxNAkAAAABMD4LVmTBc90ILWPdlMRz3QgxQ0lRLk5ZU0U6SUJNLklRX09USEVSX1JFQ0VJVi45OTEuNC8xLzIwMjUuLi5VU0QuSAEAAADetgEAAgAAAAQxMjAxAQgAAAAFAAAAATEBAAAACjE4NzY0MzI4NzIDAAAAAzE2MAIAAAAEMTIwNgQAAAABMAcAAAAINC8xLzIwMjUIAAAACjEyLzMxLzIwMTUJ</t>
  </si>
  <si>
    <t>AAAAATA+C1ZkwXPdCC1j3ZTEc90IMUNJUS5OWVNFOklCTS5JUV9PVEhFUl9SRUNFSVYuOTkyLjQvMS8yMDI1Li4uVVNELkgBAAAA3rYBAAIAAAAEMTA1NwEIAAAABQAAAAExAQAAAAoxOTQ3MTc5NTgzAwAAAAMxNjACAAAABDEyMDYEAAAAATAHAAAACDQvMS8yMDI1CAAAAAoxMi8zMS8yMDE2CQAAAAEwPgtWZMFz3QgtY92UxHPdCDFDSVEuTllTRTpJQk0uSVFfT1RIRVJfUkVDRUlWLjk5My40LzEvMjAyNS4uLlVTRC5IAQAAAN62AQACAAAAAzk4MQEIAAAABQAAAAExAQAAAAoyMDE3MTY0MjQ0AwAAAAMxNjACAAAABDEyMDYEAAAAATAHAAAACDQvMS8yMDI1CAAAAAoxMi8zMS8yMDE3CQAAAAEwPgtWZMFz3QgtY92UxHPdCDFDSVEuTllTRTpJQk0uSVFfT1RIRVJfUkVDRUlWLjk5NC40LzEvMjAyNS4uLlVTRC5IAQAAAN62AQACAAAAAzc0MwEIAAAABQAAAAExAQAAAAoyMDgxNTA1NDAxAwAAAAMxNjACAAAABDEyMDYEAAAAATAHAAAACDQvMS8yMDI1CAAAAAoxMi8zMS8yMDE4CQAAAAEwPgtWZMFz3QgtY92UxHPdCCdDSVEuTllTRTpJQk0uSVFfQVIuOTk3LjQvMS8yMDI1Li4uVVNELkgBAAAA3rYBAAIAAAAENzIyNQEIAAAABQAAAAExAQAAAAstMjAwODY0NzE5OAMAAAADMTYwAgAAAAQxMDIxBAAAAAEwBwAAAAg0LzEvMjAyNQgAAAAKMTIvMzEvMjAyMQkAAAABMD4LVmTBc90ILWPdlMRz3QgnQ0lRLk5Z</t>
  </si>
  <si>
    <t>U0U6SUJNLklRX0FSLjk5OC40LzEvMjAyNS4uLlVTRC5IAQAAAN62AQACAAAABDcwMDUBCAAAAAUAAAABMQEAAAALLTE5NTgyODEwOTYDAAAAAzE2MAIAAAAEMTAyMQQAAAABMAcAAAAINC8xLzIwMjUIAAAACjEyLzMxLzIwMjIJAAAAATA+C1ZkwXPdCC1j3ZTEc90IJ0NJUS5OWVNFOklCTS5JUV9BUi45OTkuNC8xLzIwMjUuLi5VU0QuSAEAAADetgEAAgAAAAQ3NzE5AQgAAAAFAAAAATEBAAAACy0xOTU4MjgxMDk1AwAAAAMxNjACAAAABDEwMjEEAAAAATAHAAAACDQvMS8yMDI1CAAAAAoxMi8zMS8yMDIzCQAAAAEwPgtWZMFz3QgGrsGUxHPdCChDSVEuTllTRTpJQk0uSVFfQVIuMTAwMC40LzEvMjAyNS4uLlVTRC5IAQAAAN62AQACAAAABDcyMzcBCAAAAAUAAAABMQEAAAALLTE5NTgyODEwOTcDAAAAAzE2MAIAAAAEMTAyMQQAAAABMAcAAAAINC8xLzIwMjUIAAAACjEyLzMxLzIwMjQJAAAAATA+C1ZkwXPdCC1j3ZTEc90IKENJUS5OWVNFOklCTS5JUV9BUi4yMDAwLjQvMS8yMDI1Li4uVVNELkgBAAAA3rYBAAIAAAAENzIzNwEIAAAABQAAAAExAQAAAAstMTk1ODI4MDYxNQMAAAADMTYwAgAAAAQxMDIxBAAAAAEwBwAAAAg0LzEvMjAyNQgAAAAKMTIvMzEvMjAyNAkAAAABMD4LVmTBc90I3H7AlMRz3QgnQ0lRLk5ZU0U6SUJNLklRX0FSLjk5Mi40LzEvMjAyNS4uLlVTRC5IAQAAAN62AQACAAAABDkxODIB</t>
  </si>
  <si>
    <t>CAAAAAUAAAABMQEAAAAKMTk0NzE3OTU4MwMAAAADMTYwAgAAAAQxMDIxBAAAAAEwBwAAAAg0LzEvMjAyNQgAAAAKMTIvMzEvMjAxNgkAAAABMD4LVmTBc90ILWPdlMRz3QgnQ0lRLk5ZU0U6SUJNLklRX0FSLjk5My40LzEvMjAyNS4uLlVTRC5IAQAAAN62AQACAAAABDkzOTkBCAAAAAUAAAABMQEAAAAKMjAxNzE2NDI0NAMAAAADMTYwAgAAAAQxMDIxBAAAAAEwBwAAAAg0LzEvMjAyNQgAAAAKMTIvMzEvMjAxNwkAAAABMD4LVmTBc90ILWPdlMRz3QgnQ0lRLk5ZU0U6SUJNLklRX0FSLjk5NC40LzEvMjAyNS4uLlVTRC5IAQAAAN62AQACAAAABDc5MDIBCAAAAAUAAAABMQEAAAAKMjA4MTUwNTQwMQMAAAADMTYwAgAAAAQxMDIxBAAAAAEwBwAAAAg0LzEvMjAyNQgAAAAKMTIvMzEvMjAxOAkAAAABMD4LVmTBc90ILWPdlMRz3QgnQ0lRLk5ZU0U6SUJNLklRX0FSLjk5NS40LzEvMjAyNS4uLlVTRC5IAQAAAN62AQACAAAABDgzNjIBCAAAAAUAAAABMQEAAAALLTIxMTA3NjkzNTUDAAAAAzE2MAIAAAAEMTAyMQQAAAABMAcAAAAINC8xLzIwMjUIAAAACjEyLzMxLzIwMTkJAAAAATA+C1ZkwXPdCC1j3ZTEc90IJ0NJUS5OWVNFOklCTS5JUV9BUi45OTYuNC8xLzIwMjUuLi5VU0QuSAEAAADetgEAAgAAAAQ2MjE1AQgAAAAFAAAAATEBAAAACy0yMDU5MDczMjAyAwAAAAMxNjACAAAABDEwMjEEAAAAATAHAAAACDQv</t>
  </si>
  <si>
    <t>MS8yMDI1CAAAAAoxMi8zMS8yMDIwCQAAAAEwPgtWZMFz3QgtY92UxHPdCDNDSVEuTllTRTpJQk0uSVFfQ0FTSF9TVF9JTlZFU1QuOTk5LjQvMS8yMDI1Li4uVVNELkgBAAAA3rYBAAIAAAAFMTM0NDEBCAAAAAUAAAABMQEAAAALLTE5NTgyODEwOTUDAAAAAzE2MAIAAAAEMTAwMgQAAAABMAcAAAAINC8xLzIwMjUIAAAACjEyLzMxLzIwMjMJAAAAATA+C1ZkwXPdCAauwZTEc90INENJUS5OWVNFOklCTS5JUV9DQVNIX1NUX0lOVkVTVC4xMDAwLjQvMS8yMDI1Li4uVVNELkgBAAAA3rYBAAIAAAAFMTQ1OTEBCAAAAAUAAAABMQEAAAALLTE5NTgyODEwOTcDAAAAAzE2MAIAAAAEMTAwMgQAAAABMAcAAAAINC8xLzIwMjUIAAAACjEyLzMxLzIwMjQJAAAAATA+C1ZkwXPdCC1j3ZTEc90INENJUS5OWVNFOklCTS5JUV9DQVNIX1NUX0lOVkVTVC4yMDAwLjQvMS8yMDI1Li4uVVNELkgBAAAA3rYBAAIAAAAFMTQ1OTEBCAAAAAUAAAABMQEAAAALLTE5NTgyODA2MTUDAAAAAzE2MAIAAAAEMTAwMgQAAAABMAcAAAAINC8xLzIwMjUIAAAACjEyLzMxLzIwMjQJAAAAATA+C1ZkwXPdCNx+wJTEc90IJ0NJUS5OWVNFOklCTS5JUV9BUi45OTAuNC8xLzIwMjUuLi5VU0QuSAEAAADetgEAAgAAAAQ5MDkwAQgAAAAFAAAAATEBAAAACjE4Mjk5MTE5NjgDAAAAAzE2MAIAAAAEMTAyMQQAAAABMAcAAAAINC8xLzIwMjUIAAAACjEy</t>
  </si>
  <si>
    <t>LzMxLzIwMTQJAAAAATA+C1ZkwXPdCC1j3ZTEc90IJ0NJUS5OWVNFOklCTS5JUV9BUi45OTEuNC8xLzIwMjUuLi5VU0QuSAEAAADetgEAAgAAAAQ4MzMzAQgAAAAFAAAAATEBAAAACjE4NzY0MzI4NzIDAAAAAzE2MAIAAAAEMTAyMQQAAAABMAcAAAAINC8xLzIwMjUIAAAACjEyLzMxLzIwMTUJAAAAATA+C1ZkwXPdCC1j3ZTEc90IM0NJUS5OWVNFOklCTS5JUV9DQVNIX1NUX0lOVkVTVC45OTQuNC8xLzIwMjUuLi5VU0QuSAEAAADetgEAAgAAAAUxMTk5NwEIAAAABQAAAAExAQAAAAoyMDgxNTA1NDAxAwAAAAMxNjACAAAABDEwMDIEAAAAATAHAAAACDQvMS8yMDI1CAAAAAoxMi8zMS8yMDE4CQAAAAEwPgtWZMFz3QgtY92UxHPdCDNDSVEuTllTRTpJQk0uSVFfQ0FTSF9TVF9JTlZFU1QuOTk1LjQvMS8yMDI1Li4uVVNELkgBAAAA3rYBAAIAAAAEODg2OAEIAAAABQAAAAExAQAAAAstMjExMDc2OTM1NQMAAAADMTYwAgAAAAQxMDAyBAAAAAEwBwAAAAg0LzEvMjAyNQgAAAAKMTIvMzEvMjAxOQkAAAABMD4LVmTBc90ILWPdlMRz3QgzQ0lRLk5ZU0U6SUJNLklRX0NBU0hfU1RfSU5WRVNULjk5Ni40LzEvMjAyNS4uLlVTRC5IAQAAAN62AQACAAAABTEzNzg4AQgAAAAFAAAAATEBAAAACy0yMDU5MDczMjAyAwAAAAMxNjACAAAABDEwMDIEAAAAATAHAAAACDQvMS8yMDI1CAAAAAoxMi8zMS8yMDIwCQAAAAEwPgtW</t>
  </si>
  <si>
    <t>ZMFz3QgtY92UxHPdCDNDSVEuTllTRTpJQk0uSVFfQ0FTSF9TVF9JTlZFU1QuOTk3LjQvMS8yMDI1Li4uVVNELkgBAAAA3rYBAAIAAAAENzI1MAEIAAAABQAAAAExAQAAAAstMjAwODY0NzE5OAMAAAADMTYwAgAAAAQxMDAyBAAAAAEwBwAAAAg0LzEvMjAyNQgAAAAKMTIvMzEvMjAyMQkAAAABMD4LVmTBc90ILWPdlMRz3QgzQ0lRLk5ZU0U6SUJNLklRX0NBU0hfU1RfSU5WRVNULjk5OC40LzEvMjAyNS4uLlVTRC5IAQAAAN62AQACAAAABDg3MzgBCAAAAAUAAAABMQEAAAALLTE5NTgyODEwOTYDAAAAAzE2MAIAAAAEMTAwMgQAAAABMAcAAAAINC8xLzIwMjUIAAAACjEyLzMxLzIwMjIJAAAAATA+C1ZkwXPdCC1j3ZTEc90INENJUS5OWVNFOklCTS5JUV9UUkFESU5HX0FTU0VUUy4yMDAwLjQvMS8yMDI1Li4uVVNELkgBAAAA3rYBAAMAAAAAAD4LVmTBc90I3H7AlMRz3QgzQ0lRLk5ZU0U6SUJNLklRX0NBU0hfU1RfSU5WRVNULjk5MC40LzEvMjAyNS4uLlVTRC5IAQAAAN62AQACAAAABDg0ODEBCAAAAAUAAAABMQEAAAAKMTgyOTkxMTk2OAMAAAADMTYwAgAAAAQxMDAyBAAAAAEwBwAAAAg0LzEvMjAyNQgAAAAKMTIvMzEvMjAxNAkAAAABMD4LVmTBc90ILWPdlMRz3QgzQ0lRLk5ZU0U6SUJNLklRX0NBU0hfU1RfSU5WRVNULjk5MS40LzEvMjAyNS4uLlVTRC5IAQAAAN62AQACAAAABDgxOTQBCAAAAAUAAAAB</t>
  </si>
  <si>
    <t>MQEAAAAKMTg3NjQzMjg3MgMAAAADMTYwAgAAAAQxMDAyBAAAAAEwBwAAAAg0LzEvMjAyNQgAAAAKMTIvMzEvMjAxNQkAAAABMD4LVmTBc90ILWPdlMRz3QgzQ0lRLk5ZU0U6SUJNLklRX0NBU0hfU1RfSU5WRVNULjk5Mi40LzEvMjAyNS4uLlVTRC5IAQAAAN62AQACAAAABDg1MjcBCAAAAAUAAAABMQEAAAAKMTk0NzE3OTU4MwMAAAADMTYwAgAAAAQxMDAyBAAAAAEwBwAAAAg0LzEvMjAyNQgAAAAKMTIvMzEvMjAxNgkAAAABMD4LVmTBc90ILWPdlMRz3QgzQ0lRLk5ZU0U6SUJNLklRX0NBU0hfU1RfSU5WRVNULjk5My40LzEvMjAyNS4uLlVTRC5IAQAAAN62AQACAAAABTEyNTgyAQgAAAAFAAAAATEBAAAACjIwMTcxNjQyNDQDAAAAAzE2MAIAAAAEMTAwMgQAAAABMAcAAAAINC8xLzIwMjUIAAAACjEyLzMxLzIwMTcJAAAAATA+C1ZkwXPdCC1j3ZTEc90IM0NJUS5OWVNFOklCTS5JUV9UUkFESU5HX0FTU0VUUy45OTYuNC8xLzIwMjUuLi5VU0QuSAEAAADetgEAAwAAAAAAPgtWZMFz3QgtY92UxHPdCDNDSVEuTllTRTpJQk0uSVFfVFJBRElOR19BU1NFVFMuOTk3LjQvMS8yMDI1Li4uVVNELkgBAAAA3rYBAAMAAAAAAD4LVmTBc90ILWPdlMRz3QgzQ0lRLk5ZU0U6SUJNLklRX1RSQURJTkdfQVNTRVRTLjk5OC40LzEvMjAyNS4uLlVTRC5IAQAAAN62AQADAAAAAAA+C1ZkwXPdCC1j3ZTEc90IM0NJUS5OWVNF</t>
  </si>
  <si>
    <t>OklCTS5JUV9UUkFESU5HX0FTU0VUUy45OTkuNC8xLzIwMjUuLi5VU0QuSAEAAADetgEAAwAAAAAAPgtWZMFz3QgGrsGUxHPdCDRDSVEuTllTRTpJQk0uSVFfVFJBRElOR19BU1NFVFMuMTAwMC40LzEvMjAyNS4uLlVTRC5IAQAAAN62AQADAAAAAAA+C1ZkwXPdCC1j3ZTEc90IM0NJUS5OWVNFOklCTS5JUV9UUkFESU5HX0FTU0VUUy45OTEuNC8xLzIwMjUuLi5VU0QuSAEAAADetgEAAwAAAAAAPgtWZMFz3QjfFN2UxHPdCDNDSVEuTllTRTpJQk0uSVFfVFJBRElOR19BU1NFVFMuOTkyLjQvMS8yMDI1Li4uVVNELkgBAAAA3rYBAAMAAAAAAD4LVmTBc90I3xTdlMRz3QgzQ0lRLk5ZU0U6SUJNLklRX1RSQURJTkdfQVNTRVRTLjk5My40LzEvMjAyNS4uLlVTRC5IAQAAAN62AQACAAAAATIBCAAAAAUAAAABMQEAAAAKMjAxNzE2NDI0NAMAAAADMTYwAgAAAAQxMjQ0BAAAAAEwBwAAAAg0LzEvMjAyNQgAAAAKMTIvMzEvMjAxNwkAAAABMD4LVmTBc90I3xTdlMRz3QgzQ0lRLk5ZU0U6SUJNLklRX1RSQURJTkdfQVNTRVRTLjk5NC40LzEvMjAyNS4uLlVTRC5IAQAAAN62AQADAAAAAAA+C1ZkwXPdCN8U3ZTEc90IM0NJUS5OWVNFOklCTS5JUV9UUkFESU5HX0FTU0VUUy45OTUuNC8xLzIwMjUuLi5VU0QuSAEAAADetgEAAwAAAAAAPgtWZMFz3QgtY92UxHPdCC5DSVEuTllTRTpJQk0uSVFfU1RfSU5WRVNULjk5OC40</t>
  </si>
  <si>
    <t>LzEvMjAyNS4uLlVTRC5IAQAAAN62AQACAAAAAzg1MgEIAAAABQAAAAExAQAAAAstMTk1ODI4MTA5NgMAAAADMTYwAgAAAAQxMDY5BAAAAAEwBwAAAAg0LzEvMjAyNQgAAAAKMTIvMzEvMjAyMgkAAAABMD4LVmTBc90ILWPdlMRz3QguQ0lRLk5ZU0U6SUJNLklRX1NUX0lOVkVTVC45OTkuNC8xLzIwMjUuLi5VU0QuSAEAAADetgEAAgAAAAMzNzMBCAAAAAUAAAABMQEAAAALLTE5NTgyODEwOTUDAAAAAzE2MAIAAAAEMTA2OQQAAAABMAcAAAAINC8xLzIwMjUIAAAACjEyLzMxLzIwMjMJAAAAATA+C1ZkwXPdCAauwZTEc90IL0NJUS5OWVNFOklCTS5JUV9TVF9JTlZFU1QuMTAwMC40LzEvMjAyNS4uLlVTRC5IAQAAAN62AQACAAAAAzY0NAEIAAAABQAAAAExAQAAAAstMTk1ODI4MTA5NwMAAAADMTYwAgAAAAQxMDY5BAAAAAEwBwAAAAg0LzEvMjAyNQgAAAAKMTIvMzEvMjAyNAkAAAABMD4LVmTBc90I3xTdlMRz3QgvQ0lRLk5ZU0U6SUJNLklRX1NUX0lOVkVTVC4yMDAwLjQvMS8yMDI1Li4uVVNELkgBAAAA3rYBAAIAAAADNjQ0AQgAAAAFAAAAATEBAAAACy0xOTU4MjgwNjE1AwAAAAMxNjACAAAABDEwNjkEAAAAATAHAAAACDQvMS8yMDI1CAAAAAoxMi8zMS8yMDI0CQAAAAEwPgtWZMFz3QjcfsCUxHPdCDNDSVEuTllTRTpJQk0uSVFfVFJBRElOR19BU1NFVFMuOTkwLjQvMS8yMDI1Li4uVVNELkgBAAAA3rYB</t>
  </si>
  <si>
    <t>AAIAAAABNQEIAAAABQAAAAExAQAAAAoxODI5OTExOTY4AwAAAAMxNjACAAAABDEyNDQEAAAAATAHAAAACDQvMS8yMDI1CAAAAAoxMi8zMS8yMDE0CQAAAAEwPgtWZMFz3QjfFN2UxHPdCC5DSVEuTllTRTpJQk0uSVFfU1RfSU5WRVNULjk5My40LzEvMjAyNS4uLlVTRC5IAQAAAN62AQACAAAAAzYwOAEIAAAABQAAAAExAQAAAAoyMDE3MTY0MjQ0AwAAAAMxNjACAAAABDEwNjkEAAAAATAHAAAACDQvMS8yMDI1CAAAAAoxMi8zMS8yMDE3CQAAAAEwPgtWZMFz3QjfFN2UxHPdCC5DSVEuTllTRTpJQk0uSVFfU1RfSU5WRVNULjk5NC40LzEvMjAyNS4uLlVTRC5IAQAAAN62AQACAAAAAzYxOAEIAAAABQAAAAExAQAAAAoyMDgxNTA1NDAxAwAAAAMxNjACAAAABDEwNjkEAAAAATAHAAAACDQvMS8yMDI1CAAAAAoxMi8zMS8yMDE4CQAAAAEwPgtWZMFz3QjfFN2UxHPdCC5DSVEuTllTRTpJQk0uSVFfU1RfSU5WRVNULjk5NS40LzEvMjAyNS4uLlVTRC5IAQAAAN62AQACAAAAAzY5NgEIAAAABQAAAAExAQAAAAstMjExMDc2OTM1NQMAAAADMTYwAgAAAAQxMDY5BAAAAAEwBwAAAAg0LzEvMjAyNQgAAAAKMTIvMzEvMjAxOQkAAAABMJTBVmTBc90I3xTdlMRz3QguQ0lRLk5ZU0U6SUJNLklRX1NUX0lOVkVTVC45OTYuNC8xLzIwMjUuLi5VU0QuSAEAAADetgEAAgAAAAM2MDABCAAAAAUAAAABMQEAAAALLTIwNTkwNzMy</t>
  </si>
  <si>
    <t>MDIDAAAAAzE2MAIAAAAEMTA2OQQAAAABMAcAAAAINC8xLzIwMjUIAAAACjEyLzMxLzIwMjAJAAAAATCUwVZkwXPdCN8U3ZTEc90ILkNJUS5OWVNFOklCTS5JUV9TVF9JTlZFU1QuOTk3LjQvMS8yMDI1Li4uVVNELkgBAAAA3rYBAAIAAAADNjAwAQgAAAAFAAAAATEBAAAACy0yMDA4NjQ3MTk4AwAAAAMxNjACAAAABDEwNjkEAAAAATAHAAAACDQvMS8yMDI1CAAAAAoxMi8zMS8yMDIxCQAAAAEwlMFWZMFz3QjfFN2UxHPdCDBDSVEuTllTRTpJQk0uSVFfQ0FTSF9FUVVJVi4xMDAwLjQvMS8yMDI1Li4uVVNELkgBAAAA3rYBAAIAAAAFMTM5NDcBCAAAAAUAAAABMQEAAAALLTE5NTgyODEwOTcDAAAAAzE2MAIAAAAEMTA5NgQAAAABMAcAAAAINC8xLzIwMjUIAAAACjEyLzMxLzIwMjQJAAAAATCUwVZkwXPdCN8U3ZTEc90IMENJUS5OWVNFOklCTS5JUV9DQVNIX0VRVUlWLjIwMDAuNC8xLzIwMjUuLi5VU0QuSAEAAADetgEAAgAAAAUxMzk0NwEIAAAABQAAAAExAQAAAAstMTk1ODI4MDYxNQMAAAADMTYwAgAAAAQxMDk2BAAAAAEwBwAAAAg0LzEvMjAyNQgAAAAKMTIvMzEvMjAyNAkAAAABMJTBVmTBc90I3H7AlMRz3QguQ0lRLk5ZU0U6SUJNLklRX1NUX0lOVkVTVC45OTAuNC8xLzIwMjUuLi5VU0QuSAEAAADetgEAAwAAAAAAlMFWZMFz3QjfFN2UxHPdCC5DSVEuTllTRTpJQk0uSVFfU1RfSU5WRVNULjk5MS40</t>
  </si>
  <si>
    <t>LzEvMjAyNS4uLlVTRC5IAQAAAN62AQACAAAAAzUwOAEIAAAABQAAAAExAQAAAAoxODc2NDMyODcyAwAAAAMxNjACAAAABDEwNjkEAAAAATAHAAAACDQvMS8yMDI1CAAAAAoxMi8zMS8yMDE1CQAAAAEwSRNYZMFz3QjfFN2UxHPdCC5DSVEuTllTRTpJQk0uSVFfU1RfSU5WRVNULjk5Mi40LzEvMjAyNS4uLlVTRC5IAQAAAN62AQACAAAAAzcwMQEIAAAABQAAAAExAQAAAAoxOTQ3MTc5NTgzAwAAAAMxNjACAAAABDEwNjkEAAAAATAHAAAACDQvMS8yMDI1CAAAAAoxMi8zMS8yMDE2CQAAAAEwSRNYZMFz3QjfFN2UxHPdCC9DSVEuTllTRTpJQk0uSVFfQ0FTSF9FUVVJVi45OTUuNC8xLzIwMjUuLi5VU0QuSAEAAADetgEAAgAAAAQ4MTcyAQgAAAAFAAAAATEBAAAACy0yMTEwNzY5MzU1AwAAAAMxNjACAAAABDEwOTYEAAAAATAHAAAACDQvMS8yMDI1CAAAAAoxMi8zMS8yMDE5CQAAAAEwSRNYZMFz3QjfFN2UxHPdCC9DSVEuTllTRTpJQk0uSVFfQ0FTSF9FUVVJVi45OTYuNC8xLzIwMjUuLi5VU0QuSAEAAADetgEAAgAAAAUxMzE4OAEIAAAABQAAAAExAQAAAAstMjA1OTA3MzIwMgMAAAADMTYwAgAAAAQxMDk2BAAAAAEwBwAAAAg0LzEvMjAyNQgAAAAKMTIvMzEvMjAyMAkAAAABMEkTWGTBc90I3xTdlMRz3QgvQ0lRLk5ZU0U6SUJNLklRX0NBU0hfRVFVSVYuOTk3LjQvMS8yMDI1Li4uVVNELkgBAAAA3rYBAAIA</t>
  </si>
  <si>
    <t>AAAENjY1MAEIAAAABQAAAAExAQAAAAstMjAwODY0NzE5OAMAAAADMTYwAgAAAAQxMDk2BAAAAAEwBwAAAAg0LzEvMjAyNQgAAAAKMTIvMzEvMjAyMQkAAAABMEkTWGTBc90I3xTdlMRz3QgvQ0lRLk5ZU0U6SUJNLklRX0NBU0hfRVFVSVYuOTk4LjQvMS8yMDI1Li4uVVNELkgBAAAA3rYBAAIAAAAENzg4NgEIAAAABQAAAAExAQAAAAstMTk1ODI4MTA5NgMAAAADMTYwAgAAAAQxMDk2BAAAAAEwBwAAAAg0LzEvMjAyNQgAAAAKMTIvMzEvMjAyMgkAAAABMEkTWGTBc90I3xTdlMRz3QgvQ0lRLk5ZU0U6SUJNLklRX0NBU0hfRVFVSVYuOTk5LjQvMS8yMDI1Li4uVVNELkgBAAAA3rYBAAIAAAAFMTMwNjgBCAAAAAUAAAABMQEAAAALLTE5NTgyODEwOTUDAAAAAzE2MAIAAAAEMTA5NgQAAAABMAcAAAAINC8xLzIwMjUIAAAACjEyLzMxLzIwMjMJAAAAATBJE1hkwXPdCAauwZTEc90IL0NJUS5OWVNFOklCTS5JUV9DQVNIX0VRVUlWLjk5MC40LzEvMjAyNS4uLlVTRC5IAQAAAN62AQACAAAABDg0NzYBCAAAAAUAAAABMQEAAAAKMTgyOTkxMTk2OAMAAAADMTYwAgAAAAQxMDk2BAAAAAEwBwAAAAg0LzEvMjAyNQgAAAAKMTIvMzEvMjAxNAkAAAABMEkTWGTBc90I3xTdlMRz3QgvQ0lRLk5ZU0U6SUJNLklRX0NBU0hfRVFVSVYuOTkxLjQvMS8yMDI1Li4uVVNELkgBAAAA3rYBAAIAAAAENzY4NgEIAAAABQAAAAExAQAA</t>
  </si>
  <si>
    <t>AAoxODc2NDMyODcyAwAAAAMxNjACAAAABDEwOTYEAAAAATAHAAAACDQvMS8yMDI1CAAAAAoxMi8zMS8yMDE1CQAAAAEwSRNYZMFz3QjfFN2UxHPdCC9DSVEuTllTRTpJQk0uSVFfQ0FTSF9FUVVJVi45OTIuNC8xLzIwMjUuLi5VU0QuSAEAAADetgEAAgAAAAQ3ODI2AQgAAAAFAAAAATEBAAAACjE5NDcxNzk1ODMDAAAAAzE2MAIAAAAEMTA5NgQAAAABMAcAAAAINC8xLzIwMjUIAAAACjEyLzMxLzIwMTYJAAAAATBJE1hkwXPdCN8U3ZTEc90IL0NJUS5OWVNFOklCTS5JUV9DQVNIX0VRVUlWLjk5My40LzEvMjAyNS4uLlVTRC5IAQAAAN62AQACAAAABTExOTcyAQgAAAAFAAAAATEBAAAACjIwMTcxNjQyNDQDAAAAAzE2MAIAAAAEMTA5NgQAAAABMAcAAAAINC8xLzIwMjUIAAAACjEyLzMxLzIwMTcJAAAAATBJE1hkwXPdCN8U3ZTEc90IL0NJUS5OWVNFOklCTS5JUV9DQVNIX0VRVUlWLjk5NC40LzEvMjAyNS4uLlVTRC5IAQAAAN62AQACAAAABTExMzc5AQgAAAAFAAAAATEBAAAACjIwODE1MDU0MDEDAAAAAzE2MAIAAAAEMTA5NgQAAAABMAcAAAAINC8xLzIwMjUIAAAACjEyLzMxLzIwMTgJAAAAATBJE1hkwXPdCN8U3ZTEc90IOENJUS5OWVNFOklCTS5JUV9HQUlOX0JBUkdBSU5fQUNRX0NGLjk5Ny40LzEvMjAyNS4uLlVTRC5IAQAAAN62AQADAAAAAABJE1hkwXPdCN8U3ZTEc90IOENJUS5OWVNFOklCTS5J</t>
  </si>
  <si>
    <t>UV9HQUlOX0JBUkdBSU5fQUNRX0NGLjk5OC40LzEvMjAyNS4uLlVTRC5IAQAAAN62AQADAAAAAABJE1hkwXPdCN8U3ZTEc90IOENJUS5OWVNFOklCTS5JUV9HQUlOX0JBUkdBSU5fQUNRX0NGLjk5OS40LzEvMjAyNS4uLlVTRC5IAQAAAN62AQADAAAAAABJE1hkwXPdCAauwZTEc90IOUNJUS5OWVNFOklCTS5JUV9HQUlOX0JBUkdBSU5fQUNRX0NGLjEwMDAuNC8xLzIwMjUuLi5VU0QuSAEAAADetgEAAwAAAAAASRNYZMFz3QjfFN2UxHPdCDlDSVEuTllTRTpJQk0uSVFfR0FJTl9CQVJHQUlOX0FDUV9DRi4yMDAwLjQvMS8yMDI1Li4uVVNELkgBAAAA3rYBAAMAAAAAAEkTWGTBc90I3H7AlMRz3Qg4Q0lRLk5ZU0U6SUJNLklRX0dBSU5fQkFSR0FJTl9BQ1FfQ0YuOTkyLjQvMS8yMDI1Li4uVVNELkgBAAAA3rYBAAMAAAAAAEkTWGTBc90I3xTdlMRz3Qg4Q0lRLk5ZU0U6SUJNLklRX0dBSU5fQkFSR0FJTl9BQ1FfQ0YuOTkzLjQvMS8yMDI1Li4uVVNELkgBAAAA3rYBAAMAAAAAAEkTWGTBc90I3xTdlMRz3Qg4Q0lRLk5ZU0U6SUJNLklRX0dBSU5fQkFSR0FJTl9BQ1FfQ0YuOTk0LjQvMS8yMDI1Li4uVVNELkgBAAAA3rYBAAMAAAAAAEkTWGTBc90I3xTdlMRz3Qg4Q0lRLk5ZU0U6SUJNLklRX0dBSU5fQkFSR0FJTl9BQ1FfQ0YuOTk1LjQvMS8yMDI1Li4uVVNELkgBAAAA3rYBAAMAAAAAAEkTWGTBc90I3xTdlMRz</t>
  </si>
  <si>
    <t>3Qg4Q0lRLk5ZU0U6SUJNLklRX0dBSU5fQkFSR0FJTl9BQ1FfQ0YuOTk2LjQvMS8yMDI1Li4uVVNELkgBAAAA3rYBAAMAAAAAAEkTWGTBc90I3xTdlMRz3QhCQ0lRLk5ZU0U6SUJNLklRX1RPVEFMX0RFQlRfUkVQQUlEX0VYQ0xfTEVBU0VTLjk5OS40LzEvMjAyNS4uLlVTRC5IAQAAAN62AQACAAAABS01MDg5AQgAAAAFAAAAATEBAAAACy0xOTU4MjgxMDk1AwAAAAMxNjACAAAABTQ4OTg2BAAAAAEwBwAAAAg0LzEvMjAyNQgAAAAKMTIvMzEvMjAyMwkAAAABMEkTWGTBc90IBq7BlMRz3QhDQ0lRLk5ZU0U6SUJNLklRX1RPVEFMX0RFQlRfUkVQQUlEX0VYQ0xfTEVBU0VTLjEwMDAuNC8xLzIwMjUuLi5VU0QuSAEAAADetgEAAgAAAAUtNjYxNQEIAAAABQAAAAExAQAAAAstMTk1ODI4MTA5NwMAAAADMTYwAgAAAAU0ODk4NgQAAAABMAcAAAAINC8xLzIwMjUIAAAACjEyLzMxLzIwMjQJAAAAATBJE1hkwXPdCN8U3ZTEc90IQ0NJUS5OWVNFOklCTS5JUV9UT1RBTF9ERUJUX1JFUEFJRF9FWENMX0xFQVNFUy4yMDAwLjQvMS8yMDI1Li4uVVNELkgBAAAA3rYBAAIAAAAFLTY2MTUBCAAAAAUAAAABMQEAAAALLTE5NTgyODA2MTUDAAAAAzE2MAIAAAAFNDg5ODYEAAAAATAHAAAACDQvMS8yMDI1CAAAAAoxMi8zMS8yMDI0CQAAAAEwSRNYZMFz3QjcfsCUxHPdCDhDSVEuTllTRTpJQk0uSVFfR0FJTl9CQVJHQUlOX0FD</t>
  </si>
  <si>
    <t>UV9DRi45OTAuNC8xLzIwMjUuLi5VU0QuSAEAAADetgEAAwAAAAAASRNYZMFz3QiPxtyUxHPdCDhDSVEuTllTRTpJQk0uSVFfR0FJTl9CQVJHQUlOX0FDUV9DRi45OTEuNC8xLzIwMjUuLi5VU0QuSAEAAADetgEAAwAAAAAASRNYZMFz3QiPxtyUxHPdCEJDSVEuTllTRTpJQk0uSVFfVE9UQUxfREVCVF9SRVBBSURfRVhDTF9MRUFTRVMuOTk0LjQvMS8yMDI1Li4uVVNELkgBAAAA3rYBAAIAAAAFLTg1MzMBCAAAAAUAAAABMQEAAAAKMjA4MTUwNTQwMQMAAAADMTYwAgAAAAU0ODk4NgQAAAABMAcAAAAINC8xLzIwMjUIAAAACjEyLzMxLzIwMTgJAAAAATBJE1hkwXPdCN8U3ZTEc90IQkNJUS5OWVNFOklCTS5JUV9UT1RBTF9ERUJUX1JFUEFJRF9FWENMX0xFQVNFUy45OTUuNC8xLzIwMjUuLi5VU0QuSAEAAADetgEAAgAAAAYtMTU1NDEBCAAAAAUAAAABMQEAAAALLTIxMTA3NjkzNTUDAAAAAzE2MAIAAAAFNDg5ODYEAAAAATAHAAAACDQvMS8yMDI1CAAAAAoxMi8zMS8yMDE5CQAAAAEwSRNYZMFz3QjfFN2UxHPdCEJDSVEuTllTRTpJQk0uSVFfVE9UQUxfREVCVF9SRVBBSURfRVhDTF9MRUFTRVMuOTk2LjQvMS8yMDI1Li4uVVNELkgBAAAA3rYBAAIAAAAGLTE0MjE4AQgAAAAFAAAAATEBAAAACy0yMDU5MDczMjAyAwAAAAMxNjACAAAABTQ4OTg2BAAAAAEwBwAAAAg0LzEvMjAyNQgAAAAKMTIvMzEvMjAyMAkA</t>
  </si>
  <si>
    <t>AAABMEkTWGTBc90I3xTdlMRz3QhCQ0lRLk5ZU0U6SUJNLklRX1RPVEFMX0RFQlRfUkVQQUlEX0VYQ0xfTEVBU0VTLjk5Ny40LzEvMjAyNS4uLlVTRC5IAQAAAN62AQACAAAABS04NjM3AQgAAAAFAAAAATEBAAAACy0yMDA4NjQ3MTk4AwAAAAMxNjACAAAABTQ4OTg2BAAAAAEwBwAAAAg0LzEvMjAyNQgAAAAKMTIvMzEvMjAyMQkAAAABMEkTWGTBc90Ij8bclMRz3QhCQ0lRLk5ZU0U6SUJNLklRX1RPVEFMX0RFQlRfUkVQQUlEX0VYQ0xfTEVBU0VTLjk5OC40LzEvMjAyNS4uLlVTRC5IAQAAAN62AQACAAAABS02ODAwAQgAAAAFAAAAATEBAAAACy0xOTU4MjgxMDk2AwAAAAMxNjACAAAABTQ4OTg2BAAAAAEwBwAAAAg0LzEvMjAyNQgAAAAKMTIvMzEvMjAyMgkAAAABMEkTWGTBc90Ij8bclMRz3QhHQ0lRLk5ZU0U6SUJNLklRX0xPTkdfVEVSTV9ERUJUX1JFUEFJRF9FWENMX0xFQVNFUy4yMDAwLjQvMS8yMDI1Li4uVVNELkgBAAAA3rYBAAIAAAAFLTY2MTUBCAAAAAUAAAABMQEAAAALLTE5NTgyODA2MTUDAAAAAzE2MAIAAAAFNDg5ODQEAAAAATAHAAAACDQvMS8yMDI1CAAAAAoxMi8zMS8yMDI0CQAAAAEwSRNYZMFz3QjcfsCUxHPdCEJDSVEuTllTRTpJQk0uSVFfVE9UQUxfREVCVF9SRVBBSURfRVhDTF9MRUFTRVMuOTkwLjQvMS8yMDI1Li4uVVNELkgBAAAA3rYBAAIAAAAFLTYzOTcBCAAAAAUAAAABMQEA</t>
  </si>
  <si>
    <t>AAAKMTgyOTkxMTk2OAMAAAADMTYwAgAAAAU0ODk4NgQAAAABMAcAAAAINC8xLzIwMjUIAAAACjEyLzMxLzIwMTQJAAAAATBJE1hkwXPdCI/G3JTEc90IQkNJUS5OWVNFOklCTS5JUV9UT1RBTF9ERUJUX1JFUEFJRF9FWENMX0xFQVNFUy45OTEuNC8xLzIwMjUuLi5VU0QuSAEAAADetgEAAgAAAAUtNTYyMgEIAAAABQAAAAExAQAAAAoxODc2NDMyODcyAwAAAAMxNjACAAAABTQ4OTg2BAAAAAEwBwAAAAg0LzEvMjAyNQgAAAAKMTIvMzEvMjAxNQkAAAABMEkTWGTBc90Ij8bclMRz3QhCQ0lRLk5ZU0U6SUJNLklRX1RPVEFMX0RFQlRfUkVQQUlEX0VYQ0xfTEVBU0VTLjk5Mi40LzEvMjAyNS4uLlVTRC5IAQAAAN62AQACAAAABS02Mzk1AQgAAAAFAAAAATEBAAAACjE5NDcxNzk1ODMDAAAAAzE2MAIAAAAFNDg5ODYEAAAAATAHAAAACDQvMS8yMDI1CAAAAAoxMi8zMS8yMDE2CQAAAAEwSRNYZMFz3QiPxtyUxHPdCEJDSVEuTllTRTpJQk0uSVFfVE9UQUxfREVCVF9SRVBBSURfRVhDTF9MRUFTRVMuOTkzLjQvMS8yMDI1Li4uVVNELkgBAAAA3rYBAAIAAAAFLTY4MTYBCAAAAAUAAAABMQEAAAAKMjAxNzE2NDI0NAMAAAADMTYwAgAAAAU0ODk4NgQAAAABMAcAAAAINC8xLzIwMjUIAAAACjEyLzMxLzIwMTcJAAAAATBJE1hkwXPdCI/G3JTEc90IRkNJUS5OWVNFOklCTS5JUV9MT05HX1RFUk1fREVCVF9SRVBBSURf</t>
  </si>
  <si>
    <t>RVhDTF9MRUFTRVMuOTk2LjQvMS8yMDI1Li4uVVNELkgBAAAA3rYBAAIAAAAGLTEzMzY1AQgAAAAFAAAAATEBAAAACy0yMDU5MDczMjAyAwAAAAMxNjACAAAABTQ4OTg0BAAAAAEwBwAAAAg0LzEvMjAyNQgAAAAKMTIvMzEvMjAyMAkAAAABMEkTWGTBc90Ij8bclMRz3QhGQ0lRLk5ZU0U6SUJNLklRX0xPTkdfVEVSTV9ERUJUX1JFUEFJRF9FWENMX0xFQVNFUy45OTcuNC8xLzIwMjUuLi5VU0QuSAEAAADetgEAAgAAAAUtODU5NwEIAAAABQAAAAExAQAAAAstMjAwODY0NzE5OAMAAAADMTYwAgAAAAU0ODk4NAQAAAABMAcAAAAINC8xLzIwMjUIAAAACjEyLzMxLzIwMjEJAAAAATBJE1hkwXPdCI/G3JTEc90IRkNJUS5OWVNFOklCTS5JUV9MT05HX1RFUk1fREVCVF9SRVBBSURfRVhDTF9MRUFTRVMuOTk4LjQvMS8yMDI1Li4uVVNELkgBAAAA3rYBAAIAAAAFLTY4MDABCAAAAAUAAAABMQEAAAALLTE5NTgyODEwOTYDAAAAAzE2MAIAAAAFNDg5ODQEAAAAATAHAAAACDQvMS8yMDI1CAAAAAoxMi8zMS8yMDIyCQAAAAEwSRNYZMFz3QiPxtyUxHPdCEZDSVEuTllTRTpJQk0uSVFfTE9OR19URVJNX0RFQlRfUkVQQUlEX0VYQ0xfTEVBU0VTLjk5OS40LzEvMjAyNS4uLlVTRC5IAQAAAN62AQACAAAABS01MDgyAQgAAAAFAAAAATEBAAAACy0xOTU4MjgxMDk1AwAAAAMxNjACAAAABTQ4OTg0BAAAAAEwBwAAAAg0LzEv</t>
  </si>
  <si>
    <t>MjAyNQgAAAAKMTIvMzEvMjAyMwkAAAABMEkTWGTBc90IBq7BlMRz3QhHQ0lRLk5ZU0U6SUJNLklRX0xPTkdfVEVSTV9ERUJUX1JFUEFJRF9FWENMX0xFQVNFUy4xMDAwLjQvMS8yMDI1Li4uVVNELkgBAAAA3rYBAAIAAAAFLTY2MTUBCAAAAAUAAAABMQEAAAALLTE5NTgyODEwOTcDAAAAAzE2MAIAAAAFNDg5ODQEAAAAATAHAAAACDQvMS8yMDI1CAAAAAoxMi8zMS8yMDI0CQAAAAEwSRNYZMFz3QiPxtyUxHPdCEZDSVEuTllTRTpJQk0uSVFfTE9OR19URVJNX0RFQlRfUkVQQUlEX0VYQ0xfTEVBU0VTLjk5MS40LzEvMjAyNS4uLlVTRC5IAQAAAN62AQACAAAABS01NjIyAQgAAAAFAAAAATEBAAAACjE4NzY0MzI4NzIDAAAAAzE2MAIAAAAFNDg5ODQEAAAAATAHAAAACDQvMS8yMDI1CAAAAAoxMi8zMS8yMDE1CQAAAAEwSRNYZMFz3QiPxtyUxHPdCEZDSVEuTllTRTpJQk0uSVFfTE9OR19URVJNX0RFQlRfUkVQQUlEX0VYQ0xfTEVBU0VTLjk5Mi40LzEvMjAyNS4uLlVTRC5IAQAAAN62AQACAAAABS02Mzk1AQgAAAAFAAAAATEBAAAACjE5NDcxNzk1ODMDAAAAAzE2MAIAAAAFNDg5ODQEAAAAATAHAAAACDQvMS8yMDI1CAAAAAoxMi8zMS8yMDE2CQAAAAEwSRNYZMFz3QiPxtyUxHPdCEZDSVEuTllTRTpJQk0uSVFfTE9OR19URVJNX0RFQlRfUkVQQUlEX0VYQ0xfTEVBU0VTLjk5My40LzEvMjAyNS4uLlVTRC5I</t>
  </si>
  <si>
    <t>AQAAAN62AQACAAAABS02ODE2AQgAAAAFAAAAATEBAAAACjIwMTcxNjQyNDQDAAAAAzE2MAIAAAAFNDg5ODQEAAAAATAHAAAACDQvMS8yMDI1CAAAAAoxMi8zMS8yMDE3CQAAAAEwSRNYZMFz3QiPxtyUxHPdCEZDSVEuTllTRTpJQk0uSVFfTE9OR19URVJNX0RFQlRfUkVQQUlEX0VYQ0xfTEVBU0VTLjk5NC40LzEvMjAyNS4uLlVTRC5IAQAAAN62AQACAAAABS04NTMzAQgAAAAFAAAAATEBAAAACjIwODE1MDU0MDEDAAAAAzE2MAIAAAAFNDg5ODQEAAAAATAHAAAACDQvMS8yMDI1CAAAAAoxMi8zMS8yMDE4CQAAAAEwSRNYZMFz3QiPxtyUxHPdCEZDSVEuTllTRTpJQk0uSVFfTE9OR19URVJNX0RFQlRfUkVQQUlEX0VYQ0xfTEVBU0VTLjk5NS40LzEvMjAyNS4uLlVTRC5IAQAAAN62AQACAAAABi0xMjk0NAEIAAAABQAAAAExAQAAAAstMjExMDc2OTM1NQMAAAADMTYwAgAAAAU0ODk4NAQAAAABMAcAAAAINC8xLzIwMjUIAAAACjEyLzMxLzIwMTkJAAAAATBJE1hkwXPdCI/G3JTEc90ISENJUS5OWVNFOklCTS5JUV9PUEVSQVRJTkdfTEVBU0VfTElBQklMSVRJRVNfTk9OQ0FTSC45OTguNC8xLzIwMjUuLi5VU0QuSAEAAADetgEAAwAAAAAASRNYZMFz3QiPxtyUxHPdCEhDSVEuTllTRTpJQk0uSVFfT1BFUkFUSU5HX0xFQVNFX0xJQUJJTElUSUVTX05PTkNBU0guOTk5LjQvMS8yMDI1Li4uVVNELkgBAAAA3rYB</t>
  </si>
  <si>
    <t>AAMAAAAAAEkTWGTBc90IBq7BlMRz3QhJQ0lRLk5ZU0U6SUJNLklRX09QRVJBVElOR19MRUFTRV9MSUFCSUxJVElFU19OT05DQVNILjEwMDAuNC8xLzIwMjUuLi5VU0QuSAEAAADetgEAAwAAAAAASRNYZMFz3QiPxtyUxHPdCElDSVEuTllTRTpJQk0uSVFfT1BFUkFUSU5HX0xFQVNFX0xJQUJJTElUSUVTX05PTkNBU0guMjAwMC40LzEvMjAyNS4uLlVTRC5IAQAAAN62AQADAAAAAABJE1hkwXPdCNx+wJTEc90IRkNJUS5OWVNFOklCTS5JUV9MT05HX1RFUk1fREVCVF9SRVBBSURfRVhDTF9MRUFTRVMuOTkwLjQvMS8yMDI1Li4uVVNELkgBAAAA3rYBAAIAAAAFLTQ2NDQBCAAAAAUAAAABMQEAAAAKMTgyOTkxMTk2OAMAAAADMTYwAgAAAAU0ODk4NAQAAAABMAcAAAAINC8xLzIwMjUIAAAACjEyLzMxLzIwMTQJAAAAATBJE1hkwXPdCI/G3JTEc90ISENJUS5OWVNFOklCTS5JUV9PUEVSQVRJTkdfTEVBU0VfTElBQklMSVRJRVNfTk9OQ0FTSC45OTMuNC8xLzIwMjUuLi5VU0QuSAEAAADetgEAAwAAAAAASRNYZMFz3QiPxtyUxHPdCEhDSVEuTllTRTpJQk0uSVFfT1BFUkFUSU5HX0xFQVNFX0xJQUJJTElUSUVTX05PTkNBU0guOTk0LjQvMS8yMDI1Li4uVVNELkgBAAAA3rYBAAMAAAAAAEkTWGTBc90Ij8bclMRz3QhIQ0lRLk5ZU0U6SUJNLklRX09QRVJBVElOR19MRUFTRV9MSUFCSUxJVElFU19OT05DQVNILjk5</t>
  </si>
  <si>
    <t>NS40LzEvMjAyNS4uLlVTRC5IAQAAAN62AQADAAAAAABJE1hkwXPdCI/G3JTEc90ISENJUS5OWVNFOklCTS5JUV9PUEVSQVRJTkdfTEVBU0VfTElBQklMSVRJRVNfTk9OQ0FTSC45OTYuNC8xLzIwMjUuLi5VU0QuSAEAAADetgEAAwAAAAAASRNYZMFz3QiPxtyUxHPdCEhDSVEuTllTRTpJQk0uSVFfT1BFUkFUSU5HX0xFQVNFX0xJQUJJTElUSUVTX05PTkNBU0guOTk3LjQvMS8yMDI1Li4uVVNELkgBAAAA3rYBAAMAAAAAAEkTWGTBc90Ij8bclMRz3QhBQ0lRLk5ZU0U6SUJNLklRX09QRVJBVElOR19MRUFTRV9MSUFCSUxJVElFUy4xMDAwLjQvMS8yMDI1Li4uVVNELkgBAAAA3rYBAAMAAAAAAEkTWGTBc90Ij8bclMRz3QhBQ0lRLk5ZU0U6SUJNLklRX09QRVJBVElOR19MRUFTRV9MSUFCSUxJVElFUy4yMDAwLjQvMS8yMDI1Li4uVVNELkgBAAAA3rYBAAMAAAAAAEkTWGTBc90I3H7AlMRz3QhIQ0lRLk5ZU0U6SUJNLklRX09QRVJBVElOR19MRUFTRV9MSUFCSUxJVElFU19OT05DQVNILjk5MC40LzEvMjAyNS4uLlVTRC5IAQAAAN62AQADAAAAAABJE1hkwXPdCI/G3JTEc90ISENJUS5OWVNFOklCTS5JUV9PUEVSQVRJTkdfTEVBU0VfTElBQklMSVRJRVNfTk9OQ0FTSC45OTEuNC8xLzIwMjUuLi5VU0QuSAEAAADetgEAAwAAAAAASRNYZMFz3QiPxtyUxHPdCEhDSVEuTllTRTpJQk0uSVFfT1BFUkFUSU5HX0xF</t>
  </si>
  <si>
    <t>QVNFX0xJQUJJTElUSUVTX05PTkNBU0guOTkyLjQvMS8yMDI1Li4uVVNELkgBAAAA3rYBAAMAAAAAAEkTWGTBc90Ij8bclMRz3QhAQ0lRLk5ZU0U6SUJNLklRX09QRVJBVElOR19MRUFTRV9MSUFCSUxJVElFUy45OTUuNC8xLzIwMjUuLi5VU0QuSAEAAADetgEAAwAAAAAASRNYZMFz3QiPxtyUxHPdCEBDSVEuTllTRTpJQk0uSVFfT1BFUkFUSU5HX0xFQVNFX0xJQUJJTElUSUVTLjk5Ni40LzEvMjAyNS4uLlVTRC5IAQAAAN62AQADAAAAAABJE1hkwXPdCI/G3JTEc90IQENJUS5OWVNFOklCTS5JUV9PUEVSQVRJTkdfTEVBU0VfTElBQklMSVRJRVMuOTk3LjQvMS8yMDI1Li4uVVNELkgBAAAA3rYBAAMAAAAAAEkTWGTBc90Ij8bclMRz3QhAQ0lRLk5ZU0U6SUJNLklRX09QRVJBVElOR19MRUFTRV9MSUFCSUxJVElFUy45OTguNC8xLzIwMjUuLi5VU0QuSAEAAADetgEAAwAAAAAASRNYZMFz3QiPxtyUxHPdCEBDSVEuTllTRTpJQk0uSVFfT1BFUkFUSU5HX0xFQVNFX0xJQUJJTElUSUVTLjk5OS40LzEvMjAyNS4uLlVTRC5IAQAAAN62AQADAAAAAABJE1hkwXPdCEv8wZTEc90IQENJUS5OWVNFOklCTS5JUV9PUEVSQVRJTkdfTEVBU0VfTElBQklMSVRJRVMuOTkwLjQvMS8yMDI1Li4uVVNELkgBAAAA3rYBAAMAAAAAAEkTWGTBc90Ij8bclMRz3QhAQ0lRLk5ZU0U6SUJNLklRX09QRVJBVElOR19MRUFTRV9MSUFC</t>
  </si>
  <si>
    <t>SUxJVElFUy45OTEuNC8xLzIwMjUuLi5VU0QuSAEAAADetgEAAwAAAAAASRNYZMFz3QiPxtyUxHPdCEBDSVEuTllTRTpJQk0uSVFfT1BFUkFUSU5HX0xFQVNFX0xJQUJJTElUSUVTLjk5Mi40LzEvMjAyNS4uLlVTRC5IAQAAAN62AQADAAAAAABJE1hkwXPdCI/G3JTEc90IQENJUS5OWVNFOklCTS5JUV9PUEVSQVRJTkdfTEVBU0VfTElBQklMSVRJRVMuOTkzLjQvMS8yMDI1Li4uVVNELkgBAAAA3rYBAAMAAAAAAEkTWGTBc90Ij8bclMRz3QhAQ0lRLk5ZU0U6SUJNLklRX09QRVJBVElOR19MRUFTRV9MSUFCSUxJVElFUy45OTQuNC8xLzIwMjUuLi5VU0QuSAEAAADetgEAAwAAAAAASRNYZMFz3QiPxtyUxHPdCD1DSVEuTllTRTpJQk0uSVFfT1BFUkFUSU5HX0xFQVNFX1BBWU1FTlRTLjk5Ny40LzEvMjAyNS4uLlVTRC5IAQAAAN62AQADAAAAAABJE1hkwXPdCCh43JTEc90IPUNJUS5OWVNFOklCTS5JUV9PUEVSQVRJTkdfTEVBU0VfUEFZTUVOVFMuOTk4LjQvMS8yMDI1Li4uVVNELkgBAAAA3rYBAAMAAAAAAEkTWGTBc90IKHjclMRz3Qg9Q0lRLk5ZU0U6SUJNLklRX09QRVJBVElOR19MRUFTRV9QQVlNRU5UUy45OTkuNC8xLzIwMjUuLi5VU0QuSAEAAADetgEAAwAAAAAASRNYZMFz3QhL/MGUxHPdCD5DSVEuTllTRTpJQk0uSVFfT1BFUkFUSU5HX0xFQVNFX1BBWU1FTlRTLjEwMDAuNC8xLzIwMjUuLi5VU0Qu</t>
  </si>
  <si>
    <t>SAEAAADetgEAAwAAAAAASRNYZMFz3QgoeNyUxHPdCD5DSVEuTllTRTpJQk0uSVFfT1BFUkFUSU5HX0xFQVNFX1BBWU1FTlRTLjIwMDAuNC8xLzIwMjUuLi5VU0QuSAEAAADetgEAAwAAAAAASRNYZMFz3QjcfsCUxHPdCD1DSVEuTllTRTpJQk0uSVFfT1BFUkFUSU5HX0xFQVNFX1BBWU1FTlRTLjk5Mi40LzEvMjAyNS4uLlVTRC5IAQAAAN62AQADAAAAAABJE1hkwXPdCCh43JTEc90IPUNJUS5OWVNFOklCTS5JUV9PUEVSQVRJTkdfTEVBU0VfUEFZTUVOVFMuOTkzLjQvMS8yMDI1Li4uVVNELkgBAAAA3rYBAAMAAAAAAEkTWGTBc90IKHjclMRz3Qg9Q0lRLk5ZU0U6SUJNLklRX09QRVJBVElOR19MRUFTRV9QQVlNRU5UUy45OTQuNC8xLzIwMjUuLi5VU0QuSAEAAADetgEAAwAAAAAASRNYZMFz3QgoeNyUxHPdCD1DSVEuTllTRTpJQk0uSVFfT1BFUkFUSU5HX0xFQVNFX1BBWU1FTlRTLjk5NS40LzEvMjAyNS4uLlVTRC5IAQAAAN62AQADAAAAAABJE1hkwXPdCCh43JTEc90IPUNJUS5OWVNFOklCTS5JUV9PUEVSQVRJTkdfTEVBU0VfUEFZTUVOVFMuOTk2LjQvMS8yMDI1Li4uVVNELkgBAAAA3rYBAAMAAAAAAEkTWGTBc90IKHjclMRz3QgyQ0lRLk5ZU0U6SUJNLklRX0RPX0ZJTkFOQ0VfQ0YuOTk5LjQvMS8yMDI1Li4uVVNELkgBAAAA3rYBAAMAAAAAAEkTWGTBc90IS/zBlMRz3QgzQ0lRLk5ZU0U6SUJNLklR</t>
  </si>
  <si>
    <t>X0RPX0ZJTkFOQ0VfQ0YuMTAwMC40LzEvMjAyNS4uLlVTRC5IAQAAAN62AQADAAAAAABJE1hkwXPdCCh43JTEc90IM0NJUS5OWVNFOklCTS5JUV9ET19GSU5BTkNFX0NGLjIwMDAuNC8xLzIwMjUuLi5VU0QuSAEAAADetgEAAwAAAAAASRNYZMFz3QjcfsCUxHPdCD1DSVEuTllTRTpJQk0uSVFfT1BFUkFUSU5HX0xFQVNFX1BBWU1FTlRTLjk5MC40LzEvMjAyNS4uLlVTRC5IAQAAAN62AQADAAAAAABJE1hkwXPdCCh43JTEc90IPUNJUS5OWVNFOklCTS5JUV9PUEVSQVRJTkdfTEVBU0VfUEFZTUVOVFMuOTkxLjQvMS8yMDI1Li4uVVNELkgBAAAA3rYBAAMAAAAAAEkTWGTBc90IKHjclMRz3QgyQ0lRLk5ZU0U6SUJNLklRX0RPX0ZJTkFOQ0VfQ0YuOTk0LjQvMS8yMDI1Li4uVVNELkgBAAAA3rYBAAMAAAAAAEkTWGTBc90IKHjclMRz3QgyQ0lRLk5ZU0U6SUJNLklRX0RPX0ZJTkFOQ0VfQ0YuOTk1LjQvMS8yMDI1Li4uVVNELkgBAAAA3rYBAAMAAAAAAEkTWGTBc90IKHjclMRz3QgyQ0lRLk5ZU0U6SUJNLklRX0RPX0ZJTkFOQ0VfQ0YuOTk2LjQvMS8yMDI1Li4uVVNELkgBAAAA3rYBAAMAAAAAAEkTWGTBc90IKHjclMRz3QgyQ0lRLk5ZU0U6SUJNLklRX0RPX0ZJTkFOQ0VfQ0YuOTk3LjQvMS8yMDI1Li4uVVNELkgBAAAA3rYBAAMAAAAAAEkTWGTBc90IKHjclMRz3QgyQ0lRLk5ZU0U6SUJNLklRX0RPX0ZJTkFO</t>
  </si>
  <si>
    <t>Q0VfQ0YuOTk4LjQvMS8yMDI1Li4uVVNELkgBAAAA3rYBAAMAAAAAAEkTWGTBc90IKHjclMRz3QgyQ0lRLk5ZU0U6SUJNLklRX0RPX0lOVkVTVF9DRi4yMDAwLjQvMS8yMDI1Li4uVVNELkgBAAAA3rYBAAMAAAAAAEkTWGTBc90I3H7AlMRz3QgyQ0lRLk5ZU0U6SUJNLklRX0RPX0ZJTkFOQ0VfQ0YuOTkwLjQvMS8yMDI1Li4uVVNELkgBAAAA3rYBAAMAAAAAAEkTWGTBc90IKHjclMRz3QgyQ0lRLk5ZU0U6SUJNLklRX0RPX0ZJTkFOQ0VfQ0YuOTkxLjQvMS8yMDI1Li4uVVNELkgBAAAA3rYBAAMAAAAAAEkTWGTBc90IKHjclMRz3QgyQ0lRLk5ZU0U6SUJNLklRX0RPX0ZJTkFOQ0VfQ0YuOTkyLjQvMS8yMDI1Li4uVVNELkgBAAAA3rYBAAMAAAAAAEkTWGTBc90IKHjclMRz3QgyQ0lRLk5ZU0U6SUJNLklRX0RPX0ZJTkFOQ0VfQ0YuOTkzLjQvMS8yMDI1Li4uVVNELkgBAAAA3rYBAAMAAAAAAEkTWGTBc90IKHjclMRz3QgxQ0lRLk5ZU0U6SUJNLklRX0RPX0lOVkVTVF9DRi45OTYuNC8xLzIwMjUuLi5VU0QuSAEAAADetgEAAwAAAAAASRNYZMFz3QgoeNyUxHPdCDFDSVEuTllTRTpJQk0uSVFfRE9fSU5WRVNUX0NGLjk5Ny40LzEvMjAyNS4uLlVTRC5IAQAAAN62AQADAAAAAABJE1hkwXPdCCh43JTEc90IMUNJUS5OWVNFOklCTS5JUV9ET19JTlZFU1RfQ0YuOTk4LjQvMS8yMDI1Li4uVVNELkgBAAAA3rYBAAMA</t>
  </si>
  <si>
    <t>AAAAAEkTWGTBc90IKHjclMRz3QgxQ0lRLk5ZU0U6SUJNLklRX0RPX0lOVkVTVF9DRi45OTkuNC8xLzIwMjUuLi5VU0QuSAEAAADetgEAAwAAAAAASRNYZMFz3QhL/MGUxHPdCDJDSVEuTllTRTpJQk0uSVFfRE9fSU5WRVNUX0NGLjEwMDAuNC8xLzIwMjUuLi5VU0QuSAEAAADetgEAAwAAAAAASRNYZMFz3QgoeNyUxHPdCDFDSVEuTllTRTpJQk0uSVFfRE9fSU5WRVNUX0NGLjk5MS40LzEvMjAyNS4uLlVTRC5IAQAAAN62AQADAAAAAABJE1hkwXPdCCh43JTEc90IMUNJUS5OWVNFOklCTS5JUV9ET19JTlZFU1RfQ0YuOTkyLjQvMS8yMDI1Li4uVVNELkgBAAAA3rYBAAMAAAAAAEkTWGTBc90IKHjclMRz3QgxQ0lRLk5ZU0U6SUJNLklRX0RPX0lOVkVTVF9DRi45OTMuNC8xLzIwMjUuLi5VU0QuSAEAAADetgEAAwAAAAAASRNYZMFz3QgoeNyUxHPdCDFDSVEuTllTRTpJQk0uSVFfRE9fSU5WRVNUX0NGLjk5NC40LzEvMjAyNS4uLlVTRC5IAQAAAN62AQADAAAAAABJE1hkwXPdCCh43JTEc90IMUNJUS5OWVNFOklCTS5JUV9ET19JTlZFU1RfQ0YuOTk1LjQvMS8yMDI1Li4uVVNELkgBAAAA3rYBAAMAAAAAAEkTWGTBc90IKHjclMRz3QgwQ0lRLk5ZU0U6SUJNLklRX01BSU5UX0NBUEVYLjk5OC40LzEvMjAyNS4uLlVTRC5IAQAAAN62AQADAAAAAABJE1hkwXPdCCh43JTEc90IMENJUS5OWVNFOklCTS5JUV9NQUlO</t>
  </si>
  <si>
    <t>VF9DQVBFWC45OTkuNC8xLzIwMjUuLi5VU0QuSAEAAADetgEAAwAAAAAASRNYZMFz3QhL/MGUxHPdCDFDSVEuTllTRTpJQk0uSVFfTUFJTlRfQ0FQRVguMTAwMC40LzEvMjAyNS4uLlVTRC5IAQAAAN62AQADAAAAAABJE1hkwXPdCCh43JTEc90IMUNJUS5OWVNFOklCTS5JUV9NQUlOVF9DQVBFWC4yMDAwLjQvMS8yMDI1Li4uVVNELkgBAAAA3rYBAAMAAAAAAEkTWGTBc90I3H7AlMRz3QgxQ0lRLk5ZU0U6SUJNLklRX0RPX0lOVkVTVF9DRi45OTAuNC8xLzIwMjUuLi5VU0QuSAEAAADetgEAAwAAAAAASRNYZMFz3QgoeNyUxHPdCDBDSVEuTllTRTpJQk0uSVFfTUFJTlRfQ0FQRVguOTkzLjQvMS8yMDI1Li4uVVNELkgBAAAA3rYBAAMAAAAAAEkTWGTBc90IKHjclMRz3QgwQ0lRLk5ZU0U6SUJNLklRX01BSU5UX0NBUEVYLjk5NC40LzEvMjAyNS4uLlVTRC5IAQAAAN62AQADAAAAAABJE1hkwXPdCCh43JTEc90IMENJUS5OWVNFOklCTS5JUV9NQUlOVF9DQVBFWC45OTUuNC8xLzIwMjUuLi5VU0QuSAEAAADetgEAAwAAAAAASRNYZMFz3QjPKdyUxHPdCDBDSVEuTllTRTpJQk0uSVFfTUFJTlRfQ0FQRVguOTk2LjQvMS8yMDI1Li4uVVNELkgBAAAA3rYBAAMAAAAAAEkTWGTBc90IzynclMRz3QgwQ0lRLk5ZU0U6SUJNLklRX01BSU5UX0NBUEVYLjk5Ny40LzEvMjAyNS4uLlVTRC5IAQAAAN62AQADAAAAAABJE1hk</t>
  </si>
  <si>
    <t>wXPdCM8p3JTEc90INUNJUS5OWVNFOklCTS5JUV9ORVRfREVCVF9JU1NVRUQuMTAwMC40LzEvMjAyNS4uLlVTRC5IAQAAAN62AQACAAAABC04ODABCAAAAAUAAAABMQEAAAALLTE5NTgyODEwOTcDAAAAAzE2MAIAAAAEMjAwMwQAAAABMAcAAAAINC8xLzIwMjUIAAAACjEyLzMxLzIwMjQJAAAAATBJE1hkwXPdCM8p3JTEc90INUNJUS5OWVNFOklCTS5JUV9ORVRfREVCVF9JU1NVRUQuMjAwMC40LzEvMjAyNS4uLlVTRC5IAQAAAN62AQACAAAABC04ODABCAAAAAUAAAABMQEAAAALLTE5NTgyODA2MTUDAAAAAzE2MAIAAAAEMjAwMwQAAAABMAcAAAAINC8xLzIwMjUIAAAACjEyLzMxLzIwMjQJAAAAATBJE1hkwXPdCNx+wJTEc90IMENJUS5OWVNFOklCTS5JUV9NQUlOVF9DQVBFWC45OTAuNC8xLzIwMjUuLi5VU0QuSAEAAADetgEAAwAAAAAASRNYZMFz3QjPKdyUxHPdCDBDSVEuTllTRTpJQk0uSVFfTUFJTlRfQ0FQRVguOTkxLjQvMS8yMDI1Li4uVVNELkgBAAAA3rYBAAMAAAAAAEkTWGTBc90IzynclMRz3QgwQ0lRLk5ZU0U6SUJNLklRX01BSU5UX0NBUEVYLjk5Mi40LzEvMjAyNS4uLlVTRC5IAQAAAN62AQADAAAAAABJE1hkwXPdCM8p3JTEc90INENJUS5OWVNFOklCTS5JUV9ORVRfREVCVF9JU1NVRUQuOTk1LjQvMS8yMDI1Li4uVVNELkgBAAAA3rYBAAIAAAAFMTYyODQBCAAAAAUAAAABMQEAAAALLTIx</t>
  </si>
  <si>
    <t>MTA3NjkzNTUDAAAAAzE2MAIAAAAEMjAwMwQAAAABMAcAAAAINC8xLzIwMjUIAAAACjEyLzMxLzIwMTkJAAAAATBJE1hkwXPdCM8p3JTEc90INENJUS5OWVNFOklCTS5JUV9ORVRfREVCVF9JU1NVRUQuOTk2LjQvMS8yMDI1Li4uVVNELkgBAAAA3rYBAAIAAAAFLTM3MTQBCAAAAAUAAAABMQEAAAALLTIwNTkwNzMyMDIDAAAAAzE2MAIAAAAEMjAwMwQAAAABMAcAAAAINC8xLzIwMjUIAAAACjEyLzMxLzIwMjAJAAAAATBJE1hkwXPdCM8p3JTEc90INENJUS5OWVNFOklCTS5JUV9ORVRfREVCVF9JU1NVRUQuOTk3LjQvMS8yMDI1Li4uVVNELkgBAAAA3rYBAAIAAAAFLTgxMTUBCAAAAAUAAAABMQEAAAALLTIwMDg2NDcxOTgDAAAAAzE2MAIAAAAEMjAwMwQAAAABMAcAAAAINC8xLzIwMjUIAAAACjEyLzMxLzIwMjEJAAAAATBJE1hkwXPdCM8p3JTEc90INENJUS5OWVNFOklCTS5JUV9ORVRfREVCVF9JU1NVRUQuOTk4LjQvMS8yMDI1Li4uVVNELkgBAAAA3rYBAAIAAAAEMTIyMQEIAAAABQAAAAExAQAAAAstMTk1ODI4MTA5NgMAAAADMTYwAgAAAAQyMDAzBAAAAAEwBwAAAAg0LzEvMjAyNQgAAAAKMTIvMzEvMjAyMgkAAAABMEkTWGTBc90IzynclMRz3Qg0Q0lRLk5ZU0U6SUJNLklRX05FVF9ERUJUX0lTU1VFRC45OTkuNC8xLzIwMjUuLi5VU0QuSAEAAADetgEAAgAAAAQ0NDk3AQgAAAAFAAAAATEBAAAACy0x</t>
  </si>
  <si>
    <t>OTU4MjgxMDk1AwAAAAMxNjACAAAABDIwMDMEAAAAATAHAAAACDQvMS8yMDI1CAAAAAoxMi8zMS8yMDIzCQAAAAEwSRNYZMFz3QgGrsGUxHPdCDRDSVEuTllTRTpJQk0uSVFfTkVUX0RFQlRfSVNTVUVELjk5MC40LzEvMjAyNS4uLlVTRC5IAQAAAN62AQACAAAABDE3ODMBCAAAAAUAAAABMQEAAAAKMTgyOTkxMTk2OAMAAAADMTYwAgAAAAQyMDAzBAAAAAEwBwAAAAg0LzEvMjAyNQgAAAAKMTIvMzEvMjAxNAkAAAABMEkTWGTBc90IzynclMRz3Qg0Q0lRLk5ZU0U6SUJNLklRX05FVF9ERUJUX0lTU1VFRC45OTEuNC8xLzIwMjUuLi5VU0QuSAEAAADetgEAAgAAAAIxOQEIAAAABQAAAAExAQAAAAoxODc2NDMyODcyAwAAAAMxNjACAAAABDIwMDMEAAAAATAHAAAACDQvMS8yMDI1CAAAAAoxMi8zMS8yMDE1CQAAAAEwSRNYZMFz3QjPKdyUxHPdCDRDSVEuTllTRTpJQk0uSVFfTkVUX0RFQlRfSVNTVUVELjk5Mi40LzEvMjAyNS4uLlVTRC5IAQAAAN62AQACAAAABDI3NjMBCAAAAAUAAAABMQEAAAAKMTk0NzE3OTU4MwMAAAADMTYwAgAAAAQyMDAzBAAAAAEwBwAAAAg0LzEvMjAyNQgAAAAKMTIvMzEvMjAxNgkAAAABMEkTWGTBc90IzynclMRz3Qg0Q0lRLk5ZU0U6SUJNLklRX05FVF9ERUJUX0lTU1VFRC45OTMuNC8xLzIwMjUuLi5VU0QuSAEAAADetgEAAgAAAAQzNDQ3AQgAAAAFAAAAATEBAAAACjIwMTcxNjQy</t>
  </si>
  <si>
    <t>NDQDAAAAAzE2MAIAAAAEMjAwMwQAAAABMAcAAAAINC8xLzIwMjUIAAAACjEyLzMxLzIwMTcJAAAAATBJE1hkwXPdCM8p3JTEc90INENJUS5OWVNFOklCTS5JUV9ORVRfREVCVF9JU1NVRUQuOTk0LjQvMS8yMDI1Li4uVVNELkgBAAAA3rYBAAIAAAAELTMwMQEIAAAABQAAAAExAQAAAAoyMDgxNTA1NDAxAwAAAAMxNjACAAAABDIwMDMEAAAAATAHAAAACDQvMS8yMDI1CAAAAAoxMi8zMS8yMDE4CQAAAAEwSRNYZMFz3QjPKdyUxHPdCC1DSVEuTllTRTpJQk0uSVFfQ0ZfU0hBUkUuOTk3LjQvMS8yMDI1Li4uVVNELkgBAAAA3rYBAAIAAAAJMTEuMTkyMDc5AQgAAAAFAAAAATEBAAAACy0yMDA4NjQ3MTk4AwAAAAMxNjACAAAABTQzOTIzBAAAAAEwBwAAAAg0LzEvMjAyNQgAAAAKMTIvMzEvMjAyMQkAAAABMEkTWGTBc90IzynclMRz3QgtQ0lRLk5ZU0U6SUJNLklRX0NGX1NIQVJFLjk5OC40LzEvMjAyNS4uLlVTRC5IAQAAAN62AQACAAAACDkuMzc1NTc5AQgAAAAFAAAAATEBAAAACy0xOTU4MjgxMDk2AwAAAAMxNjACAAAABTQzOTIzBAAAAAEwBwAAAAg0LzEvMjAyNQgAAAAKMTIvMzEvMjAyMgkAAAABMEkTWGTBc90IzynclMRz3QgtQ0lRLk5ZU0U6SUJNLklRX0NGX1NIQVJFLjk5OS40LzEvMjAyNS4uLlVTRC5IAQAAAN62AQACAAAACTEzLjMwMjA4OAEIAAAABQAAAAExAQAAAAstMTk1ODI4MTA5NQMAAAAD</t>
  </si>
  <si>
    <t>MTYwAgAAAAU0MzkyMwQAAAABMAcAAAAINC8xLzIwMjUIAAAACjEyLzMxLzIwMjMJAAAAATBJE1hkwXPdCEv8wZTEc90ILkNJUS5OWVNFOklCTS5JUV9DRl9TSEFSRS4xMDAwLjQvMS8yMDI1Li4uVVNELkgBAAAA3rYBAAIAAAAJMTIuNzU4MDkzAQgAAAAFAAAAATEBAAAACy0xOTU4MjgxMDk3AwAAAAMxNjACAAAABTQzOTIzBAAAAAEwBwAAAAg0LzEvMjAyNQgAAAAKMTIvMzEvMjAyNAkAAAABMEkTWGTBc90IzynclMRz3QguQ0lRLk5ZU0U6SUJNLklRX0NGX1NIQVJFLjIwMDAuNC8xLzIwMjUuLi5VU0QuSAEAAADetgEAAgAAAAkxMi43NTgwOTMBCAAAAAUAAAABMQEAAAALLTE5NTgyODA2MTUDAAAAAzE2MAIAAAAFNDM5MjMEAAAAATAHAAAACDQvMS8yMDI1CAAAAAoxMi8zMS8yMDI0CQAAAAEwSRNYZMFz3QjcfsCUxHPdCC1DSVEuTllTRTpJQk0uSVFfQ0ZfU0hBUkUuOTkyLjQvMS8yMDI1Li4uVVNELkgBAAAA3rYBAAIAAAAJMTMuNTM3NDY1AQgAAAAFAAAAATEBAAAACjE5NDcxNzk1ODMDAAAAAzE2MAIAAAAFNDM5MjMEAAAAATAHAAAACDQvMS8yMDI1CAAAAAoxMi8zMS8yMDE2CQAAAAEwSRNYZMFz3QjPKdyUxHPdCC1DSVEuTllTRTpJQk0uSVFfQ0ZfU0hBUkUuOTkzLjQvMS8yMDI1Li4uVVNELkgBAAAA3rYBAAIAAAAJMTMuODgzNTg0AQgAAAAFAAAAATEBAAAACjIwMTcxNjQyNDQDAAAAAzE2MAIA</t>
  </si>
  <si>
    <t>AAAFNDM5MjMEAAAAATAHAAAACDQvMS8yMDI1CAAAAAoxMi8zMS8yMDE3CQAAAAEwSRNYZMFz3QjPKdyUxHPdCC1DSVEuTllTRTpJQk0uSVFfQ0ZfU0hBUkUuOTk0LjQvMS8yMDI1Li4uVVNELkgBAAAA3rYBAAIAAAAJMTIuMzcxMDU4AQgAAAAFAAAAATEBAAAACjIwODE1MDU0MDEDAAAAAzE2MAIAAAAFNDM5MjMEAAAAATAHAAAACDQvMS8yMDI1CAAAAAoxMi8zMS8yMDE4CQAAAAEwSRNYZMFz3QjPKdyUxHPdCC1DSVEuTllTRTpJQk0uSVFfQ0ZfU0hBUkUuOTk1LjQvMS8yMDI1Li4uVVNELkgBAAAA3rYBAAIAAAAJMTMuMzcwNzUxAQgAAAAFAAAAATEBAAAACy0yMTEwNzY5MzU1AwAAAAMxNjACAAAABTQzOTIzBAAAAAEwBwAAAAg0LzEvMjAyNQgAAAAKMTIvMzEvMjAxOQkAAAABMEkTWGTBc90IzynclMRz3QgtQ0lRLk5ZU0U6SUJNLklRX0NGX1NIQVJFLjk5Ni40LzEvMjAyNS4uLlVTRC5IAQAAAN62AQACAAAACTE2LjgxMDI2OAEIAAAABQAAAAExAQAAAAstMjA1OTA3MzIwMgMAAAADMTYwAgAAAAU0MzkyMwQAAAABMAcAAAAINC8xLzIwMjUIAAAACjEyLzMxLzIwMjAJAAAAATBJE1hkwXPdCM8p3JTEc90IMkNJUS5OWVNFOklCTS5JUV9VTkxFVkVSRURfRkNGLjk5OS40LzEvMjAyNS4uLlVTRC5IAQAAAN62AQACAAAACTExODI3LjM3NQEIAAAABQAAAAExAQAAAAstMTk1ODI4MTA5NQMAAAADMTYwAgAA</t>
  </si>
  <si>
    <t>AAQ0NDIzBAAAAAEwBwAAAAg0LzEvMjAyNQgAAAAKMTIvMzEvMjAyMwkAAAABMEkTWGTBc90IS/zBlMRz3QgzQ0lRLk5ZU0U6SUJNLklRX1VOTEVWRVJFRF9GQ0YuMTAwMC40LzEvMjAyNS4uLlVTRC5IAQAAAN62AQACAAAACDg0NDkuODc1AQgAAAAFAAAAATEBAAAACy0xOTU4MjgxMDk3AwAAAAMxNjACAAAABDQ0MjMEAAAAATAHAAAACDQvMS8yMDI1CAAAAAoxMi8zMS8yMDI0CQAAAAEwSRNYZMFz3QjPKdyUxHPdCDNDSVEuTllTRTpJQk0uSVFfVU5MRVZFUkVEX0ZDRi4yMDAwLjQvMS8yMDI1Li4uVVNELkgBAAAA3rYBAAIAAAAIODQ0OS44NzUBCAAAAAUAAAABMQEAAAALLTE5NTgyODA2MTUDAAAAAzE2MAIAAAAENDQyMwQAAAABMAcAAAAINC8xLzIwMjUIAAAACjEyLzMxLzIwMjQJAAAAATBJE1hkwXPdCNx+wJTEc90ILUNJUS5OWVNFOklCTS5JUV9DRl9TSEFSRS45OTAuNC8xLzIwMjUuLi5VU0QuSAEAAADetgEAAgAAAAkxMi42MzEwMzIBCAAAAAUAAAABMQEAAAAKMTgyOTkxMTk2OAMAAAADMTYwAgAAAAU0MzkyMwQAAAABMAcAAAAINC8xLzIwMjUIAAAACjEyLzMxLzIwMTQJAAAAATBJE1hkwXPdCM8p3JTEc90ILUNJUS5OWVNFOklCTS5JUV9DRl9TSEFSRS45OTEuNC8xLzIwMjUuLi5VU0QuSAEAAADetgEAAgAAAAgxMy4zODg1OAEIAAAABQAAAAExAQAAAAoxODc2NDMyODcyAwAAAAMxNjACAAAA</t>
  </si>
  <si>
    <t>BTQzOTIzBAAAAAEwBwAAAAg0LzEvMjAyNQgAAAAKMTIvMzEvMjAxNQkAAAABMEkTWGTBc90IzynclMRz3QgyQ0lRLk5ZU0U6SUJNLklRX1VOTEVWRVJFRF9GQ0YuOTk0LjQvMS8yMDI1Li4uVVNELkgBAAAA3rYBAAIAAAAHNjkzNS4yNQEIAAAABQAAAAExAQAAAAoyMDgxNTA1NDAxAwAAAAMxNjACAAAABDQ0MjMEAAAAATAHAAAACDQvMS8yMDI1CAAAAAoxMi8zMS8yMDE4CQAAAAEwSRNYZMFz3QjPKdyUxHPdCDJDSVEuTllTRTpJQk0uSVFfVU5MRVZFUkVEX0ZDRi45OTUuNC8xLzIwMjUuLi5VU0QuSAEAAADetgEAAgAAAAkxNTY0My44NzUBCAAAAAUAAAABMQEAAAALLTIxMTA3NjkzNTUDAAAAAzE2MAIAAAAENDQyMwQAAAABMAcAAAAINC8xLzIwMjUIAAAACjEyLzMxLzIwMTkJAAAAATBJE1hkwXPdCM8p3JTEc90IMkNJUS5OWVNFOklCTS5JUV9VTkxFVkVSRURfRkNGLjk5Ni40LzEvMjAyNS4uLlVTRC5IAQAAAN62AQACAAAACDE1Njg0Ljc1AQgAAAAFAAAAATEBAAAACy0yMDU5MDczMjAyAwAAAAMxNjACAAAABDQ0MjMEAAAAATAHAAAACDQvMS8yMDI1CAAAAAoxMi8zMS8yMDIwCQAAAAEwSRNYZMFz3QjPKdyUxHPdCDJDSVEuTllTRTpJQk0uSVFfVU5MRVZFUkVEX0ZDRi45OTcuNC8xLzIwMjUuLi5VU0QuSAEAAADetgEAAgAAAAg1MzQ4LjM3NQEIAAAABQAAAAExAQAAAAstMjAwODY0NzE5OAMAAAAD</t>
  </si>
  <si>
    <t>MTYwAgAAAAQ0NDIzBAAAAAEwBwAAAAg0LzEvMjAyNQgAAAAKMTIvMzEvMjAyMQkAAAABMEkTWGTBc90IzynclMRz3QgyQ0lRLk5ZU0U6SUJNLklRX1VOTEVWRVJFRF9GQ0YuOTk4LjQvMS8yMDI1Li4uVVNELkgBAAAA3rYBAAIAAAAINjc1Ni44NzUBCAAAAAUAAAABMQEAAAALLTE5NTgyODEwOTYDAAAAAzE2MAIAAAAENDQyMwQAAAABMAcAAAAINC8xLzIwMjUIAAAACjEyLzMxLzIwMjIJAAAAATBJE1hkwXPdCM8p3JTEc90IMUNJUS5OWVNFOklCTS5JUV9MRVZFUkVEX0ZDRi4yMDAwLjQvMS8yMDI1Li4uVVNELkgBAAAA3rYBAAIAAAAINzM3OS44NzUBCAAAAAUAAAABMQEAAAALLTE5NTgyODA2MTUDAAAAAzE2MAIAAAAENDQyMgQAAAABMAcAAAAINC8xLzIwMjUIAAAACjEyLzMxLzIwMjQJAAAAATBJE1hkwXPdCNx+wJTEc90IMkNJUS5OWVNFOklCTS5JUV9VTkxFVkVSRURfRkNGLjk5MC40LzEvMjAyNS4uLlVTRC5IAQAAAN62AQACAAAACTE1MzQ3LjYyNQEIAAAABQAAAAExAQAAAAoxODI5OTExOTY4AwAAAAMxNjACAAAABDQ0MjMEAAAAATAHAAAACDQvMS8yMDI1CAAAAAoxMi8zMS8yMDE0CQAAAAEwSRNYZMFz3QjPKdyUxHPdCDJDSVEuTllTRTpJQk0uSVFfVU5MRVZFUkVEX0ZDRi45OTEuNC8xLzIwMjUuLi5VU0QuSAEAAADetgEAAgAAAAg5MDM5LjEyNQEIAAAABQAAAAExAQAAAAoxODc2NDMyODcy</t>
  </si>
  <si>
    <t>AwAAAAMxNjACAAAABDQ0MjMEAAAAATAHAAAACDQvMS8yMDI1CAAAAAoxMi8zMS8yMDE1CQAAAAEwSRNYZMFz3QjPKdyUxHPdCDJDSVEuTllTRTpJQk0uSVFfVU5MRVZFUkVEX0ZDRi45OTIuNC8xLzIwMjUuLi5VU0QuSAEAAADetgEAAgAAAAc5NTMzLjI1AQgAAAAFAAAAATEBAAAACjE5NDcxNzk1ODMDAAAAAzE2MAIAAAAENDQyMwQAAAABMAcAAAAINC8xLzIwMjUIAAAACjEyLzMxLzIwMTYJAAAAATBJE1hkwXPdCM8p3JTEc90IMkNJUS5OWVNFOklCTS5JUV9VTkxFVkVSRURfRkNGLjk5My40LzEvMjAyNS4uLlVTRC5IAQAAAN62AQACAAAABzg0MjYuMjUBCAAAAAUAAAABMQEAAAAKMjAxNzE2NDI0NAMAAAADMTYwAgAAAAQ0NDIzBAAAAAEwBwAAAAg0LzEvMjAyNQgAAAAKMTIvMzEvMjAxNwkAAAABMEkTWGTBc90IzynclMRz3QgwQ0lRLk5ZU0U6SUJNLklRX0xFVkVSRURfRkNGLjk5Ni40LzEvMjAyNS4uLlVTRC5IAQAAAN62AQACAAAACDE0ODc5Ljc1AQgAAAAFAAAAATEBAAAACy0yMDU5MDczMjAyAwAAAAMxNjACAAAABDQ0MjIEAAAAATAHAAAACDQvMS8yMDI1CAAAAAoxMi8zMS8yMDIwCQAAAAEwSRNYZMFz3QjPKdyUxHPdCDBDSVEuTllTRTpJQk0uSVFfTEVWRVJFRF9GQ0YuOTk3LjQvMS8yMDI1Li4uVVNELkgBAAAA3rYBAAIAAAAGNDYyNi41AQgAAAAFAAAAATEBAAAACy0yMDA4NjQ3MTk4AwAA</t>
  </si>
  <si>
    <t>AAMxNjACAAAABDQ0MjIEAAAAATAHAAAACDQvMS8yMDI1CAAAAAoxMi8zMS8yMDIxCQAAAAEwSRNYZMFz3QjPKdyUxHPdCDBDSVEuTllTRTpJQk0uSVFfTEVWRVJFRF9GQ0YuOTk4LjQvMS8yMDI1Li4uVVNELkgBAAAA3rYBAAIAAAAINTk5Ni44NzUBCAAAAAUAAAABMQEAAAALLTE5NTgyODEwOTYDAAAAAzE2MAIAAAAENDQyMgQAAAABMAcAAAAINC8xLzIwMjUIAAAACjEyLzMxLzIwMjIJAAAAATBJE1hkwXPdCM8p3JTEc90IMENJUS5OWVNFOklCTS5JUV9MRVZFUkVEX0ZDRi45OTkuNC8xLzIwMjUuLi5VU0QuSAEAAADetgEAAgAAAAUxMDgyMwEIAAAABQAAAAExAQAAAAstMTk1ODI4MTA5NQMAAAADMTYwAgAAAAQ0NDIyBAAAAAEwBwAAAAg0LzEvMjAyNQgAAAAKMTIvMzEvMjAyMwkAAAABMEkTWGTBc90IS/zBlMRz3QgxQ0lRLk5ZU0U6SUJNLklRX0xFVkVSRURfRkNGLjEwMDAuNC8xLzIwMjUuLi5VU0QuSAEAAADetgEAAgAAAAg3Mzc5Ljg3NQEIAAAABQAAAAExAQAAAAstMTk1ODI4MTA5NwMAAAADMTYwAgAAAAQ0NDIyBAAAAAEwBwAAAAg0LzEvMjAyNQgAAAAKMTIvMzEvMjAyNAkAAAABMEkTWGTBc90IzynclMRz3QgwQ0lRLk5ZU0U6SUJNLklRX0xFVkVSRURfRkNGLjk5MS40LzEvMjAyNS4uLlVTRC5IAQAAAN62AQACAAAACDg3NDYuNjI1AQgAAAAFAAAAATEBAAAACjE4NzY0MzI4NzIDAAAAAzE2</t>
  </si>
  <si>
    <t>MAIAAAAENDQyMgQAAAABMAcAAAAINC8xLzIwMjUIAAAACjEyLzMxLzIwMTUJAAAAATBJE1hkwXPdCGzb25TEc90IMENJUS5OWVNFOklCTS5JUV9MRVZFUkVEX0ZDRi45OTIuNC8xLzIwMjUuLi5VU0QuSAEAAADetgEAAgAAAAY5MTM5LjUBCAAAAAUAAAABMQEAAAAKMTk0NzE3OTU4MwMAAAADMTYwAgAAAAQ0NDIyBAAAAAEwBwAAAAg0LzEvMjAyNQgAAAAKMTIvMzEvMjAxNgkAAAABMEkTWGTBc90IbNvblMRz3QgwQ0lRLk5ZU0U6SUJNLklRX0xFVkVSRURfRkNGLjk5My40LzEvMjAyNS4uLlVTRC5IAQAAAN62AQACAAAACDgwNDEuODc1AQgAAAAFAAAAATEBAAAACjIwMTcxNjQyNDQDAAAAAzE2MAIAAAAENDQyMgQAAAABMAcAAAAINC8xLzIwMjUIAAAACjEyLzMxLzIwMTcJAAAAATBJE1hkwXPdCGzb25TEc90IMENJUS5OWVNFOklCTS5JUV9MRVZFUkVEX0ZDRi45OTQuNC8xLzIwMjUuLi5VU0QuSAEAAADetgEAAgAAAAg2NDgzLjM3NQEIAAAABQAAAAExAQAAAAoyMDgxNTA1NDAxAwAAAAMxNjACAAAABDQ0MjIEAAAAATAHAAAACDQvMS8yMDI1CAAAAAoxMi8zMS8yMDE4CQAAAAEwSRNYZMFz3Qhs29uUxHPdCDBDSVEuTllTRTpJQk0uSVFfTEVWRVJFRF9GQ0YuOTk1LjQvMS8yMDI1Li4uVVNELkgBAAAA3rYBAAIAAAAJMTQ4MDMuODc1AQgAAAAFAAAAATEBAAAACy0yMTEwNzY5MzU1AwAAAAMxNjACAAAA</t>
  </si>
  <si>
    <t>BDQ0MjIEAAAAATAHAAAACDQvMS8yMDI1CAAAAAoxMi8zMS8yMDE5CQAAAAEwSRNYZMFz3Qhs29uUxHPdCD9DSVEuTllTRTpJQk0uSVFfQ0hBTkdFX05FVF9XT1JLSU5HX0NBUElUQUwuOTk4LjQvMS8yMDI1Li4uVVNELkgBAAAA3rYBAAIAAAAFLTE5MjIBCAAAAAUAAAABMQEAAAALLTE5NTgyODEwOTYDAAAAAzE2MAIAAAAENDQyMQQAAAABMAcAAAAINC8xLzIwMjUIAAAACjEyLzMxLzIwMjIJAAAAATBJE1hkwXPdCGzb25TEc90IP0NJUS5OWVNFOklCTS5JUV9DSEFOR0VfTkVUX1dPUktJTkdfQ0FQSVRBTC45OTkuNC8xLzIwMjUuLi5VU0QuSAEAAADetgEAAgAAAAUtMTkxOAEIAAAABQAAAAExAQAAAAstMTk1ODI4MTA5NQMAAAADMTYwAgAAAAQ0NDIxBAAAAAEwBwAAAAg0LzEvMjAyNQgAAAAKMTIvMzEvMjAyMwkAAAABMEkTWGTBc90IS/zBlMRz3QhAQ0lRLk5ZU0U6SUJNLklRX0NIQU5HRV9ORVRfV09SS0lOR19DQVBJVEFMLjEwMDAuNC8xLzIwMjUuLi5VU0QuSAEAAADetgEAAgAAAAIxNQEIAAAABQAAAAExAQAAAAstMTk1ODI4MTA5NwMAAAADMTYwAgAAAAQ0NDIxBAAAAAEwBwAAAAg0LzEvMjAyNQgAAAAKMTIvMzEvMjAyNAkAAAABMEkTWGTBc90IbNvblMRz3QhAQ0lRLk5ZU0U6SUJNLklRX0NIQU5HRV9ORVRfV09SS0lOR19DQVBJVEFMLjIwMDAuNC8xLzIwMjUuLi5VU0QuSAEAAADetgEAAgAA</t>
  </si>
  <si>
    <t>AAIxNQEIAAAABQAAAAExAQAAAAstMTk1ODI4MDYxNQMAAAADMTYwAgAAAAQ0NDIxBAAAAAEwBwAAAAg0LzEvMjAyNQgAAAAKMTIvMzEvMjAyNAkAAAABMEkTWGTBc90I3H7AlMRz3QgwQ0lRLk5ZU0U6SUJNLklRX0xFVkVSRURfRkNGLjk5MC40LzEvMjAyNS4uLlVTRC5IAQAAAN62AQACAAAACTE1MDQ1LjEyNQEIAAAABQAAAAExAQAAAAoxODI5OTExOTY4AwAAAAMxNjACAAAABDQ0MjIEAAAAATAHAAAACDQvMS8yMDI1CAAAAAoxMi8zMS8yMDE0CQAAAAEwSRNYZMFz3Qhs29uUxHPdCD9DSVEuTllTRTpJQk0uSVFfQ0hBTkdFX05FVF9XT1JLSU5HX0NBUElUQUwuOTkzLjQvMS8yMDI1Li4uVVNELkgBAAAA3rYBAAIAAAADMTc3AQgAAAAFAAAAATEBAAAACjIwMTcxNjQyNDQDAAAAAzE2MAIAAAAENDQyMQQAAAABMAcAAAAINC8xLzIwMjUIAAAACjEyLzMxLzIwMTcJAAAAATBJE1hkwXPdCGzb25TEc90IP0NJUS5OWVNFOklCTS5JUV9DSEFOR0VfTkVUX1dPUktJTkdfQ0FQSVRBTC45OTQuNC8xLzIwMjUuLi5VU0QuSAEAAADetgEAAgAAAAQyMzUyAQgAAAAFAAAAATEBAAAACjIwODE1MDU0MDEDAAAAAzE2MAIAAAAENDQyMQQAAAABMAcAAAAINC8xLzIwMjUIAAAACjEyLzMxLzIwMTgJAAAAATBJE1hkwXPdCGzb25TEc90IP0NJUS5OWVNFOklCTS5JUV9DSEFOR0VfTkVUX1dPUktJTkdfQ0FQSVRBTC45OTUu</t>
  </si>
  <si>
    <t>NC8xLzIwMjUuLi5VU0QuSAEAAADetgEAAgAAAAUtNzEwMQEIAAAABQAAAAExAQAAAAstMjExMDc2OTM1NQMAAAADMTYwAgAAAAQ0NDIxBAAAAAEwBwAAAAg0LzEvMjAyNQgAAAAKMTIvMzEvMjAxOQkAAAABMEkTWGTBc90IbNvblMRz3Qg/Q0lRLk5ZU0U6SUJNLklRX0NIQU5HRV9ORVRfV09SS0lOR19DQVBJVEFMLjk5Ni40LzEvMjAyNS4uLlVTRC5IAQAAAN62AQACAAAABS04MzY5AQgAAAAFAAAAATEBAAAACy0yMDU5MDczMjAyAwAAAAMxNjACAAAABDQ0MjEEAAAAATAHAAAACDQvMS8yMDI1CAAAAAoxMi8zMS8yMDIwCQAAAAEwSRNYZMFz3Qhs29uUxHPdCD9DSVEuTllTRTpJQk0uSVFfQ0hBTkdFX05FVF9XT1JLSU5HX0NBUElUQUwuOTk3LjQvMS8yMDI1Li4uVVNELkgBAAAA3rYBAAIAAAAEMjc3MgEIAAAABQAAAAExAQAAAAstMjAwODY0NzE5OAMAAAADMTYwAgAAAAQ0NDIxBAAAAAEwBwAAAAg0LzEvMjAyNQgAAAAKMTIvMzEvMjAyMQkAAAABMEkTWGTBc90IbNvblMRz3Qg6Q0lRLk5ZU0U6SUJNLklRX0NIQU5HRV9ERUZfVEFYX1RPVEFMLjEwMDAuNC8xLzIwMjUuLi5VU0QuSAEAAADetgEAAgAAAAUtMjMzMAEIAAAABQAAAAExAQAAAAstMTk1ODI4MTA5NwMAAAADMTYwAgAAAAUzMDkyNAQAAAABMAcAAAAINC8xLzIwMjUIAAAACjEyLzMxLzIwMjQJAAAAATBJE1hkwXPdCGzb25TEc90IOkNJUS5O</t>
  </si>
  <si>
    <t>WVNFOklCTS5JUV9DSEFOR0VfREVGX1RBWF9UT1RBTC4yMDAwLjQvMS8yMDI1Li4uVVNELkgBAAAA3rYBAAIAAAAFLTIzMzABCAAAAAUAAAABMQEAAAALLTE5NTgyODA2MTUDAAAAAzE2MAIAAAAFMzA5MjQEAAAAATAHAAAACDQvMS8yMDI1CAAAAAoxMi8zMS8yMDI0CQAAAAEwSRNYZMFz3QjcfsCUxHPdCD9DSVEuTllTRTpJQk0uSVFfQ0hBTkdFX05FVF9XT1JLSU5HX0NBUElUQUwuOTkwLjQvMS8yMDI1Li4uVVNELkgBAAAA3rYBAAIAAAAFLTE5NDYBCAAAAAUAAAABMQEAAAAKMTgyOTkxMTk2OAMAAAADMTYwAgAAAAQ0NDIxBAAAAAEwBwAAAAg0LzEvMjAyNQgAAAAKMTIvMzEvMjAxNAkAAAABMEkTWGTBc90IbNvblMRz3Qg/Q0lRLk5ZU0U6SUJNLklRX0NIQU5HRV9ORVRfV09SS0lOR19DQVBJVEFMLjk5MS40LzEvMjAyNS4uLlVTRC5IAQAAAN62AQACAAAABDE0NTYBCAAAAAUAAAABMQEAAAAKMTg3NjQzMjg3MgMAAAADMTYwAgAAAAQ0NDIxBAAAAAEwBwAAAAg0LzEvMjAyNQgAAAAKMTIvMzEvMjAxNQkAAAABMEkTWGTBc90IbNvblMRz3Qg/Q0lRLk5ZU0U6SUJNLklRX0NIQU5HRV9ORVRfV09SS0lOR19DQVBJVEFMLjk5Mi40LzEvMjAyNS4uLlVTRC5IAQAAAN62AQACAAAAAjk4AQgAAAAFAAAAATEBAAAACjE5NDcxNzk1ODMDAAAAAzE2MAIAAAAENDQyMQQAAAABMAcAAAAINC8xLzIwMjUIAAAACjEy</t>
  </si>
  <si>
    <t>LzMxLzIwMTYJAAAAATBJE1hkwXPdCGzb25TEc90IOUNJUS5OWVNFOklCTS5JUV9DSEFOR0VfREVGX1RBWF9UT1RBTC45OTUuNC8xLzIwMjUuLi5VU0QuSAEAAADetgEAAgAAAAUtMTUyNwEIAAAABQAAAAExAQAAAAstMjExMDc2OTM1NQMAAAADMTYwAgAAAAUzMDkyNAQAAAABMAcAAAAINC8xLzIwMjUIAAAACjEyLzMxLzIwMTkJAAAAATBJE1hkwXPdCGzb25TEc90IOUNJUS5OWVNFOklCTS5JUV9DSEFOR0VfREVGX1RBWF9UT1RBTC45OTYuNC8xLzIwMjUuLi5VU0QuSAEAAADetgEAAgAAAAUtMzIwMwEIAAAABQAAAAExAQAAAAstMjA1OTA3MzIwMgMAAAADMTYwAgAAAAUzMDkyNAQAAAABMAcAAAAINC8xLzIwMjUIAAAACjEyLzMxLzIwMjAJAAAAATBJE1hkwXPdCGzb25TEc90IOUNJUS5OWVNFOklCTS5JUV9DSEFOR0VfREVGX1RBWF9UT1RBTC45OTcuNC8xLzIwMjUuLi5VU0QuSAEAAADetgEAAgAAAAUtMjAwMQEIAAAABQAAAAExAQAAAAstMjAwODY0NzE5OAMAAAADMTYwAgAAAAUzMDkyNAQAAAABMAcAAAAINC8xLzIwMjUIAAAACjEyLzMxLzIwMjEJAAAAATBJE1hkwXPdCGzb25TEc90IOUNJUS5OWVNFOklCTS5JUV9DSEFOR0VfREVGX1RBWF9UT1RBTC45OTguNC8xLzIwMjUuLi5VU0QuSAEAAADetgEAAgAAAAUtMjcyNgEIAAAABQAAAAExAQAAAAstMTk1ODI4MTA5NgMAAAADMTYwAgAAAAUzMDky</t>
  </si>
  <si>
    <t>NAQAAAABMAcAAAAINC8xLzIwMjUIAAAACjEyLzMxLzIwMjIJAAAAATBJE1hkwXPdCGzb25TEc90IOUNJUS5OWVNFOklCTS5JUV9DSEFOR0VfREVGX1RBWF9UT1RBTC45OTkuNC8xLzIwMjUuLi5VU0QuSAEAAADetgEAAgAAAAUtMTExNAEIAAAABQAAAAExAQAAAAstMTk1ODI4MTA5NQMAAAADMTYwAgAAAAUzMDkyNAQAAAABMAcAAAAINC8xLzIwMjUIAAAACjEyLzMxLzIwMjMJAAAAATBJE1hkwXPdCEv8wZTEc90IOUNJUS5OWVNFOklCTS5JUV9DSEFOR0VfREVGX1RBWF9UT1RBTC45OTAuNC8xLzIwMjUuLi5VU0QuSAEAAADetgEAAgAAAAQtMjM3AQgAAAAFAAAAATEBAAAACjE4Mjk5MTE5NjgDAAAAAzE2MAIAAAAFMzA5MjQEAAAAATAHAAAACDQvMS8yMDI1CAAAAAoxMi8zMS8yMDE0CQAAAAEwSRNYZMFz3Qhs29uUxHPdCDlDSVEuTllTRTpJQk0uSVFfQ0hBTkdFX0RFRl9UQVhfVE9UQUwuOTkxLjQvMS8yMDI1Li4uVVNELkgBAAAA3rYBAAIAAAAEMTM4NwEIAAAABQAAAAExAQAAAAoxODc2NDMyODcyAwAAAAMxNjACAAAABTMwOTI0BAAAAAEwBwAAAAg0LzEvMjAyNQgAAAAKMTIvMzEvMjAxNQkAAAABMEkTWGTBc90IbNvblMRz3Qg5Q0lRLk5ZU0U6SUJNLklRX0NIQU5HRV9ERUZfVEFYX1RPVEFMLjk5Mi40LzEvMjAyNS4uLlVTRC5IAQAAAN62AQACAAAABS0xMTMyAQgAAAAFAAAAATEBAAAACjE5NDcx</t>
  </si>
  <si>
    <t>Nzk1ODMDAAAAAzE2MAIAAAAFMzA5MjQEAAAAATAHAAAACDQvMS8yMDI1CAAAAAoxMi8zMS8yMDE2CQAAAAEwSRNYZMFz3Qhs29uUxHPdCDlDSVEuTllTRTpJQk0uSVFfQ0hBTkdFX0RFRl9UQVhfVE9UQUwuOTkzLjQvMS8yMDI1Li4uVVNELkgBAAAA3rYBAAIAAAAELTkzMQEIAAAABQAAAAExAQAAAAoyMDE3MTY0MjQ0AwAAAAMxNjACAAAABTMwOTI0BAAAAAEwBwAAAAg0LzEvMjAyNQgAAAAKMTIvMzEvMjAxNwkAAAABMEkTWGTBc90IbNvblMRz3Qg5Q0lRLk5ZU0U6SUJNLklRX0NIQU5HRV9ERUZfVEFYX1RPVEFMLjk5NC40LzEvMjAyNS4uLlVTRC5IAQAAAN62AQACAAAAAzg1MwEIAAAABQAAAAExAQAAAAoyMDgxNTA1NDAxAwAAAAMxNjACAAAABTMwOTI0BAAAAAEwBwAAAAg0LzEvMjAyNQgAAAAKMTIvMzEvMjAxOAkAAAABMEkTWGTBc90IbNvblMRz3Qg1Q0lRLk5ZU0U6SUJNLklRX0NBU0hfVEFYRVNfRklOQU4uOTk3LjQvMS8yMDI1Li4uVVNELkgBAAAA3rYBAAMAAAAAAEkTWGTBc90IbNvblMRz3Qg1Q0lRLk5ZU0U6SUJNLklRX0NBU0hfVEFYRVNfRklOQU4uOTk4LjQvMS8yMDI1Li4uVVNELkgBAAAA3rYBAAMAAAAAAEkTWGTBc90IbNvblMRz3Qg1Q0lRLk5ZU0U6SUJNLklRX0NBU0hfVEFYRVNfRklOQU4uOTk5LjQvMS8yMDI1Li4uVVNELkgBAAAA3rYBAAMAAAAAAEkTWGTBc90IS/zBlMRz3Qg2</t>
  </si>
  <si>
    <t>Q0lRLk5ZU0U6SUJNLklRX0NBU0hfVEFYRVNfRklOQU4uMTAwMC40LzEvMjAyNS4uLlVTRC5IAQAAAN62AQADAAAAAABJE1hkwXPdCGzb25TEc90INkNJUS5OWVNFOklCTS5JUV9DQVNIX1RBWEVTX0ZJTkFOLjIwMDAuNC8xLzIwMjUuLi5VU0QuSAEAAADetgEAAwAAAAAASRNYZMFz3QjcfsCUxHPdCDVDSVEuTllTRTpJQk0uSVFfQ0FTSF9UQVhFU19GSU5BTi45OTIuNC8xLzIwMjUuLi5VU0QuSAEAAADetgEAAwAAAAAASRNYZMFz3Qhs29uUxHPdCDVDSVEuTllTRTpJQk0uSVFfQ0FTSF9UQVhFU19GSU5BTi45OTMuNC8xLzIwMjUuLi5VU0QuSAEAAADetgEAAwAAAAAASRNYZMFz3Qhs29uUxHPdCDVDSVEuTllTRTpJQk0uSVFfQ0FTSF9UQVhFU19GSU5BTi45OTQuNC8xLzIwMjUuLi5VU0QuSAEAAADetgEAAwAAAAAASRNYZMFz3Qhs29uUxHPdCDVDSVEuTllTRTpJQk0uSVFfQ0FTSF9UQVhFU19GSU5BTi45OTUuNC8xLzIwMjUuLi5VU0QuSAEAAADetgEAAwAAAAAASRNYZMFz3Qhs29uUxHPdCDVDSVEuTllTRTpJQk0uSVFfQ0FTSF9UQVhFU19GSU5BTi45OTYuNC8xLzIwMjUuLi5VU0QuSAEAAADetgEAAwAAAAAASRNYZMFz3Qhs29uUxHPdCDZDSVEuTllTRTpJQk0uSVFfQ0FTSF9UQVhFU19JTlZFU1QuOTk5LjQvMS8yMDI1Li4uVVNELkgBAAAA3rYBAAMAAAAAAEkTWGTBc90IS/zBlMRz3Qg3Q0lRLk5Z</t>
  </si>
  <si>
    <t>U0U6SUJNLklRX0NBU0hfVEFYRVNfSU5WRVNULjEwMDAuNC8xLzIwMjUuLi5VU0QuSAEAAADetgEAAwAAAAAASRNYZMFz3Qhs29uUxHPdCDdDSVEuTllTRTpJQk0uSVFfQ0FTSF9UQVhFU19JTlZFU1QuMjAwMC40LzEvMjAyNS4uLlVTRC5IAQAAAN62AQADAAAAAABJE1hkwXPdCNx+wJTEc90INUNJUS5OWVNFOklCTS5JUV9DQVNIX1RBWEVTX0ZJTkFOLjk5MC40LzEvMjAyNS4uLlVTRC5IAQAAAN62AQADAAAAAABJE1hkwXPdCPtC25TEc90INUNJUS5OWVNFOklCTS5JUV9DQVNIX1RBWEVTX0ZJTkFOLjk5MS40LzEvMjAyNS4uLlVTRC5IAQAAAN62AQADAAAAAABJE1hkwXPdCPtC25TEc90INkNJUS5OWVNFOklCTS5JUV9DQVNIX1RBWEVTX0lOVkVTVC45OTQuNC8xLzIwMjUuLi5VU0QuSAEAAADetgEAAwAAAAAASRNYZMFz3Qhs29uUxHPdCDZDSVEuTllTRTpJQk0uSVFfQ0FTSF9UQVhFU19JTlZFU1QuOTk1LjQvMS8yMDI1Li4uVVNELkgBAAAA3rYBAAMAAAAAAEkTWGTBc90IbNvblMRz3Qg2Q0lRLk5ZU0U6SUJNLklRX0NBU0hfVEFYRVNfSU5WRVNULjk5Ni40LzEvMjAyNS4uLlVTRC5IAQAAAN62AQADAAAAAABJE1hkwXPdCGzb25TEc90INkNJUS5OWVNFOklCTS5JUV9DQVNIX1RBWEVTX0lOVkVTVC45OTcuNC8xLzIwMjUuLi5VU0QuSAEAAADetgEAAwAAAAAASRNYZMFz3Qj7QtuUxHPdCDZDSVEuTllT</t>
  </si>
  <si>
    <t>RTpJQk0uSVFfQ0FTSF9UQVhFU19JTlZFU1QuOTk4LjQvMS8yMDI1Li4uVVNELkgBAAAA3rYBAAMAAAAAAEkTWGTBc90I+0LblMRz3Qg1Q0lRLk5ZU0U6SUJNLklRX0NBU0hfVEFYRVNfT1BFUi4yMDAwLjQvMS8yMDI1Li4uVVNELkgBAAAA3rYBAAMAAAAAAEkTWGTBc90I3H7AlMRz3Qg2Q0lRLk5ZU0U6SUJNLklRX0NBU0hfVEFYRVNfSU5WRVNULjk5MC40LzEvMjAyNS4uLlVTRC5IAQAAAN62AQADAAAAAABJE1hkwXPdCPtC25TEc90INkNJUS5OWVNFOklCTS5JUV9DQVNIX1RBWEVTX0lOVkVTVC45OTEuNC8xLzIwMjUuLi5VU0QuSAEAAADetgEAAwAAAAAASRNYZMFz3Qj7QtuUxHPdCDZDSVEuTllTRTpJQk0uSVFfQ0FTSF9UQVhFU19JTlZFU1QuOTkyLjQvMS8yMDI1Li4uVVNELkgBAAAA3rYBAAMAAAAAAEkTWGTBc90I+0LblMRz3Qg2Q0lRLk5ZU0U6SUJNLklRX0NBU0hfVEFYRVNfSU5WRVNULjk5My40LzEvMjAyNS4uLlVTRC5IAQAAAN62AQADAAAAAABJE1hkwXPdCPtC25TEc90INENJUS5OWVNFOklCTS5JUV9DQVNIX1RBWEVTX09QRVIuOTk2LjQvMS8yMDI1Li4uVVNELkgBAAAA3rYBAAMAAAAAAEkTWGTBc90I+0LblMRz3Qg0Q0lRLk5ZU0U6SUJNLklRX0NBU0hfVEFYRVNfT1BFUi45OTcuNC8xLzIwMjUuLi5VU0QuSAEAAADetgEAAwAAAAAASRNYZMFz3Qj7QtuUxHPdCDRDSVEuTllTRTpJQk0u</t>
  </si>
  <si>
    <t>SVFfQ0FTSF9UQVhFU19PUEVSLjk5OC40LzEvMjAyNS4uLlVTRC5IAQAAAN62AQADAAAAAABJE1hkwXPdCPtC25TEc90INENJUS5OWVNFOklCTS5JUV9DQVNIX1RBWEVTX09QRVIuOTk5LjQvMS8yMDI1Li4uVVNELkgBAAAA3rYBAAMAAAAAAEkTWGTBc90IS/zBlMRz3Qg1Q0lRLk5ZU0U6SUJNLklRX0NBU0hfVEFYRVNfT1BFUi4xMDAwLjQvMS8yMDI1Li4uVVNELkgBAAAA3rYBAAMAAAAAAEkTWGTBc90I+0LblMRz3Qg0Q0lRLk5ZU0U6SUJNLklRX0NBU0hfVEFYRVNfT1BFUi45OTEuNC8xLzIwMjUuLi5VU0QuSAEAAADetgEAAwAAAAAASRNYZMFz3Qj7QtuUxHPdCDRDSVEuTllTRTpJQk0uSVFfQ0FTSF9UQVhFU19PUEVSLjk5Mi40LzEvMjAyNS4uLlVTRC5IAQAAAN62AQADAAAAAABJE1hkwXPdCPtC25TEc90INENJUS5OWVNFOklCTS5JUV9DQVNIX1RBWEVTX09QRVIuOTkzLjQvMS8yMDI1Li4uVVNELkgBAAAA3rYBAAMAAAAAAEkTWGTBc90I+0LblMRz3Qg0Q0lRLk5ZU0U6SUJNLklRX0NBU0hfVEFYRVNfT1BFUi45OTQuNC8xLzIwMjUuLi5VU0QuSAEAAADetgEAAwAAAAAASRNYZMFz3Qj7QtuUxHPdCDRDSVEuTllTRTpJQk0uSVFfQ0FTSF9UQVhFU19PUEVSLjk5NS40LzEvMjAyNS4uLlVTRC5IAQAAAN62AQADAAAAAABJE1hkwXPdCPtC25TEc90IL0NJUS5OWVNFOklCTS5JUV9DQVNIX1RBWEVTLjk5</t>
  </si>
  <si>
    <t>OC40LzEvMjAyNS4uLlVTRC5IAQAAAN62AQACAAAABDE4NjUBCAAAAAUAAAABMQEAAAALLTE5NTgyODEwOTYDAAAAAzE2MAIAAAAEMzA1MwQAAAABMAcAAAAINC8xLzIwMjUIAAAACjEyLzMxLzIwMjIJAAAAATBJE1hkwXPdCPtC25TEc90IL0NJUS5OWVNFOklCTS5JUV9DQVNIX1RBWEVTLjk5OS40LzEvMjAyNS4uLlVTRC5IAQAAAN62AQACAAAABDE1NjQBCAAAAAUAAAABMQEAAAALLTE5NTgyODEwOTUDAAAAAzE2MAIAAAAEMzA1MwQAAAABMAcAAAAINC8xLzIwMjUIAAAACjEyLzMxLzIwMjMJAAAAATBJE1hkwXPdCEv8wZTEc90IMENJUS5OWVNFOklCTS5JUV9DQVNIX1RBWEVTLjEwMDAuNC8xLzIwMjUuLi5VU0QuSAEAAADetgEAAgAAAAQxNzIzAQgAAAAFAAAAATEBAAAACy0xOTU4MjgxMDk3AwAAAAMxNjACAAAABDMwNTMEAAAAATAHAAAACDQvMS8yMDI1CAAAAAoxMi8zMS8yMDI0CQAAAAEwSRNYZMFz3Qj7QtuUxHPdCDBDSVEuTllTRTpJQk0uSVFfQ0FTSF9UQVhFUy4yMDAwLjQvMS8yMDI1Li4uVVNELkgBAAAA3rYBAAIAAAAEMTcyMwEIAAAABQAAAAExAQAAAAstMTk1ODI4MDYxNQMAAAADMTYwAgAAAAQzMDUzBAAAAAEwBwAAAAg0LzEvMjAyNQgAAAAKMTIvMzEvMjAyNAkAAAABMEkTWGTBc90I3H7AlMRz3Qg0Q0lRLk5ZU0U6SUJNLklRX0NBU0hfVEFYRVNfT1BFUi45OTAuNC8xLzIwMjUuLi5V</t>
  </si>
  <si>
    <t>U0QuSAEAAADetgEAAwAAAAAASRNYZMFz3Qj7QtuUxHPdCC9DSVEuTllTRTpJQk0uSVFfQ0FTSF9UQVhFUy45OTMuNC8xLzIwMjUuLi5VU0QuSAEAAADetgEAAgAAAAQxNTk3AQgAAAAFAAAAATEBAAAACjIwMTcxNjQyNDQDAAAAAzE2MAIAAAAEMzA1MwQAAAABMAcAAAAINC8xLzIwMjUIAAAACjEyLzMxLzIwMTcJAAAAATBJE1hkwXPdCPtC25TEc90IL0NJUS5OWVNFOklCTS5JUV9DQVNIX1RBWEVTLjk5NC40LzEvMjAyNS4uLlVTRC5IAQAAAN62AQACAAAABDE3NDUBCAAAAAUAAAABMQEAAAAKMjA4MTUwNTQwMQMAAAADMTYwAgAAAAQzMDUzBAAAAAEwBwAAAAg0LzEvMjAyNQgAAAAKMTIvMzEvMjAxOAkAAAABMEkTWGTBc90I+0LblMRz3QgvQ0lRLk5ZU0U6SUJNLklRX0NBU0hfVEFYRVMuOTk1LjQvMS8yMDI1Li4uVVNELkgBAAAA3rYBAAIAAAAEMjA5MQEIAAAABQAAAAExAQAAAAstMjExMDc2OTM1NQMAAAADMTYwAgAAAAQzMDUzBAAAAAEwBwAAAAg0LzEvMjAyNQgAAAAKMTIvMzEvMjAxOQkAAAABMEkTWGTBc90I+0LblMRz3QgvQ0lRLk5ZU0U6SUJNLklRX0NBU0hfVEFYRVMuOTk2LjQvMS8yMDI1Li4uVVNELkgBAAAA3rYBAAIAAAAEMjI1MwEIAAAABQAAAAExAQAAAAstMjA1OTA3MzIwMgMAAAADMTYwAgAAAAQzMDUzBAAAAAEwBwAAAAg0LzEvMjAyNQgAAAAKMTIvMzEvMjAyMAkAAAABMEkTWGTB</t>
  </si>
  <si>
    <t>c90I+0LblMRz3QgvQ0lRLk5ZU0U6SUJNLklRX0NBU0hfVEFYRVMuOTk3LjQvMS8yMDI1Li4uVVNELkgBAAAA3rYBAAIAAAAEMjEwMwEIAAAABQAAAAExAQAAAAstMjAwODY0NzE5OAMAAAADMTYwAgAAAAQzMDUzBAAAAAEwBwAAAAg0LzEvMjAyNQgAAAAKMTIvMzEvMjAyMQkAAAABMEkTWGTBc90I+0LblMRz3Qg5Q0lRLk5ZU0U6SUJNLklRX0NBU0hfSU5URVJFU1RfRklOQU4uMTAwMC40LzEvMjAyNS4uLlVTRC5IAQAAAN62AQADAAAAAABJE1hkwXPdCPtC25TEc90IOUNJUS5OWVNFOklCTS5JUV9DQVNIX0lOVEVSRVNUX0ZJTkFOLjIwMDAuNC8xLzIwMjUuLi5VU0QuSAEAAADetgEAAwAAAAAASRNYZMFz3QjcfsCUxHPdCC9DSVEuTllTRTpJQk0uSVFfQ0FTSF9UQVhFUy45OTAuNC8xLzIwMjUuLi5VU0QuSAEAAADetgEAAgAAAAQ1NzQ4AQgAAAAFAAAAATEBAAAACjE4Mjk5MTE5NjgDAAAAAzE2MAIAAAAEMzA1MwQAAAABMAcAAAAINC8xLzIwMjUIAAAACjEyLzMxLzIwMTQJAAAAATBJE1hkwXPdCPtC25TEc90IL0NJUS5OWVNFOklCTS5JUV9DQVNIX1RBWEVTLjk5MS40LzEvMjAyNS4uLlVTRC5IAQAAAN62AQACAAAABDI2NTcBCAAAAAUAAAABMQEAAAAKMTg3NjQzMjg3MgMAAAADMTYwAgAAAAQzMDUzBAAAAAEwBwAAAAg0LzEvMjAyNQgAAAAKMTIvMzEvMjAxNQkAAAABMEkTWGTBc90I+0LblMRz3Qgv</t>
  </si>
  <si>
    <t>Q0lRLk5ZU0U6SUJNLklRX0NBU0hfVEFYRVMuOTkyLjQvMS8yMDI1Li4uVVNELkgBAAAA3rYBAAIAAAAEMTA3OAEIAAAABQAAAAExAQAAAAoxOTQ3MTc5NTgzAwAAAAMxNjACAAAABDMwNTMEAAAAATAHAAAACDQvMS8yMDI1CAAAAAoxMi8zMS8yMDE2CQAAAAEwSRNYZMFz3Qj7QtuUxHPdCDhDSVEuTllTRTpJQk0uSVFfQ0FTSF9JTlRFUkVTVF9GSU5BTi45OTUuNC8xLzIwMjUuLi5VU0QuSAEAAADetgEAAwAAAAAASRNYZMFz3Qj7QtuUxHPdCDhDSVEuTllTRTpJQk0uSVFfQ0FTSF9JTlRFUkVTVF9GSU5BTi45OTYuNC8xLzIwMjUuLi5VU0QuSAEAAADetgEAAwAAAAAASRNYZMFz3Qj7QtuUxHPdCDhDSVEuTllTRTpJQk0uSVFfQ0FTSF9JTlRFUkVTVF9GSU5BTi45OTcuNC8xLzIwMjUuLi5VU0QuSAEAAADetgEAAwAAAAAASRNYZMFz3Qj7QtuUxHPdCDhDSVEuTllTRTpJQk0uSVFfQ0FTSF9JTlRFUkVTVF9GSU5BTi45OTguNC8xLzIwMjUuLi5VU0QuSAEAAADetgEAAwAAAAAASRNYZMFz3Qj7QtuUxHPdCDhDSVEuTllTRTpJQk0uSVFfQ0FTSF9JTlRFUkVTVF9GSU5BTi45OTkuNC8xLzIwMjUuLi5VU0QuSAEAAADetgEAAwAAAAAASRNYZMFz3QhL/MGUxHPdCDhDSVEuTllTRTpJQk0uSVFfQ0FTSF9JTlRFUkVTVF9GSU5BTi45OTAuNC8xLzIwMjUuLi5VU0QuSAEAAADetgEAAwAAAAAASRNYZMFz3Qj7QtuU</t>
  </si>
  <si>
    <t>xHPdCDhDSVEuTllTRTpJQk0uSVFfQ0FTSF9JTlRFUkVTVF9GSU5BTi45OTEuNC8xLzIwMjUuLi5VU0QuSAEAAADetgEAAwAAAAAASRNYZMFz3Qj7QtuUxHPdCDhDSVEuTllTRTpJQk0uSVFfQ0FTSF9JTlRFUkVTVF9GSU5BTi45OTIuNC8xLzIwMjUuLi5VU0QuSAEAAADetgEAAwAAAAAASRNYZMFz3Qj7QtuUxHPdCDhDSVEuTllTRTpJQk0uSVFfQ0FTSF9JTlRFUkVTVF9GSU5BTi45OTMuNC8xLzIwMjUuLi5VU0QuSAEAAADetgEAAwAAAAAASRNYZMFz3Qj7QtuUxHPdCDhDSVEuTllTRTpJQk0uSVFfQ0FTSF9JTlRFUkVTVF9GSU5BTi45OTQuNC8xLzIwMjUuLi5VU0QuSAEAAADetgEAAwAAAAAASRNYZMFz3Qj7QtuUxHPdCDlDSVEuTllTRTpJQk0uSVFfQ0FTSF9JTlRFUkVTVF9JTlZFU1QuOTk3LjQvMS8yMDI1Li4uVVNELkgBAAAA3rYBAAMAAAAAAEkTWGTBc90I+0LblMRz3Qg5Q0lRLk5ZU0U6SUJNLklRX0NBU0hfSU5URVJFU1RfSU5WRVNULjk5OC40LzEvMjAyNS4uLlVTRC5IAQAAAN62AQADAAAAAABJE1hkwXPdCPtC25TEc90IOUNJUS5OWVNFOklCTS5JUV9DQVNIX0lOVEVSRVNUX0lOVkVTVC45OTkuNC8xLzIwMjUuLi5VU0QuSAEAAADetgEAAwAAAAAASRNYZMFz3QhL/MGUxHPdCDpDSVEuTllTRTpJQk0uSVFfQ0FTSF9JTlRFUkVTVF9JTlZFU1QuMTAwMC40LzEvMjAyNS4uLlVTRC5IAQAAAN62</t>
  </si>
  <si>
    <t>AQADAAAAAABJE1hkwXPdCPtC25TEc90IOkNJUS5OWVNFOklCTS5JUV9DQVNIX0lOVEVSRVNUX0lOVkVTVC4yMDAwLjQvMS8yMDI1Li4uVVNELkgBAAAA3rYBAAMAAAAAAEkTWGTBc90I3H7AlMRz3Qg5Q0lRLk5ZU0U6SUJNLklRX0NBU0hfSU5URVJFU1RfSU5WRVNULjk5Mi40LzEvMjAyNS4uLlVTRC5IAQAAAN62AQADAAAAAABJE1hkwXPdCPtC25TEc90IOUNJUS5OWVNFOklCTS5JUV9DQVNIX0lOVEVSRVNUX0lOVkVTVC45OTMuNC8xLzIwMjUuLi5VU0QuSAEAAADetgEAAwAAAAAASRNYZMFz3Qj7QtuUxHPdCDlDSVEuTllTRTpJQk0uSVFfQ0FTSF9JTlRFUkVTVF9JTlZFU1QuOTk0LjQvMS8yMDI1Li4uVVNELkgBAAAA3rYBAAMAAAAAAEkTWGTBc90I+0LblMRz3Qg5Q0lRLk5ZU0U6SUJNLklRX0NBU0hfSU5URVJFU1RfSU5WRVNULjk5NS40LzEvMjAyNS4uLlVTRC5IAQAAAN62AQADAAAAAABJE1hkwXPdCPtC25TEc90IOUNJUS5OWVNFOklCTS5JUV9DQVNIX0lOVEVSRVNUX0lOVkVTVC45OTYuNC8xLzIwMjUuLi5VU0QuSAEAAADetgEAAwAAAAAASRNYZMFz3Qj7QtuUxHPdCDdDSVEuTllTRTpJQk0uSVFfQ0FTSF9JTlRFUkVTVF9PUEVSLjk5OS40LzEvMjAyNS4uLlVTRC5IAQAAAN62AQADAAAAAABJE1hkwXPdCEv8wZTEc90IOENJUS5OWVNFOklCTS5JUV9DQVNIX0lOVEVSRVNUX09QRVIuMTAwMC40</t>
  </si>
  <si>
    <t>LzEvMjAyNS4uLlVTRC5IAQAAAN62AQADAAAAAABJE1hkwXPdCPtC25TEc90IOENJUS5OWVNFOklCTS5JUV9DQVNIX0lOVEVSRVNUX09QRVIuMjAwMC40LzEvMjAyNS4uLlVTRC5IAQAAAN62AQADAAAAAABJE1hkwXPdCIcwwJTEc90IOUNJUS5OWVNFOklCTS5JUV9DQVNIX0lOVEVSRVNUX0lOVkVTVC45OTAuNC8xLzIwMjUuLi5VU0QuSAEAAADetgEAAwAAAAAASRNYZMFz3Qj7QtuUxHPdCDlDSVEuTllTRTpJQk0uSVFfQ0FTSF9JTlRFUkVTVF9JTlZFU1QuOTkxLjQvMS8yMDI1Li4uVVNELkgBAAAA3rYBAAMAAAAAAEkTWGTBc90I+0LblMRz3Qg3Q0lRLk5ZU0U6SUJNLklRX0NBU0hfSU5URVJFU1RfT1BFUi45OTQuNC8xLzIwMjUuLi5VU0QuSAEAAADetgEAAwAAAAAASRNYZMFz3Qj7QtuUxHPdCDdDSVEuTllTRTpJQk0uSVFfQ0FTSF9JTlRFUkVTVF9PUEVSLjk5NS40LzEvMjAyNS4uLlVTRC5IAQAAAN62AQADAAAAAABJE1hkwXPdCPtC25TEc90IN0NJUS5OWVNFOklCTS5JUV9DQVNIX0lOVEVSRVNUX09QRVIuOTk2LjQvMS8yMDI1Li4uVVNELkgBAAAA3rYBAAMAAAAAAEkTWGTBc90I+0LblMRz3Qg3Q0lRLk5ZU0U6SUJNLklRX0NBU0hfSU5URVJFU1RfT1BFUi45OTcuNC8xLzIwMjUuLi5VU0QuSAEAAADetgEAAwAAAAAASRNYZMFz3QiI9NqUxHPdCDdDSVEuTllTRTpJQk0uSVFfQ0FTSF9JTlRFUkVT</t>
  </si>
  <si>
    <t>VF9PUEVSLjk5OC40LzEvMjAyNS4uLlVTRC5IAQAAAN62AQADAAAAAABJE1hkwXPdCIj02pTEc90IPENJUS5OWVNFOklCTS5JUV9DQVNIX0lOVEVSRVNUX1JFQ0VJVkVELjIwMDAuNC8xLzIwMjUuLi5VU0QuSAEAAADetgEAAwAAAAAASRNYZMFz3QiHMMCUxHPdCDdDSVEuTllTRTpJQk0uSVFfQ0FTSF9JTlRFUkVTVF9PUEVSLjk5MC40LzEvMjAyNS4uLlVTRC5IAQAAAN62AQADAAAAAABJE1hkwXPdCIj02pTEc90IN0NJUS5OWVNFOklCTS5JUV9DQVNIX0lOVEVSRVNUX09QRVIuOTkxLjQvMS8yMDI1Li4uVVNELkgBAAAA3rYBAAMAAAAAAEkTWGTBc90I+0LblMRz3Qg3Q0lRLk5ZU0U6SUJNLklRX0NBU0hfSU5URVJFU1RfT1BFUi45OTIuNC8xLzIwMjUuLi5VU0QuSAEAAADetgEAAwAAAAAASRNYZMFz3Qj7QtuUxHPdCDdDSVEuTllTRTpJQk0uSVFfQ0FTSF9JTlRFUkVTVF9PUEVSLjk5My40LzEvMjAyNS4uLlVTRC5IAQAAAN62AQADAAAAAABJE1hkwXPdCIj02pTEc90IO0NJUS5OWVNFOklCTS5JUV9DQVNIX0lOVEVSRVNUX1JFQ0VJVkVELjk5Ni40LzEvMjAyNS4uLlVTRC5IAQAAAN62AQADAAAAAABJE1hkwXPdCIj02pTEc90IO0NJUS5OWVNFOklCTS5JUV9DQVNIX0lOVEVSRVNUX1JFQ0VJVkVELjk5Ny40LzEvMjAyNS4uLlVTRC5IAQAAAN62AQADAAAAAABJE1hkwXPdCIj02pTEc90IO0NJUS5OWVNF</t>
  </si>
  <si>
    <t>OklCTS5JUV9DQVNIX0lOVEVSRVNUX1JFQ0VJVkVELjk5OC40LzEvMjAyNS4uLlVTRC5IAQAAAN62AQADAAAAAABJE1hkwXPdCIj02pTEc90IO0NJUS5OWVNFOklCTS5JUV9DQVNIX0lOVEVSRVNUX1JFQ0VJVkVELjk5OS40LzEvMjAyNS4uLlVTRC5IAQAAAN62AQADAAAAAABJE1hkwXPdCEv8wZTEc90IPENJUS5OWVNFOklCTS5JUV9DQVNIX0lOVEVSRVNUX1JFQ0VJVkVELjEwMDAuNC8xLzIwMjUuLi5VU0QuSAEAAADetgEAAwAAAAAASRNYZMFz3QiI9NqUxHPdCDtDSVEuTllTRTpJQk0uSVFfQ0FTSF9JTlRFUkVTVF9SRUNFSVZFRC45OTEuNC8xLzIwMjUuLi5VU0QuSAEAAADetgEAAwAAAAAASRNYZMFz3QiI9NqUxHPdCDtDSVEuTllTRTpJQk0uSVFfQ0FTSF9JTlRFUkVTVF9SRUNFSVZFRC45OTIuNC8xLzIwMjUuLi5VU0QuSAEAAADetgEAAwAAAAAASRNYZMFz3QiI9NqUxHPdCDtDSVEuTllTRTpJQk0uSVFfQ0FTSF9JTlRFUkVTVF9SRUNFSVZFRC45OTMuNC8xLzIwMjUuLi5VU0QuSAEAAADetgEAAwAAAAAASRNYZMFz3QiI9NqUxHPdCDtDSVEuTllTRTpJQk0uSVFfQ0FTSF9JTlRFUkVTVF9SRUNFSVZFRC45OTQuNC8xLzIwMjUuLi5VU0QuSAEAAADetgEAAwAAAAAASRNYZMFz3QiI9NqUxHPdCDtDSVEuTllTRTpJQk0uSVFfQ0FTSF9JTlRFUkVTVF9SRUNFSVZFRC45OTUuNC8xLzIwMjUuLi5VU0Qu</t>
  </si>
  <si>
    <t>SAEAAADetgEAAwAAAAAASRNYZMFz3QiI9NqUxHPdCDZDSVEuTllTRTpJQk0uSVFfQ0FTSF9JTlRFUkVTVF9ORVQuOTk4LjQvMS8yMDI1Li4uVVNELkgBAAAA3rYBAAMAAAAAAEkTWGTBc90IiPTalMRz3Qg2Q0lRLk5ZU0U6SUJNLklRX0NBU0hfSU5URVJFU1RfTkVULjk5OS40LzEvMjAyNS4uLlVTRC5IAQAAAN62AQADAAAAAABJE1hkwXPdCEv8wZTEc90IN0NJUS5OWVNFOklCTS5JUV9DQVNIX0lOVEVSRVNUX05FVC4xMDAwLjQvMS8yMDI1Li4uVVNELkgBAAAA3rYBAAMAAAAAAEkTWGTBc90IiPTalMRz3Qg3Q0lRLk5ZU0U6SUJNLklRX0NBU0hfSU5URVJFU1RfTkVULjIwMDAuNC8xLzIwMjUuLi5VU0QuSAEAAADetgEAAwAAAAAASRNYZMFz3QiHMMCUxHPdCDtDSVEuTllTRTpJQk0uSVFfQ0FTSF9JTlRFUkVTVF9SRUNFSVZFRC45OTAuNC8xLzIwMjUuLi5VU0QuSAEAAADetgEAAwAAAAAASRNYZMFz3QiI9NqUxHPdCDZDSVEuTllTRTpJQk0uSVFfQ0FTSF9JTlRFUkVTVF9ORVQuOTkzLjQvMS8yMDI1Li4uVVNELkgBAAAA3rYBAAMAAAAAAEkTWGTBc90IiPTalMRz3Qg2Q0lRLk5ZU0U6SUJNLklRX0NBU0hfSU5URVJFU1RfTkVULjk5NC40LzEvMjAyNS4uLlVTRC5IAQAAAN62AQADAAAAAABJE1hkwXPdCIj02pTEc90INkNJUS5OWVNFOklCTS5JUV9DQVNIX0lOVEVSRVNUX05FVC45OTUuNC8xLzIwMjUu</t>
  </si>
  <si>
    <t>Li5VU0QuSAEAAADetgEAAwAAAAAASRNYZMFz3QiI9NqUxHPdCDZDSVEuTllTRTpJQk0uSVFfQ0FTSF9JTlRFUkVTVF9ORVQuOTk2LjQvMS8yMDI1Li4uVVNELkgBAAAA3rYBAAMAAAAAAEkTWGTBc90IiPTalMRz3Qg2Q0lRLk5ZU0U6SUJNLklRX0NBU0hfSU5URVJFU1RfTkVULjk5Ny40LzEvMjAyNS4uLlVTRC5IAQAAAN62AQADAAAAAABJE1hkwXPdCIj02pTEc90IM0NJUS5OWVNFOklCTS5JUV9DQVNIX0lOVEVSRVNULjEwMDAuNC8xLzIwMjUuLi5VU0QuSAEAAADetgEAAgAAAAQxOTc4AQgAAAAFAAAAATEBAAAACy0xOTU4MjgxMDk3AwAAAAMxNjACAAAABDMwMjgEAAAAATAHAAAACDQvMS8yMDI1CAAAAAoxMi8zMS8yMDI0CQAAAAEwSRNYZMFz3QiI9NqUxHPdCDNDSVEuTllTRTpJQk0uSVFfQ0FTSF9JTlRFUkVTVC4yMDAwLjQvMS8yMDI1Li4uVVNELkgBAAAA3rYBAAIAAAAEMTk3OAEIAAAABQAAAAExAQAAAAstMTk1ODI4MDYxNQMAAAADMTYwAgAAAAQzMDI4BAAAAAEwBwAAAAg0LzEvMjAyNQgAAAAKMTIvMzEvMjAyNAkAAAABMEkTWGTBc90IhzDAlMRz3Qg2Q0lRLk5ZU0U6SUJNLklRX0NBU0hfSU5URVJFU1RfTkVULjk5MC40LzEvMjAyNS4uLlVTRC5IAQAAAN62AQADAAAAAABJE1hkwXPdCIj02pTEc90INkNJUS5OWVNFOklCTS5JUV9DQVNIX0lOVEVSRVNUX05FVC45OTEuNC8xLzIwMjUuLi5V</t>
  </si>
  <si>
    <t>U0QuSAEAAADetgEAAwAAAAAASRNYZMFz3QiI9NqUxHPdCDZDSVEuTllTRTpJQk0uSVFfQ0FTSF9JTlRFUkVTVF9ORVQuOTkyLjQvMS8yMDI1Li4uVVNELkgBAAAA3rYBAAMAAAAAAEkTWGTBc90IiPTalMRz3QgyQ0lRLk5ZU0U6SUJNLklRX0NBU0hfSU5URVJFU1QuOTk1LjQvMS8yMDI1Li4uVVNELkgBAAAA3rYBAAIAAAAEMTY4NQEIAAAABQAAAAExAQAAAAstMjExMDc2OTM1NQMAAAADMTYwAgAAAAQzMDI4BAAAAAEwBwAAAAg0LzEvMjAyNQgAAAAKMTIvMzEvMjAxOQkAAAABMEkTWGTBc90IiPTalMRz3QgyQ0lRLk5ZU0U6SUJNLklRX0NBU0hfSU5URVJFU1QuOTk2LjQvMS8yMDI1Li4uVVNELkgBAAAA3rYBAAIAAAAEMTgzMAEIAAAABQAAAAExAQAAAAstMjA1OTA3MzIwMgMAAAADMTYwAgAAAAQzMDI4BAAAAAEwBwAAAAg0LzEvMjAyNQgAAAAKMTIvMzEvMjAyMAkAAAABMEkTWGTBc90IiPTalMRz3QgyQ0lRLk5ZU0U6SUJNLklRX0NBU0hfSU5URVJFU1QuOTk3LjQvMS8yMDI1Li4uVVNELkgBAAAA3rYBAAIAAAAEMTUxMgEIAAAABQAAAAExAQAAAAstMjAwODY0NzE5OAMAAAADMTYwAgAAAAQzMDI4BAAAAAEwBwAAAAg0LzEvMjAyNQgAAAAKMTIvMzEvMjAyMQkAAAABMEkTWGTBc90IiPTalMRz3QgyQ0lRLk5ZU0U6SUJNLklRX0NBU0hfSU5URVJFU1QuOTk4LjQvMS8yMDI1Li4uVVNELkgBAAAA3rYB</t>
  </si>
  <si>
    <t>AAIAAAAEMTQwMQEIAAAABQAAAAExAQAAAAstMTk1ODI4MTA5NgMAAAADMTYwAgAAAAQzMDI4BAAAAAEwBwAAAAg0LzEvMjAyNQgAAAAKMTIvMzEvMjAyMgkAAAABMEkTWGTBc90IiPTalMRz3QgyQ0lRLk5ZU0U6SUJNLklRX0NBU0hfSU5URVJFU1QuOTk5LjQvMS8yMDI1Li4uVVNELkgBAAAA3rYBAAIAAAAEMTY2OAEIAAAABQAAAAExAQAAAAstMTk1ODI4MTA5NQMAAAADMTYwAgAAAAQzMDI4BAAAAAEwBwAAAAg0LzEvMjAyNQgAAAAKMTIvMzEvMjAyMwkAAAABMEkTWGTBc90IS/zBlMRz3QgyQ0lRLk5ZU0U6SUJNLklRX0NBU0hfSU5URVJFU1QuOTkwLjQvMS8yMDI1Li4uVVNELkgBAAAA3rYBAAIAAAAEMTA2MQEIAAAABQAAAAExAQAAAAoxODI5OTExOTY4AwAAAAMxNjACAAAABDMwMjgEAAAAATAHAAAACDQvMS8yMDI1CAAAAAoxMi8zMS8yMDE0CQAAAAEwSRNYZMFz3QiI9NqUxHPdCDJDSVEuTllTRTpJQk0uSVFfQ0FTSF9JTlRFUkVTVC45OTEuNC8xLzIwMjUuLi5VU0QuSAEAAADetgEAAgAAAAM5OTUBCAAAAAUAAAABMQEAAAAKMTg3NjQzMjg3MgMAAAADMTYwAgAAAAQzMDI4BAAAAAEwBwAAAAg0LzEvMjAyNQgAAAAKMTIvMzEvMjAxNQkAAAABMEkTWGTBc90IiPTalMRz3QgyQ0lRLk5ZU0U6SUJNLklRX0NBU0hfSU5URVJFU1QuOTkyLjQvMS8yMDI1Li4uVVNELkgBAAAA3rYBAAIAAAAEMTE1OAEI</t>
  </si>
  <si>
    <t>AAAABQAAAAExAQAAAAoxOTQ3MTc5NTgzAwAAAAMxNjACAAAABDMwMjgEAAAAATAHAAAACDQvMS8yMDI1CAAAAAoxMi8zMS8yMDE2CQAAAAEwSRNYZMFz3QiI9NqUxHPdCDJDSVEuTllTRTpJQk0uSVFfQ0FTSF9JTlRFUkVTVC45OTMuNC8xLzIwMjUuLi5VU0QuSAEAAADetgEAAgAAAAQxMjA4AQgAAAAFAAAAATEBAAAACjIwMTcxNjQyNDQDAAAAAzE2MAIAAAAEMzAyOAQAAAABMAcAAAAINC8xLzIwMjUIAAAACjEyLzMxLzIwMTcJAAAAATBJE1hkwXPdCIj02pTEc90IMkNJUS5OWVNFOklCTS5JUV9DQVNIX0lOVEVSRVNULjk5NC40LzEvMjAyNS4uLlVTRC5IAQAAAN62AQACAAAABDE0MjMBCAAAAAUAAAABMQEAAAAKMjA4MTUwNTQwMQMAAAADMTYwAgAAAAQzMDI4BAAAAAEwBwAAAAg0LzEvMjAyNQgAAAAKMTIvMzEvMjAxOAkAAAABMEkTWGTBc90IiPTalMRz3QhAQ0lRLk5ZU0U6SUJNLklRX1NBTEVfUFJPQ0VFRFNfUkVOVEFMX0FTU0VUUy45OTcuNC8xLzIwMjUuLi5VU0QuSAEAAADetgEAAwAAAAAASRNYZMFz3Qh249iUxHPdCEBDSVEuTllTRTpJQk0uSVFfU0FMRV9QUk9DRUVEU19SRU5UQUxfQVNTRVRTLjk5OC40LzEvMjAyNS4uLlVTRC5IAQAAAN62AQADAAAAAABJE1hkwXPdCIj02pTEc90IQENJUS5OWVNFOklCTS5JUV9TQUxFX1BST0NFRURTX1JFTlRBTF9BU1NFVFMuOTk5LjQvMS8yMDI1Li4u</t>
  </si>
  <si>
    <t>VVNELkgBAAAA3rYBAAMAAAAAAEkTWGTBc90IS/zBlMRz3QhBQ0lRLk5ZU0U6SUJNLklRX1NBTEVfUFJPQ0VFRFNfUkVOVEFMX0FTU0VUUy4xMDAwLjQvMS8yMDI1Li4uVVNELkgBAAAA3rYBAAMAAAAAAEkTWGTBc90IiPTalMRz3QhBQ0lRLk5ZU0U6SUJNLklRX1NBTEVfUFJPQ0VFRFNfUkVOVEFMX0FTU0VUUy4yMDAwLjQvMS8yMDI1Li4uVVNELkgBAAAA3rYBAAMAAAAAAEkTWGTBc90IhzDAlMRz3QhAQ0lRLk5ZU0U6SUJNLklRX1NBTEVfUFJPQ0VFRFNfUkVOVEFMX0FTU0VUUy45OTIuNC8xLzIwMjUuLi5VU0QuSAEAAADetgEAAwAAAAAASRNYZMFz3QiI9NqUxHPdCEBDSVEuTllTRTpJQk0uSVFfU0FMRV9QUk9DRUVEU19SRU5UQUxfQVNTRVRTLjk5My40LzEvMjAyNS4uLlVTRC5IAQAAAN62AQADAAAAAABJE1hkwXPdCHbj2JTEc90IQENJUS5OWVNFOklCTS5JUV9TQUxFX1BST0NFRURTX1JFTlRBTF9BU1NFVFMuOTk0LjQvMS8yMDI1Li4uVVNELkgBAAAA3rYBAAMAAAAAAEkTWGTBc90IduPYlMRz3QhAQ0lRLk5ZU0U6SUJNLklRX1NBTEVfUFJPQ0VFRFNfUkVOVEFMX0FTU0VUUy45OTUuNC8xLzIwMjUuLi5VU0QuSAEAAADetgEAAwAAAAAASRNYZMFz3Qh249iUxHPdCEBDSVEuTllTRTpJQk0uSVFfU0FMRV9QUk9DRUVEU19SRU5UQUxfQVNTRVRTLjk5Ni40LzEvMjAyNS4uLlVTRC5IAQAAAN62AQAD</t>
  </si>
  <si>
    <t>AAAAAABJE1hkwXPdCHbj2JTEc90IPUNJUS5OWVNFOklCTS5JUV9BTU9SVF9TT0ZUV0FSRV9BU1NFVFNfQ0YuOTk5LjQvMS8yMDI1Li4uVVNELkgBAAAA3rYBAAMAAAAAAEkTWGTBc90IS/zBlMRz3Qg+Q0lRLk5ZU0U6SUJNLklRX0FNT1JUX1NPRlRXQVJFX0FTU0VUU19DRi4xMDAwLjQvMS8yMDI1Li4uVVNELkgBAAAA3rYBAAMAAAAAAEkTWGTBc90IduPYlMRz3Qg+Q0lRLk5ZU0U6SUJNLklRX0FNT1JUX1NPRlRXQVJFX0FTU0VUU19DRi4yMDAwLjQvMS8yMDI1Li4uVVNELkgBAAAA3rYBAAMAAAAAAEkTWGTBc90IhzDAlMRz3QhAQ0lRLk5ZU0U6SUJNLklRX1NBTEVfUFJPQ0VFRFNfUkVOVEFMX0FTU0VUUy45OTAuNC8xLzIwMjUuLi5VU0QuSAEAAADetgEAAwAAAAAASRNYZMFz3Qh249iUxHPdCEBDSVEuTllTRTpJQk0uSVFfU0FMRV9QUk9DRUVEU19SRU5UQUxfQVNTRVRTLjk5MS40LzEvMjAyNS4uLlVTRC5IAQAAAN62AQADAAAAAABJE1hkwXPdCHbj2JTEc90IPUNJUS5OWVNFOklCTS5JUV9BTU9SVF9TT0ZUV0FSRV9BU1NFVFNfQ0YuOTk0LjQvMS8yMDI1Li4uVVNELkgBAAAA3rYBAAMAAAAAAEkTWGTBc90IduPYlMRz3Qg9Q0lRLk5ZU0U6SUJNLklRX0FNT1JUX1NPRlRXQVJFX0FTU0VUU19DRi45OTUuNC8xLzIwMjUuLi5VU0QuSAEAAADetgEAAwAAAAAASRNYZMFz3Qh249iUxHPdCD1DSVEuTllT</t>
  </si>
  <si>
    <t>RTpJQk0uSVFfQU1PUlRfU09GVFdBUkVfQVNTRVRTX0NGLjk5Ni40LzEvMjAyNS4uLlVTRC5IAQAAAN62AQADAAAAAABJE1hkwXPdCHbj2JTEc90IPUNJUS5OWVNFOklCTS5JUV9BTU9SVF9TT0ZUV0FSRV9BU1NFVFNfQ0YuOTk3LjQvMS8yMDI1Li4uVVNELkgBAAAA3rYBAAMAAAAAAEkTWGTBc90IduPYlMRz3Qg9Q0lRLk5ZU0U6SUJNLklRX0FNT1JUX1NPRlRXQVJFX0FTU0VUU19DRi45OTguNC8xLzIwMjUuLi5VU0QuSAEAAADetgEAAwAAAAAASRNYZMFz3Qh249iUxHPdCDJDSVEuTllTRTpJQk0uSVFfQU1PUlRfRElDX0NGLjIwMDAuNC8xLzIwMjUuLi5VU0QuSAEAAADetgEAAwAAAAAASRNYZMFz3QiHMMCUxHPdCD1DSVEuTllTRTpJQk0uSVFfQU1PUlRfU09GVFdBUkVfQVNTRVRTX0NGLjk5MC40LzEvMjAyNS4uLlVTRC5IAQAAAN62AQADAAAAAABJE1hkwXPdCHbj2JTEc90IPUNJUS5OWVNFOklCTS5JUV9BTU9SVF9TT0ZUV0FSRV9BU1NFVFNfQ0YuOTkxLjQvMS8yMDI1Li4uVVNELkgBAAAA3rYBAAMAAAAAAEkTWGTBc90IduPYlMRz3Qg9Q0lRLk5ZU0U6SUJNLklRX0FNT1JUX1NPRlRXQVJFX0FTU0VUU19DRi45OTIuNC8xLzIwMjUuLi5VU0QuSAEAAADetgEAAwAAAAAASRNYZMFz3Qh249iUxHPdCD1DSVEuTllTRTpJQk0uSVFfQU1PUlRfU09GVFdBUkVfQVNTRVRTX0NGLjk5My40LzEvMjAyNS4u</t>
  </si>
  <si>
    <t>LlVTRC5IAQAAAN62AQADAAAAAABJE1hkwXPdCHbj2JTEc90IMUNJUS5OWVNFOklCTS5JUV9BTU9SVF9ESUNfQ0YuOTk2LjQvMS8yMDI1Li4uVVNELkgBAAAA3rYBAAMAAAAAAEkTWGTBc90IduPYlMRz3QgxQ0lRLk5ZU0U6SUJNLklRX0FNT1JUX0RJQ19DRi45OTcuNC8xLzIwMjUuLi5VU0QuSAEAAADetgEAAwAAAAAASRNYZMFz3Qh249iUxHPdCDFDSVEuTllTRTpJQk0uSVFfQU1PUlRfRElDX0NGLjk5OC40LzEvMjAyNS4uLlVTRC5IAQAAAN62AQADAAAAAABJE1hkwXPdCHbj2JTEc90IMUNJUS5OWVNFOklCTS5JUV9BTU9SVF9ESUNfQ0YuOTk5LjQvMS8yMDI1Li4uVVNELkgBAAAA3rYBAAMAAAAAAEkTWGTBc90IS/zBlMRz3QgyQ0lRLk5ZU0U6SUJNLklRX0FNT1JUX0RJQ19DRi4xMDAwLjQvMS8yMDI1Li4uVVNELkgBAAAA3rYBAAMAAAAAAEkTWGTBc90IduPYlMRz3QgxQ0lRLk5ZU0U6SUJNLklRX0FNT1JUX0RJQ19DRi45OTEuNC8xLzIwMjUuLi5VU0QuSAEAAADetgEAAwAAAAAASRNYZMFz3Qh249iUxHPdCDFDSVEuTllTRTpJQk0uSVFfQU1PUlRfRElDX0NGLjk5Mi40LzEvMjAyNS4uLlVTRC5IAQAAAN62AQADAAAAAABJE1hkwXPdCHbj2JTEc90IMUNJUS5OWVNFOklCTS5JUV9BTU9SVF9ESUNfQ0YuOTkzLjQvMS8yMDI1Li4uVVNELkgBAAAA3rYBAAMAAAAAAEkTWGTBc90IduPYlMRz3QgxQ0lR</t>
  </si>
  <si>
    <t>Lk5ZU0U6SUJNLklRX0FNT1JUX0RJQ19DRi45OTQuNC8xLzIwMjUuLi5VU0QuSAEAAADetgEAAwAAAAAASRNYZMFz3Qh249iUxHPdCDFDSVEuTllTRTpJQk0uSVFfQU1PUlRfRElDX0NGLjk5NS40LzEvMjAyNS4uLlVTRC5IAQAAAN62AQADAAAAAABJE1hkwXPdCHbj2JTEc90IOUNJUS5OWVNFOklCTS5JUV9ORUdBVElWRV9HV19BTU9SVF9DRi45OTguNC8xLzIwMjUuLi5VU0QuSAEAAADetgEAAwAAAAAASRNYZMFz3Qh249iUxHPdCDlDSVEuTllTRTpJQk0uSVFfTkVHQVRJVkVfR1dfQU1PUlRfQ0YuOTk5LjQvMS8yMDI1Li4uVVNELkgBAAAA3rYBAAMAAAAAAEkTWGTBc90IS/zBlMRz3Qg6Q0lRLk5ZU0U6SUJNLklRX05FR0FUSVZFX0dXX0FNT1JUX0NGLjEwMDAuNC8xLzIwMjUuLi5VU0QuSAEAAADetgEAAwAAAAAASRNYZMFz3Qh249iUxHPdCDpDSVEuTllTRTpJQk0uSVFfTkVHQVRJVkVfR1dfQU1PUlRfQ0YuMjAwMC40LzEvMjAyNS4uLlVTRC5IAQAAAN62AQADAAAAAABJE1hkwXPdCIcwwJTEc90IMUNJUS5OWVNFOklCTS5JUV9BTU9SVF9ESUNfQ0YuOTkwLjQvMS8yMDI1Li4uVVNELkgBAAAA3rYBAAMAAAAAAEkTWGTBc90IduPYlMRz3Qg5Q0lRLk5ZU0U6SUJNLklRX05FR0FUSVZFX0dXX0FNT1JUX0NGLjk5My40LzEvMjAyNS4uLlVTRC5IAQAAAN62AQADAAAAAABJE1hkwXPdCHbj2JTEc90IOUNJ</t>
  </si>
  <si>
    <t>US5OWVNFOklCTS5JUV9ORUdBVElWRV9HV19BTU9SVF9DRi45OTQuNC8xLzIwMjUuLi5VU0QuSAEAAADetgEAAwAAAAAASRNYZMFz3Qh249iUxHPdCDlDSVEuTllTRTpJQk0uSVFfTkVHQVRJVkVfR1dfQU1PUlRfQ0YuOTk1LjQvMS8yMDI1Li4uVVNELkgBAAAA3rYBAAMAAAAAAEkTWGTBc90IduPYlMRz3Qg5Q0lRLk5ZU0U6SUJNLklRX05FR0FUSVZFX0dXX0FNT1JUX0NGLjk5Ni40LzEvMjAyNS4uLlVTRC5IAQAAAN62AQADAAAAAABJE1hkwXPdCHbj2JTEc90IOUNJUS5OWVNFOklCTS5JUV9ORUdBVElWRV9HV19BTU9SVF9DRi45OTcuNC8xLzIwMjUuLi5VU0QuSAEAAADetgEAAwAAAAAASRNYZMFz3Qh249iUxHPdCDxDSVEuTllTRTpJQk0uSVFfREFfQ0ZfRVhDTF9PUEVSX0xFQVNFUy4xMDAwLjQvMS8yMDI1Li4uVVNELkgBAAAA3rYBAAIAAAAEMzc2NwEIAAAABQAAAAExAQAAAAstMTk1ODI4MTA5NwMAAAADMTYwAgAAAAU0ODk4NQQAAAABMAcAAAAINC8xLzIwMjUIAAAACjEyLzMxLzIwMjQJAAAAATBJE1hkwXPdCHbj2JTEc90IPENJUS5OWVNFOklCTS5JUV9EQV9DRl9FWENMX09QRVJfTEVBU0VTLjIwMDAuNC8xLzIwMjUuLi5VU0QuSAEAAADetgEAAgAAAAQzNzY3AQgAAAAFAAAAATEBAAAACy0xOTU4MjgwNjE1AwAAAAMxNjACAAAABTQ4OTg1BAAAAAEwBwAAAAg0LzEvMjAyNQgAAAAKMTIvMzEv</t>
  </si>
  <si>
    <t>MjAyNAkAAAABMEkTWGTBc90IhzDAlMRz3Qg5Q0lRLk5ZU0U6SUJNLklRX05FR0FUSVZFX0dXX0FNT1JUX0NGLjk5MC40LzEvMjAyNS4uLlVTRC5IAQAAAN62AQADAAAAAABJE1hkwXPdCHbj2JTEc90IOUNJUS5OWVNFOklCTS5JUV9ORUdBVElWRV9HV19BTU9SVF9DRi45OTEuNC8xLzIwMjUuLi5VU0QuSAEAAADetgEAAwAAAAAASRNYZMFz3Qh249iUxHPdCDlDSVEuTllTRTpJQk0uSVFfTkVHQVRJVkVfR1dfQU1PUlRfQ0YuOTkyLjQvMS8yMDI1Li4uVVNELkgBAAAA3rYBAAMAAAAAAEkTWGTBc90IduPYlMRz3Qg7Q0lRLk5ZU0U6SUJNLklRX0RBX0NGX0VYQ0xfT1BFUl9MRUFTRVMuOTk1LjQvMS8yMDI1Li4uVVNELkgBAAAA3rYBAAIAAAAENjA1OQEIAAAABQAAAAExAQAAAAstMjExMDc2OTM1NQMAAAADMTYwAgAAAAU0ODk4NQQAAAABMAcAAAAINC8xLzIwMjUIAAAACjEyLzMxLzIwMTkJAAAAATBJE1hkwXPdCHbj2JTEc90IO0NJUS5OWVNFOklCTS5JUV9EQV9DRl9FWENMX09QRVJfTEVBU0VTLjk5Ni40LzEvMjAyNS4uLlVTRC5IAQAAAN62AQACAAAABDY2OTUBCAAAAAUAAAABMQEAAAALLTIwNTkwNzMyMDIDAAAAAzE2MAIAAAAFNDg5ODUEAAAAATAHAAAACDQvMS8yMDI1CAAAAAoxMi8zMS8yMDIwCQAAAAEwSRNYZMFz3Qh249iUxHPdCDtDSVEuTllTRTpJQk0uSVFfREFfQ0ZfRVhDTF9PUEVSX0xF</t>
  </si>
  <si>
    <t>QVNFUy45OTcuNC8xLzIwMjUuLi5VU0QuSAEAAADetgEAAgAAAAQ2NDE3AQgAAAAFAAAAATEBAAAACy0yMDA4NjQ3MTk4AwAAAAMxNjACAAAABTQ4OTg1BAAAAAEwBwAAAAg0LzEvMjAyNQgAAAAKMTIvMzEvMjAyMQkAAAABMEkTWGTBc90IduPYlMRz3Qg7Q0lRLk5ZU0U6SUJNLklRX0RBX0NGX0VYQ0xfT1BFUl9MRUFTRVMuOTk4LjQvMS8yMDI1Li4uVVNELkgBAAAA3rYBAAIAAAAEMzkwMgEIAAAABQAAAAExAQAAAAstMTk1ODI4MTA5NgMAAAADMTYwAgAAAAU0ODk4NQQAAAABMAcAAAAINC8xLzIwMjUIAAAACjEyLzMxLzIwMjIJAAAAATBJE1hkwXPdCHbj2JTEc90IO0NJUS5OWVNFOklCTS5JUV9EQV9DRl9FWENMX09QRVJfTEVBU0VTLjk5OS40LzEvMjAyNS4uLlVTRC5IAQAAAN62AQACAAAABDM0OTYBCAAAAAUAAAABMQEAAAALLTE5NTgyODEwOTUDAAAAAzE2MAIAAAAFNDg5ODUEAAAAATAHAAAACDQvMS8yMDI1CAAAAAoxMi8zMS8yMDIzCQAAAAEwSRNYZMFz3QhL/MGUxHPdCDtDSVEuTllTRTpJQk0uSVFfREFfQ0ZfRVhDTF9PUEVSX0xFQVNFUy45OTAuNC8xLzIwMjUuLi5VU0QuSAEAAADetgEAAgAAAAQ0NDkyAQgAAAAFAAAAATEBAAAACjE4Mjk5MTE5NjgDAAAAAzE2MAIAAAAFNDg5ODUEAAAAATAHAAAACDQvMS8yMDI1CAAAAAoxMi8zMS8yMDE0CQAAAAEwSRNYZMFz3Qh249iUxHPdCDtDSVEu</t>
  </si>
  <si>
    <t>TllTRTpJQk0uSVFfREFfQ0ZfRVhDTF9PUEVSX0xFQVNFUy45OTEuNC8xLzIwMjUuLi5VU0QuSAEAAADetgEAAgAAAAQzODU1AQgAAAAFAAAAATEBAAAACjE4NzY0MzI4NzIDAAAAAzE2MAIAAAAFNDg5ODUEAAAAATAHAAAACDQvMS8yMDI1CAAAAAoxMi8zMS8yMDE1CQAAAAEwSRNYZMFz3Qh249iUxHPdCDtDSVEuTllTRTpJQk0uSVFfREFfQ0ZfRVhDTF9PUEVSX0xFQVNFUy45OTIuNC8xLzIwMjUuLi5VU0QuSAEAAADetgEAAgAAAAQ0MzgxAQgAAAAFAAAAATEBAAAACjE5NDcxNzk1ODMDAAAAAzE2MAIAAAAFNDg5ODUEAAAAATAHAAAACDQvMS8yMDI1CAAAAAoxMi8zMS8yMDE2CQAAAAEwSRNYZMFz3Qh249iUxHPdCDtDSVEuTllTRTpJQk0uSVFfREFfQ0ZfRVhDTF9PUEVSX0xFQVNFUy45OTMuNC8xLzIwMjUuLi5VU0QuSAEAAADetgEAAgAAAAQ0NTQxAQgAAAAFAAAAATEBAAAACjIwMTcxNjQyNDQDAAAAAzE2MAIAAAAFNDg5ODUEAAAAATAHAAAACDQvMS8yMDI1CAAAAAoxMi8zMS8yMDE3CQAAAAEwSRNYZMFz3Qh249iUxHPdCDtDSVEuTllTRTpJQk0uSVFfREFfQ0ZfRVhDTF9PUEVSX0xFQVNFUy45OTQuNC8xLzIwMjUuLi5VU0QuSAEAAADetgEAAgAAAAQ0NDgwAQgAAAAFAAAAATEBAAAACjIwODE1MDU0MDEDAAAAAzE2MAIAAAAFNDg5ODUEAAAAATAHAAAACDQvMS8yMDI1CAAAAAoxMi8zMS8yMDE4</t>
  </si>
  <si>
    <t>CQAAAAEwSRNYZMFz3Qh249iUxHPdCEFDSVEuTllTRTpJQk0uSVFfREFfU1VQUExfQ0ZfRVhDTF9PUEVSX0xFQVNFUy45OTcuNC8xLzIwMjUuLi5VU0QuSAEAAADetgEAAgAAAAQzODg4AQgAAAAFAAAAATEBAAAACy0yMDA4NjQ3MTk4AwAAAAMxNjACAAAABTQ4OTgzBAAAAAEwBwAAAAg0LzEvMjAyNQgAAAAKMTIvMzEvMjAyMQkAAAABMEkTWGTBc90IduPYlMRz3QhBQ0lRLk5ZU0U6SUJNLklRX0RBX1NVUFBMX0NGX0VYQ0xfT1BFUl9MRUFTRVMuOTk4LjQvMS8yMDI1Li4uVVNELkgBAAAA3rYBAAIAAAAEMTUwNwEIAAAABQAAAAExAQAAAAstMTk1ODI4MTA5NgMAAAADMTYwAgAAAAU0ODk4MwQAAAABMAcAAAAINC8xLzIwMjUIAAAACjEyLzMxLzIwMjIJAAAAATBJE1hkwXPdCHbj2JTEc90IQUNJUS5OWVNFOklCTS5JUV9EQV9TVVBQTF9DRl9FWENMX09QRVJfTEVBU0VTLjk5OS40LzEvMjAyNS4uLlVTRC5IAQAAAN62AQACAAAABDEyMDkBCAAAAAUAAAABMQEAAAALLTE5NTgyODEwOTUDAAAAAzE2MAIAAAAFNDg5ODMEAAAAATAHAAAACDQvMS8yMDI1CAAAAAoxMi8zMS8yMDIzCQAAAAEwSRNYZMFz3QhL/MGUxHPdCEJDSVEuTllTRTpJQk0uSVFfREFfU1VQUExfQ0ZfRVhDTF9PUEVSX0xFQVNFUy4xMDAwLjQvMS8yMDI1Li4uVVNELkgBAAAA3rYBAAIAAAAEMTI2OAEIAAAABQAAAAExAQAAAAstMTk1ODI4</t>
  </si>
  <si>
    <t>MTA5NwMAAAADMTYwAgAAAAU0ODk4MwQAAAABMAcAAAAINC8xLzIwMjUIAAAACjEyLzMxLzIwMjQJAAAAATBJE1hkwXPdCHbj2JTEc90IQkNJUS5OWVNFOklCTS5JUV9EQV9TVVBQTF9DRl9FWENMX09QRVJfTEVBU0VTLjIwMDAuNC8xLzIwMjUuLi5VU0QuSAEAAADetgEAAgAAAAQxMjY4AQgAAAAFAAAAATEBAAAACy0xOTU4MjgwNjE1AwAAAAMxNjACAAAABTQ4OTgzBAAAAAEwBwAAAAg0LzEvMjAyNQgAAAAKMTIvMzEvMjAyNAkAAAABMEkTWGTBc90IhzDAlMRz3QhBQ0lRLk5ZU0U6SUJNLklRX0RBX1NVUFBMX0NGX0VYQ0xfT1BFUl9MRUFTRVMuOTkyLjQvMS8yMDI1Li4uVVNELkgBAAAA3rYBAAIAAAAEMjgzNwEIAAAABQAAAAExAQAAAAoxOTQ3MTc5NTgzAwAAAAMxNjACAAAABTQ4OTgzBAAAAAEwBwAAAAg0LzEvMjAyNQgAAAAKMTIvMzEvMjAxNgkAAAABMEkTWGTBc90IduPYlMRz3QhBQ0lRLk5ZU0U6SUJNLklRX0RBX1NVUFBMX0NGX0VYQ0xfT1BFUl9MRUFTRVMuOTkzLjQvMS8yMDI1Li4uVVNELkgBAAAA3rYBAAIAAAAEMzAyMQEIAAAABQAAAAExAQAAAAoyMDE3MTY0MjQ0AwAAAAMxNjACAAAABTQ4OTgzBAAAAAEwBwAAAAg0LzEvMjAyNQgAAAAKMTIvMzEvMjAxNwkAAAABMEkTWGTBc90IduPYlMRz3QhBQ0lRLk5ZU0U6SUJNLklRX0RBX1NVUFBMX0NGX0VYQ0xfT1BFUl9MRUFTRVMuOTk0LjQv</t>
  </si>
  <si>
    <t>MS8yMDI1Li4uVVNELkgBAAAA3rYBAAIAAAAEMzEyNwEIAAAABQAAAAExAQAAAAoyMDgxNTA1NDAxAwAAAAMxNjACAAAABTQ4OTgzBAAAAAEwBwAAAAg0LzEvMjAyNQgAAAAKMTIvMzEvMjAxOAkAAAABMEkTWGTBc90IduPYlMRz3QhBQ0lRLk5ZU0U6SUJNLklRX0RBX1NVUFBMX0NGX0VYQ0xfT1BFUl9MRUFTRVMuOTk1LjQvMS8yMDI1Li4uVVNELkgBAAAA3rYBAAIAAAAENDIwOQEIAAAABQAAAAExAQAAAAstMjExMDc2OTM1NQMAAAADMTYwAgAAAAU0ODk4MwQAAAABMAcAAAAINC8xLzIwMjUIAAAACjEyLzMxLzIwMTkJAAAAATBJE1hkwXPdCHbj2JTEc90IQUNJUS5OWVNFOklCTS5JUV9EQV9TVVBQTF9DRl9FWENMX09QRVJfTEVBU0VTLjk5Ni40LzEvMjAyNS4uLlVTRC5IAQAAAN62AQACAAAABDQyMjcBCAAAAAUAAAABMQEAAAALLTIwNTkwNzMyMDIDAAAAAzE2MAIAAAAFNDg5ODMEAAAAATAHAAAACDQvMS8yMDI1CAAAAAoxMi8zMS8yMDIwCQAAAAEwSRNYZMFz3Qh249iUxHPdCCxDSVEuTllTRTpJQk0uSVFfREVQX1JVQS45OTkuNC8xLzIwMjUuLi5VU0QuSAEAAADetgEAAgAAAAM5MDABCAAAAAUAAAABMQEAAAALLTE5NTgyODEwOTUDAAAAAzE2MAIAAAAFNDgzNTcEAAAAATAHAAAACDQvMS8yMDI1CAAAAAoxMi8zMS8yMDIzCQAAAAEwSRNYZMFz3QhL/MGUxHPdCC1DSVEuTllTRTpJQk0uSVFfREVQ</t>
  </si>
  <si>
    <t>X1JVQS4xMDAwLjQvMS8yMDI1Li4uVVNELkgBAAAA3rYBAAIAAAADOTAwAQgAAAAFAAAAATEBAAAACy0xOTU4MjgxMDk3AwAAAAMxNjACAAAABTQ4MzU3BAAAAAEwBwAAAAg0LzEvMjAyNQgAAAAKMTIvMzEvMjAyNAkAAAABMEkTWGTBc90IduPYlMRz3QgtQ0lRLk5ZU0U6SUJNLklRX0RFUF9SVUEuMjAwMC40LzEvMjAyNS4uLlVTRC5IAQAAAN62AQACAAAAAzkwMAEIAAAABQAAAAExAQAAAAstMTk1ODI4MDYxNQMAAAADMTYwAgAAAAU0ODM1NwQAAAABMAcAAAAINC8xLzIwMjUIAAAACjEyLzMxLzIwMjQJAAAAATBJE1hkwXPdCIcwwJTEc90IQUNJUS5OWVNFOklCTS5JUV9EQV9TVVBQTF9DRl9FWENMX09QRVJfTEVBU0VTLjk5MC40LzEvMjAyNS4uLlVTRC5IAQAAAN62AQACAAAABDMxNDUBCAAAAAUAAAABMQEAAAAKMTgyOTkxMTk2OAMAAAADMTYwAgAAAAU0ODk4MwQAAAABMAcAAAAINC8xLzIwMjUIAAAACjEyLzMxLzIwMTQJAAAAATBJE1hkwXPdCHbj2JTEc90IQUNJUS5OWVNFOklCTS5JUV9EQV9TVVBQTF9DRl9FWENMX09QRVJfTEVBU0VTLjk5MS40LzEvMjAyNS4uLlVTRC5IAQAAAN62AQACAAAABDI2NjIBCAAAAAUAAAABMQEAAAAKMTg3NjQzMjg3MgMAAAADMTYwAgAAAAU0ODk4MwQAAAABMAcAAAAINC8xLzIwMjUIAAAACjEyLzMxLzIwMTUJAAAAATBJE1hkwXPdCHbj2JTEc90ILENJUS5OWVNF</t>
  </si>
  <si>
    <t>OklCTS5JUV9ERVBfUlVBLjk5NC40LzEvMjAyNS4uLlVTRC5IAQAAAN62AQADAAAAAABJE1hkwXPdCHbj2JTEc90ILENJUS5OWVNFOklCTS5JUV9ERVBfUlVBLjk5NS40LzEvMjAyNS4uLlVTRC5IAQAAAN62AQADAAAAAABJE1hkwXPdCHbj2JTEc90ILENJUS5OWVNFOklCTS5JUV9ERVBfUlVBLjk5Ni40LzEvMjAyNS4uLlVTRC5IAQAAAN62AQADAAAAAABJE1hkwXPdCHbj2JTEc90ILENJUS5OWVNFOklCTS5JUV9ERVBfUlVBLjk5Ny40LzEvMjAyNS4uLlVTRC5IAQAAAN62AQADAAAAAABJE1hkwXPdCHbj2JTEc90ILENJUS5OWVNFOklCTS5JUV9ERVBfUlVBLjk5OC40LzEvMjAyNS4uLlVTRC5IAQAAAN62AQACAAAAAzkwMAEIAAAABQAAAAExAQAAAAstMTk1ODI4MTA5NgMAAAADMTYwAgAAAAU0ODM1NwQAAAABMAcAAAAINC8xLzIwMjUIAAAACjEyLzMxLzIwMjIJAAAAATBJE1hkwXPdCHbj2JTEc90IQ0NJUS5OWVNFOklCTS5JUV9ERVBSRUNJQVRJT05fUkVOVEFMX0FTU0VUU19DRi4yMDAwLjQvMS8yMDI1Li4uVVNELkgBAAAA3rYBAAMAAAAAAEkTWGTBc90IhzDAlMRz3QgsQ0lRLk5ZU0U6SUJNLklRX0RFUF9SVUEuOTkwLjQvMS8yMDI1Li4uVVNELkgBAAAA3rYBAAMAAAAAAEkTWGTBc90IduPYlMRz3QgsQ0lRLk5ZU0U6SUJNLklRX0RFUF9SVUEuOTkxLjQvMS8yMDI1Li4uVVNELkgBAAAA3rYBAAMA</t>
  </si>
  <si>
    <t>AAAAAEkTWGTBc90IduPYlMRz3QgsQ0lRLk5ZU0U6SUJNLklRX0RFUF9SVUEuOTkyLjQvMS8yMDI1Li4uVVNELkgBAAAA3rYBAAMAAAAAAEkTWGTBc90IduPYlMRz3QgsQ0lRLk5ZU0U6SUJNLklRX0RFUF9SVUEuOTkzLjQvMS8yMDI1Li4uVVNELkgBAAAA3rYBAAMAAAAAAEkTWGTBc90IduPYlMRz3QhCQ0lRLk5ZU0U6SUJNLklRX0RFUFJFQ0lBVElPTl9SRU5UQUxfQVNTRVRTX0NGLjk5Ni40LzEvMjAyNS4uLlVTRC5IAQAAAN62AQADAAAAAABJE1hkwXPdCHbj2JTEc90IQkNJUS5OWVNFOklCTS5JUV9ERVBSRUNJQVRJT05fUkVOVEFMX0FTU0VUU19DRi45OTcuNC8xLzIwMjUuLi5VU0QuSAEAAADetgEAAwAAAAAASRNYZMFz3Qh249iUxHPdCEJDSVEuTllTRTpJQk0uSVFfREVQUkVDSUFUSU9OX1JFTlRBTF9BU1NFVFNfQ0YuOTk4LjQvMS8yMDI1Li4uVVNELkgBAAAA3rYBAAMAAAAAAEkTWGTBc90IduPYlMRz3QhCQ0lRLk5ZU0U6SUJNLklRX0RFUFJFQ0lBVElPTl9SRU5UQUxfQVNTRVRTX0NGLjk5OS40LzEvMjAyNS4uLlVTRC5IAQAAAN62AQADAAAAAABJE1hkwXPdCEv8wZTEc90IQ0NJUS5OWVNFOklCTS5JUV9ERVBSRUNJQVRJT05fUkVOVEFMX0FTU0VUU19DRi4xMDAwLjQvMS8yMDI1Li4uVVNELkgBAAAA3rYBAAMAAAAAAEkTWGTBc90IduPYlMRz3QhCQ0lRLk5ZU0U6SUJNLklRX0RFUFJFQ0lB</t>
  </si>
  <si>
    <t>VElPTl9SRU5UQUxfQVNTRVRTX0NGLjk5MS40LzEvMjAyNS4uLlVTRC5IAQAAAN62AQADAAAAAABJE1hkwXPdCHbj2JTEc90IQkNJUS5OWVNFOklCTS5JUV9ERVBSRUNJQVRJT05fUkVOVEFMX0FTU0VUU19DRi45OTIuNC8xLzIwMjUuLi5VU0QuSAEAAADetgEAAwAAAAAASRNYZMFz3Qh249iUxHPdCEJDSVEuTllTRTpJQk0uSVFfREVQUkVDSUFUSU9OX1JFTlRBTF9BU1NFVFNfQ0YuOTkzLjQvMS8yMDI1Li4uVVNELkgBAAAA3rYBAAMAAAAAAEkTWGTBc90IduPYlMRz3QhCQ0lRLk5ZU0U6SUJNLklRX0RFUFJFQ0lBVElPTl9SRU5UQUxfQVNTRVRTX0NGLjk5NC40LzEvMjAyNS4uLlVTRC5IAQAAAN62AQADAAAAAABJE1hkwXPdCHbj2JTEc90IQkNJUS5OWVNFOklCTS5JUV9ERVBSRUNJQVRJT05fUkVOVEFMX0FTU0VUU19DRi45OTUuNC8xLzIwMjUuLi5VU0QuSAEAAADetgEAAwAAAAAASRNYZMFz3Qh249iUxHPdCC9DSVEuTllTRTpJQk0uSVFfREVQUkVfU1VQUC45OTguNC8xLzIwMjUuLi5VU0QuSAEAAADetgEAAwAAAAAASRNYZMFz3Qh249iUxHPdCC9DSVEuTllTRTpJQk0uSVFfREVQUkVfU1VQUC45OTkuNC8xLzIwMjUuLi5VU0QuSAEAAADetgEAAwAAAAAASRNYZMFz3QhL/MGUxHPdCDBDSVEuTllTRTpJQk0uSVFfREVQUkVfU1VQUC4xMDAwLjQvMS8yMDI1Li4uVVNELkgBAAAA3rYBAAMAAAAAAEkT</t>
  </si>
  <si>
    <t>WGTBc90IduPYlMRz3QgwQ0lRLk5ZU0U6SUJNLklRX0RFUFJFX1NVUFAuMjAwMC40LzEvMjAyNS4uLlVTRC5IAQAAAN62AQADAAAAAABJE1hkwXPdCIcwwJTEc90IQkNJUS5OWVNFOklCTS5JUV9ERVBSRUNJQVRJT05fUkVOVEFMX0FTU0VUU19DRi45OTAuNC8xLzIwMjUuLi5VU0QuSAEAAADetgEAAwAAAAAASRNYZMFz3Qh249iUxHPdCC9DSVEuTllTRTpJQk0uSVFfREVQUkVfU1VQUC45OTMuNC8xLzIwMjUuLi5VU0QuSAEAAADetgEAAwAAAAAASRNYZMFz3Qh249iUxHPdCC9DSVEuTllTRTpJQk0uSVFfREVQUkVfU1VQUC45OTQuNC8xLzIwMjUuLi5VU0QuSAEAAADetgEAAwAAAAAASRNYZMFz3Qh249iUxHPdCC9DSVEuTllTRTpJQk0uSVFfREVQUkVfU1VQUC45OTUuNC8xLzIwMjUuLi5VU0QuSAEAAADetgEAAwAAAAAASRNYZMFz3Qh249iUxHPdCC9DSVEuTllTRTpJQk0uSVFfREVQUkVfU1VQUC45OTYuNC8xLzIwMjUuLi5VU0QuSAEAAADetgEAAwAAAAAASRNYZMFz3Qh249iUxHPdCC9DSVEuTllTRTpJQk0uSVFfREVQUkVfU1VQUC45OTcuNC8xLzIwMjUuLi5VU0QuSAEAAADetgEAAwAAAAAASRNYZMFz3Qh249iUxHPdCD9DSVEuTllTRTpJQk0uSVFfR1dfSU5UQU5fQU1PUlRfUEFSVElBTF9DRi4xMDAwLjQvMS8yMDI1Li4uVVNELkgBAAAA3rYBAAMAAAAAAEkTWGTBc90IduPYlMRz3Qg/Q0lRLk5Z</t>
  </si>
  <si>
    <t>U0U6SUJNLklRX0dXX0lOVEFOX0FNT1JUX1BBUlRJQUxfQ0YuMjAwMC40LzEvMjAyNS4uLlVTRC5IAQAAAN62AQADAAAAAABJE1hkwXPdCIcwwJTEc90IL0NJUS5OWVNFOklCTS5JUV9ERVBSRV9TVVBQLjk5MC40LzEvMjAyNS4uLlVTRC5IAQAAAN62AQADAAAAAABJE1hkwXPdCHbj2JTEc90IL0NJUS5OWVNFOklCTS5JUV9ERVBSRV9TVVBQLjk5MS40LzEvMjAyNS4uLlVTRC5IAQAAAN62AQADAAAAAABJE1hkwXPdCHbj2JTEc90IL0NJUS5OWVNFOklCTS5JUV9ERVBSRV9TVVBQLjk5Mi40LzEvMjAyNS4uLlVTRC5IAQAAAN62AQADAAAAAABJE1hkwXPdCHbj2JTEc90IPkNJUS5OWVNFOklCTS5JUV9HV19JTlRBTl9BTU9SVF9QQVJUSUFMX0NGLjk5NS40LzEvMjAyNS4uLlVTRC5IAQAAAN62AQADAAAAAABJE1hkwXPdCHbj2JTEc90IPkNJUS5OWVNFOklCTS5JUV9HV19JTlRBTl9BTU9SVF9QQVJUSUFMX0NGLjk5Ni40LzEvMjAyNS4uLlVTRC5IAQAAAN62AQADAAAAAABJE1hkwXPdCHbj2JTEc90IPkNJUS5OWVNFOklCTS5JUV9HV19JTlRBTl9BTU9SVF9QQVJUSUFMX0NGLjk5Ny40LzEvMjAyNS4uLlVTRC5IAQAAAN62AQADAAAAAABJE1hkwXPdCHbj2JTEc90IPkNJUS5OWVNFOklCTS5JUV9HV19JTlRBTl9BTU9SVF9QQVJUSUFMX0NGLjk5OC40LzEvMjAyNS4uLlVTRC5IAQAAAN62AQADAAAAAABJE1hk</t>
  </si>
  <si>
    <t>wXPdCHbj2JTEc90IPkNJUS5OWVNFOklCTS5JUV9HV19JTlRBTl9BTU9SVF9QQVJUSUFMX0NGLjk5OS40LzEvMjAyNS4uLlVTRC5IAQAAAN62AQADAAAAAABJE1hkwXPdCJZKwpTEc90IPkNJUS5OWVNFOklCTS5JUV9HV19JTlRBTl9BTU9SVF9QQVJUSUFMX0NGLjk5MC40LzEvMjAyNS4uLlVTRC5IAQAAAN62AQADAAAAAABJE1hkwXPdCHbj2JTEc90IPkNJUS5OWVNFOklCTS5JUV9HV19JTlRBTl9BTU9SVF9QQVJUSUFMX0NGLjk5MS40LzEvMjAyNS4uLlVTRC5IAQAAAN62AQADAAAAAABJE1hkwXPdCHbj2JTEc90IPkNJUS5OWVNFOklCTS5JUV9HV19JTlRBTl9BTU9SVF9QQVJUSUFMX0NGLjk5Mi40LzEvMjAyNS4uLlVTRC5IAQAAAN62AQADAAAAAABJE1hkwXPdCHbj2JTEc90IPkNJUS5OWVNFOklCTS5JUV9HV19JTlRBTl9BTU9SVF9QQVJUSUFMX0NGLjk5My40LzEvMjAyNS4uLlVTRC5IAQAAAN62AQADAAAAAABJE1hkwXPdCHbj2JTEc90IPkNJUS5OWVNFOklCTS5JUV9HV19JTlRBTl9BTU9SVF9QQVJUSUFMX0NGLjk5NC40LzEvMjAyNS4uLlVTRC5IAQAAAN62AQADAAAAAABJE1hkwXPdCHbj2JTEc90IOENJUS5OWVNFOklCTS5JUV9EQV9TVVBQTF9QQVJUSUFMX0NGLjk5Ny40LzEvMjAyNS4uLlVTRC5IAQAAAN62AQADAAAAAABJE1hkwXPdCHbj2JTEc90IOENJUS5OWVNFOklCTS5JUV9EQV9TVVBQ</t>
  </si>
  <si>
    <t>TF9QQVJUSUFMX0NGLjk5OC40LzEvMjAyNS4uLlVTRC5IAQAAAN62AQADAAAAAABJE1hkwXPdCHbj2JTEc90IOENJUS5OWVNFOklCTS5JUV9EQV9TVVBQTF9QQVJUSUFMX0NGLjk5OS40LzEvMjAyNS4uLlVTRC5IAQAAAN62AQADAAAAAABJE1hkwXPdCJZKwpTEc90IOUNJUS5OWVNFOklCTS5JUV9EQV9TVVBQTF9QQVJUSUFMX0NGLjEwMDAuNC8xLzIwMjUuLi5VU0QuSAEAAADetgEAAwAAAAAASRNYZMFz3Qh249iUxHPdCDlDSVEuTllTRTpJQk0uSVFfREFfU1VQUExfUEFSVElBTF9DRi4yMDAwLjQvMS8yMDI1Li4uVVNELkgBAAAA3rYBAAMAAAAAAEkTWGTBc90IhzDAlMRz3Qg4Q0lRLk5ZU0U6SUJNLklRX0RBX1NVUFBMX1BBUlRJQUxfQ0YuOTkyLjQvMS8yMDI1Li4uVVNELkgBAAAA3rYBAAMAAAAAAEkTWGTBc90IduPYlMRz3Qg4Q0lRLk5ZU0U6SUJNLklRX0RBX1NVUFBMX1BBUlRJQUxfQ0YuOTkzLjQvMS8yMDI1Li4uVVNELkgBAAAA3rYBAAMAAAAAAEkTWGTBc90IduPYlMRz3Qg4Q0lRLk5ZU0U6SUJNLklRX0RBX1NVUFBMX1BBUlRJQUxfQ0YuOTk0LjQvMS8yMDI1Li4uVVNELkgBAAAA3rYBAAMAAAAAAEkTWGTBc90IduPYlMRz3Qg4Q0lRLk5ZU0U6SUJNLklRX0RBX1NVUFBMX1BBUlRJQUxfQ0YuOTk1LjQvMS8yMDI1Li4uVVNELkgBAAAA3rYBAAMAAAAAAEkTWGTBc90IduPYlMRz3Qg4Q0lRLk5Z</t>
  </si>
  <si>
    <t>U0U6SUJNLklRX0RBX1NVUFBMX1BBUlRJQUxfQ0YuOTk2LjQvMS8yMDI1Li4uVVNELkgBAAAA3rYBAAMAAAAAAEkTWGTBc90IduPYlMRz3QgsQ0lRLk5ZU0U6SUJNLklRX1BFUklPRExFTkdUSF9DRi45OTkuNC8xLzIwMjUBAAAA3rYBAAEAAAACMTIASRNYZMFz3QiWSsKUxHPdCC1DSVEuTllTRTpJQk0uSVFfUEVSSU9ETEVOR1RIX0NGLjEwMDAuNC8xLzIwMjUBAAAA3rYBAAEAAAACMTIASRNYZMFz3Qh249iUxHPdCC1DSVEuTllTRTpJQk0uSVFfUEVSSU9ETEVOR1RIX0NGLjIwMDAuNC8xLzIwMjUBAAAA3rYBAAEAAAACMTIASRNYZMFz3QiHMMCUxHPdCDhDSVEuTllTRTpJQk0uSVFfREFfU1VQUExfUEFSVElBTF9DRi45OTAuNC8xLzIwMjUuLi5VU0QuSAEAAADetgEAAwAAAAAASRNYZMFz3Qh249iUxHPdCDhDSVEuTllTRTpJQk0uSVFfREFfU1VQUExfUEFSVElBTF9DRi45OTEuNC8xLzIwMjUuLi5VU0QuSAEAAADetgEAAwAAAAAASRNYZMFz3Qh249iUxHPdCCxDSVEuTllTRTpJQk0uSVFfUEVSSU9ETEVOR1RIX0NGLjk5NC40LzEvMjAyNQEAAADetgEAAQAAAAIxMgBJE1hkwXPdCHbj2JTEc90ILENJUS5OWVNFOklCTS5JUV9QRVJJT0RMRU5HVEhfQ0YuOTk1LjQvMS8yMDI1AQAAAN62AQABAAAAAjEyAEkTWGTBc90IduPYlMRz3QgsQ0lRLk5ZU0U6SUJNLklRX1BFUklPRExFTkdUSF9DRi45OTYuNC8x</t>
  </si>
  <si>
    <t>LzIwMjUBAAAA3rYBAAEAAAACMTIASRNYZMFz3Qh249iUxHPdCCxDSVEuTllTRTpJQk0uSVFfUEVSSU9ETEVOR1RIX0NGLjk5Ny40LzEvMjAyNQEAAADetgEAAQAAAAIxMgBJE1hkwXPdCHbj2JTEc90ILENJUS5OWVNFOklCTS5JUV9QRVJJT0RMRU5HVEhfQ0YuOTk4LjQvMS8yMDI1AQAAAN62AQABAAAAAjEyAEkTWGTBc90IduPYlMRz3QgrQ0lRLk5ZU0U6SUJNLklRX0ZJTElOR0RBVEVfQ0YuMjAwMC40LzEvMjAyNQEAAADetgEABQAAAAkyLzI1LzIwMjUASRNYZMFz3Qic81oiwnPdCCxDSVEuTllTRTpJQk0uSVFfUEVSSU9ETEVOR1RIX0NGLjk5MC40LzEvMjAyNQEAAADetgEAAQAAAAIxMgBJE1hkwXPdCHbj2JTEc90ILENJUS5OWVNFOklCTS5JUV9QRVJJT0RMRU5HVEhfQ0YuOTkxLjQvMS8yMDI1AQAAAN62AQABAAAAAjEyAEkTWGTBc90IduPYlMRz3QgsQ0lRLk5ZU0U6SUJNLklRX1BFUklPRExFTkdUSF9DRi45OTIuNC8xLzIwMjUBAAAA3rYBAAEAAAACMTIASRNYZMFz3Qh249iUxHPdCCxDSVEuTllTRTpJQk0uSVFfUEVSSU9ETEVOR1RIX0NGLjk5My40LzEvMjAyNQEAAADetgEAAQAAAAIxMgBJE1hkwXPdCHbj2JTEc90IKkNJUS5OWVNFOklCTS5JUV9GSUxJTkdEQVRFX0NGLjk5Ni40LzEvMjAyNQEAAADetgEABQAAAAkyLzI4LzIwMjMASRNYZMFz3Qic81oiwnPdCCpDSVEuTllTRTpJQk0uSVFf</t>
  </si>
  <si>
    <t>RklMSU5HREFURV9DRi45OTcuNC8xLzIwMjUBAAAA3rYBAAUAAAAJMi8yNi8yMDI0AEkTWGTBc90InPNaIsJz3QgqQ0lRLk5ZU0U6SUJNLklRX0ZJTElOR0RBVEVfQ0YuOTk4LjQvMS8yMDI1AQAAAN62AQAFAAAACTIvMjUvMjAyNQBJE1hkwXPdCJzzWiLCc90IKkNJUS5OWVNFOklCTS5JUV9GSUxJTkdEQVRFX0NGLjk5OS40LzEvMjAyNQEAAADetgEABQAAAAkyLzI1LzIwMjUASRNYZMFz3Qic81oiwnPdCCtDSVEuTllTRTpJQk0uSVFfRklMSU5HREFURV9DRi4xMDAwLjQvMS8yMDI1AQAAAN62AQAFAAAACTIvMjUvMjAyNQBJE1hkwXPdCJzzWiLCc90IKkNJUS5OWVNFOklCTS5JUV9GSUxJTkdEQVRFX0NGLjk5MS40LzEvMjAyNQEAAADetgEABQAAAAkyLzI3LzIwMTgASRNYZMFz3Qic81oiwnPdCCpDSVEuTllTRTpJQk0uSVFfRklMSU5HREFURV9DRi45OTIuNC8xLzIwMjUBAAAA3rYBAAUAAAAJMi8yNi8yMDE5AEkTWGTBc90InPNaIsJz3QgqQ0lRLk5ZU0U6SUJNLklRX0ZJTElOR0RBVEVfQ0YuOTkzLjQvMS8yMDI1AQAAAN62AQAFAAAACTIvMjUvMjAyMABJE1hkwXPdCJzzWiLCc90IKkNJUS5OWVNFOklCTS5JUV9GSUxJTkdEQVRFX0NGLjk5NC40LzEvMjAyNQEAAADetgEABQAAAAkyLzIzLzIwMjEASRNYZMFz3Qic81oiwnPdCCpDSVEuTllTRTpJQk0uSVFfRklMSU5HREFURV9DRi45OTUuNC8xLzIw</t>
  </si>
  <si>
    <t>MjUBAAAA3rYBAAUAAAAJMi8yMi8yMDIyAEkTWGTBc90InPNaIsJz3QgqQ0lRLk5ZU0U6SUJNLklRX0ZJTElOR0RBVEVfQ0YuOTkwLjQvMS8yMDI1AQAAAN62AQAFAAAACTIvMjgvMjAxNwBJE1hkwXPdCJzzWiLCc90IMENJUS5OWVNFOklCTS5JUV9ORVRfQ0hBTkdFLjEwMDAuNC8xLzIwMjUuLi5VU0QuSAEAAADetgEAAgAAAAQxMDcxAQgAAAAFAAAAATEBAAAACy0xOTU4MjgxMDk3AwAAAAMxNjACAAAABDIwOTMEAAAAATAHAAAACDQvMS8yMDI1CAAAAAoxMi8zMS8yMDI0CQAAAAEwSRNYZMFz3Qh249iUxHPdCDBDSVEuTllTRTpJQk0uSVFfTkVUX0NIQU5HRS4yMDAwLjQvMS8yMDI1Li4uVVNELkgBAAAA3rYBAAIAAAAEMTA3MQEIAAAABQAAAAExAQAAAAstMTk1ODI4MDYxNQMAAAADMTYwAgAAAAQyMDkzBAAAAAEwBwAAAAg0LzEvMjAyNQgAAAAKMTIvMzEvMjAyNAkAAAABMEkTWGTBc90IhzDAlMRz3QgvQ0lRLk5ZU0U6SUJNLklRX05FVF9DSEFOR0UuOTk1LjQvMS8yMDI1Li4uVVNELkgBAAAA3rYBAAIAAAAFLTMyOTABCAAAAAUAAAABMQEAAAALLTIxMTA3NjkzNTUDAAAAAzE2MAIAAAAEMjA5MwQAAAABMAcAAAAINC8xLzIwMjUIAAAACjEyLzMxLzIwMTkJAAAAATBJE1hkwXPdCHbj2JTEc90IL0NJUS5OWVNFOklCTS5JUV9ORVRfQ0hBTkdFLjk5Ni40LzEvMjAyNS4uLlVTRC5IAQAAAN62AQACAAAA</t>
  </si>
  <si>
    <t>BDUzNjEBCAAAAAUAAAABMQEAAAALLTIwNTkwNzMyMDIDAAAAAzE2MAIAAAAEMjA5MwQAAAABMAcAAAAINC8xLzIwMjUIAAAACjEyLzMxLzIwMjAJAAAAATBJE1hkwXPdCHbj2JTEc90IL0NJUS5OWVNFOklCTS5JUV9ORVRfQ0hBTkdFLjk5Ny40LzEvMjAyNS4uLlVTRC5IAQAAAN62AQACAAAABS02NzE4AQgAAAAFAAAAATEBAAAACy0yMDA4NjQ3MTk4AwAAAAMxNjACAAAABDIwOTMEAAAAATAHAAAACDQvMS8yMDI1CAAAAAoxMi8zMS8yMDIxCQAAAAEwSRNYZMFz3Qh249iUxHPdCC9DSVEuTllTRTpJQk0uSVFfTkVUX0NIQU5HRS45OTguNC8xLzIwMjUuLi5VU0QuSAEAAADetgEAAgAAAAQxMDMxAQgAAAAFAAAAATEBAAAACy0xOTU4MjgxMDk2AwAAAAMxNjACAAAABDIwOTMEAAAAATAHAAAACDQvMS8yMDI1CAAAAAoxMi8zMS8yMDIyCQAAAAEwSRNYZMFz3Qh249iUxHPdCC9DSVEuTllTRTpJQk0uSVFfTkVUX0NIQU5HRS45OTkuNC8xLzIwMjUuLi5VU0QuSAEAAADetgEAAgAAAAQ1MTAxAQgAAAAFAAAAATEBAAAACy0xOTU4MjgxMDk1AwAAAAMxNjACAAAABDIwOTMEAAAAATAHAAAACDQvMS8yMDI1CAAAAAoxMi8zMS8yMDIzCQAAAAEwSRNYZMFz3QiWSsKUxHPdCC9DSVEuTllTRTpJQk0uSVFfTkVUX0NIQU5HRS45OTAuNC8xLzIwMjUuLi5VU0QuSAEAAADetgEAAgAAAAUtMjI0MAEIAAAABQAAAAExAQAA</t>
  </si>
  <si>
    <t>AAoxODI5OTExOTY4AwAAAAMxNjACAAAABDIwOTMEAAAAATAHAAAACDQvMS8yMDI1CAAAAAoxMi8zMS8yMDE0CQAAAAEwSRNYZMFz3Qh249iUxHPdCC9DSVEuTllTRTpJQk0uSVFfTkVUX0NIQU5HRS45OTEuNC8xLzIwMjUuLi5VU0QuSAEAAADetgEAAgAAAAQtNzkwAQgAAAAFAAAAATEBAAAACjE4NzY0MzI4NzIDAAAAAzE2MAIAAAAEMjA5MwQAAAABMAcAAAAINC8xLzIwMjUIAAAACjEyLzMxLzIwMTUJAAAAATBJE1hkwXPdCHbj2JTEc90IL0NJUS5OWVNFOklCTS5JUV9ORVRfQ0hBTkdFLjk5Mi40LzEvMjAyNS4uLlVTRC5IAQAAAN62AQACAAAAAzE4OAEIAAAABQAAAAExAQAAAAoxOTQ3MTc5NTgzAwAAAAMxNjACAAAABDIwOTMEAAAAATAHAAAACDQvMS8yMDI1CAAAAAoxMi8zMS8yMDE2CQAAAAEwSRNYZMFz3Qh249iUxHPdCC9DSVEuTllTRTpJQk0uSVFfTkVUX0NIQU5HRS45OTMuNC8xLzIwMjUuLi5VU0QuSAEAAADetgEAAgAAAAQ0MTYxAQgAAAAFAAAAATEBAAAACjIwMTcxNjQyNDQDAAAAAzE2MAIAAAAEMjA5MwQAAAABMAcAAAAINC8xLzIwMjUIAAAACjEyLzMxLzIwMTcJAAAAATBJE1hkwXPdCHbj2JTEc90IL0NJUS5OWVNFOklCTS5JUV9ORVRfQ0hBTkdFLjk5NC40LzEvMjAyNS4uLlVTRC5IAQAAAN62AQACAAAABC02MzABCAAAAAUAAAABMQEAAAAKMjA4MTUwNTQwMQMAAAADMTYwAgAAAAQy</t>
  </si>
  <si>
    <t>MDkzBAAAAAEwBwAAAAg0LzEvMjAyNQgAAAAKMTIvMzEvMjAxOAkAAAABMEkTWGTBc90IduPYlMRz3QgzQ0lRLk5ZU0U6SUJNLklRX01JU0NfQURKVVNUX0NGLjk5Ny40LzEvMjAyNS4uLlVTRC5IAQAAAN62AQADAAAAAABJE1hkwXPdCHbj2JTEc90IM0NJUS5OWVNFOklCTS5JUV9NSVNDX0FESlVTVF9DRi45OTguNC8xLzIwMjUuLi5VU0QuSAEAAADetgEAAwAAAAAASRNYZMFz3Qh249iUxHPdCDNDSVEuTllTRTpJQk0uSVFfTUlTQ19BREpVU1RfQ0YuOTk5LjQvMS8yMDI1Li4uVVNELkgBAAAA3rYBAAMAAAAAAEkTWGTBc90IlkrClMRz3Qg0Q0lRLk5ZU0U6SUJNLklRX01JU0NfQURKVVNUX0NGLjEwMDAuNC8xLzIwMjUuLi5VU0QuSAEAAADetgEAAgAAAAExAQgAAAAFAAAAATEBAAAACy0xOTU4MjgxMDk3AwAAAAMxNjACAAAABDIxNDkEAAAAATAHAAAACDQvMS8yMDI1CAAAAAoxMi8zMS8yMDI0CQAAAAEwSRNYZMFz3Qh249iUxHPdCDRDSVEuTllTRTpJQk0uSVFfTUlTQ19BREpVU1RfQ0YuMjAwMC40LzEvMjAyNS4uLlVTRC5IAQAAAN62AQACAAAAATEBCAAAAAUAAAABMQEAAAALLTE5NTgyODA2MTUDAAAAAzE2MAIAAAAEMjE0OQQAAAABMAcAAAAINC8xLzIwMjUIAAAACjEyLzMxLzIwMjQJAAAAATBJE1hkwXPdCIcwwJTEc90IM0NJUS5OWVNFOklCTS5JUV9NSVNDX0FESlVTVF9DRi45OTIuNC8xLzIw</t>
  </si>
  <si>
    <t>MjUuLi5VU0QuSAEAAADetgEAAwAAAAAASRNYZMFz3Qh249iUxHPdCDNDSVEuTllTRTpJQk0uSVFfTUlTQ19BREpVU1RfQ0YuOTkzLjQvMS8yMDI1Li4uVVNELkgBAAAA3rYBAAIAAAACLTEBCAAAAAUAAAABMQEAAAAKMjAxNzE2NDI0NAMAAAADMTYwAgAAAAQyMTQ5BAAAAAEwBwAAAAg0LzEvMjAyNQgAAAAKMTIvMzEvMjAxNwkAAAABMEkTWGTBc90IduPYlMRz3QgzQ0lRLk5ZU0U6SUJNLklRX01JU0NfQURKVVNUX0NGLjk5NC40LzEvMjAyNS4uLlVTRC5IAQAAAN62AQADAAAAAABJE1hkwXPdCHbj2JTEc90IM0NJUS5OWVNFOklCTS5JUV9NSVNDX0FESlVTVF9DRi45OTUuNC8xLzIwMjUuLi5VU0QuSAEAAADetgEAAgAAAAExAQgAAAAFAAAAATEBAAAACy0yMTEwNzY5MzU1AwAAAAMxNjACAAAABDIxNDkEAAAAATAHAAAACDQvMS8yMDI1CAAAAAoxMi8zMS8yMDE5CQAAAAEwSRNYZMFz3Qh249iUxHPdCDNDSVEuTllTRTpJQk0uSVFfTUlTQ19BREpVU1RfQ0YuOTk2LjQvMS8yMDI1Li4uVVNELkgBAAAA3rYBAAMAAAAAAEkTWGTBc90IduPYlMRz3QgnQ0lRLk5ZU0U6SUJNLklRX0ZYLjk5OS40LzEvMjAyNS4uLlVTRC5IAQAAAN62AQACAAAAATkBCAAAAAUAAAABMQEAAAALLTE5NTgyODEwOTUDAAAAAzE2MAIAAAAEMjE0NAQAAAABMAcAAAAINC8xLzIwMjUIAAAACjEyLzMxLzIwMjMJAAAAATBJE1hkwXPd</t>
  </si>
  <si>
    <t>CJZKwpTEc90IKENJUS5OWVNFOklCTS5JUV9GWC4xMDAwLjQvMS8yMDI1Li4uVVNELkgBAAAA3rYBAAIAAAAELTM1OQEIAAAABQAAAAExAQAAAAstMTk1ODI4MTA5NwMAAAADMTYwAgAAAAQyMTQ0BAAAAAEwBwAAAAg0LzEvMjAyNQgAAAAKMTIvMzEvMjAyNAkAAAABMEkTWGTBc90IduPYlMRz3QgoQ0lRLk5ZU0U6SUJNLklRX0ZYLjIwMDAuNC8xLzIwMjUuLi5VU0QuSAEAAADetgEAAgAAAAQtMzU5AQgAAAAFAAAAATEBAAAACy0xOTU4MjgwNjE1AwAAAAMxNjACAAAABDIxNDQEAAAAATAHAAAACDQvMS8yMDI1CAAAAAoxMi8zMS8yMDI0CQAAAAEwSRNYZMFz3QiHMMCUxHPdCDNDSVEuTllTRTpJQk0uSVFfTUlTQ19BREpVU1RfQ0YuOTkwLjQvMS8yMDI1Li4uVVNELkgBAAAA3rYBAAMAAAAAAEkTWGTBc90IduPYlMRz3QgzQ0lRLk5ZU0U6SUJNLklRX01JU0NfQURKVVNUX0NGLjk5MS40LzEvMjAyNS4uLlVTRC5IAQAAAN62AQADAAAAAABJE1hkwXPdCHbj2JTEc90IJ0NJUS5OWVNFOklCTS5JUV9GWC45OTQuNC8xLzIwMjUuLi5VU0QuSAEAAADetgEAAgAAAAQtNDk1AQgAAAAFAAAAATEBAAAACjIwODE1MDU0MDEDAAAAAzE2MAIAAAAEMjE0NAQAAAABMAcAAAAINC8xLzIwMjUIAAAACjEyLzMxLzIwMTgJAAAAATBJE1hkwXPdCHbj2JTEc90IJ0NJUS5OWVNFOklCTS5JUV9GWC45OTUuNC8xLzIwMjUuLi5V</t>
  </si>
  <si>
    <t>U0QuSAEAAADetgEAAgAAAAQtMTY3AQgAAAAFAAAAATEBAAAACy0yMTEwNzY5MzU1AwAAAAMxNjACAAAABDIxNDQEAAAAATAHAAAACDQvMS8yMDI1CAAAAAoxMi8zMS8yMDE5CQAAAAEwSRNYZMFz3Qh249iUxHPdCCdDSVEuTllTRTpJQk0uSVFfRlguOTk2LjQvMS8yMDI1Li4uVVNELkgBAAAA3rYBAAIAAAADLTg3AQgAAAAFAAAAATEBAAAACy0yMDU5MDczMjAyAwAAAAMxNjACAAAABDIxNDQEAAAAATAHAAAACDQvMS8yMDI1CAAAAAoxMi8zMS8yMDIwCQAAAAEwSRNYZMFz3Qh249iUxHPdCCdDSVEuTllTRTpJQk0uSVFfRlguOTk3LjQvMS8yMDI1Li4uVVNELkgBAAAA3rYBAAIAAAAELTE4NQEIAAAABQAAAAExAQAAAAstMjAwODY0NzE5OAMAAAADMTYwAgAAAAQyMTQ0BAAAAAEwBwAAAAg0LzEvMjAyNQgAAAAKMTIvMzEvMjAyMQkAAAABMEkTWGTBc90IduPYlMRz3Qg3Q0lRLk5ZU0U6SUJNLklRX1RPVEFMX0xJQUJfRVFVSVRZLjEwMDAuNC8xLzIwMjUuLi5VU0QuSAEAAADetgEAAgAAAAYxMzcxNzUBCAAAAAUAAAABMQEAAAALLTE5NTgyODEwOTcDAAAAAzE2MAIAAAAEMTAxMwQAAAABMAcAAAAINC8xLzIwMjUIAAAACjEyLzMxLzIwMjQJAAAAATCSM4RkwXPdCE/L4pTEc90IN0NJUS5OWVNFOklCTS5JUV9UT1RBTF9MSUFCX0VRVUlUWS4yMDAwLjQvMS8yMDI1Li4uVVNELkgBAAAA3rYBAAIAAAAGMTM3</t>
  </si>
  <si>
    <t>MTc1AQgAAAAFAAAAATEBAAAACy0xOTU4MjgwNjE1AwAAAAMxNjACAAAABDEwMTMEAAAAATAHAAAACDQvMS8yMDI1CAAAAAoxMi8zMS8yMDI0CQAAAAEwkjOEZMFz3QhrEcGUxHPdCDZDSVEuTllTRTpJQk0uSVFfVE9UQUxfTElBQl9FUVVJVFkuOTk1LjQvMS8yMDI1Li4uVVNELkgBAAAA3rYBAAIAAAAGMTUyMTg2AQgAAAAFAAAAATEBAAAACy0yMTEwNzY5MzU1AwAAAAMxNjACAAAABDEwMTMEAAAAATAHAAAACDQvMS8yMDI1CAAAAAoxMi8zMS8yMDE5CQAAAAEwkjOEZMFz3QhPy+KUxHPdCDZDSVEuTllTRTpJQk0uSVFfVE9UQUxfTElBQl9FUVVJVFkuOTk2LjQvMS8yMDI1Li4uVVNELkgBAAAA3rYBAAIAAAAGMTU1OTcxAQgAAAAFAAAAATEBAAAACy0yMDU5MDczMjAyAwAAAAMxNjACAAAABDEwMTMEAAAAATAHAAAACDQvMS8yMDI1CAAAAAoxMi8zMS8yMDIwCQAAAAEwkjOEZMFz3QhPy+KUxHPdCDZDSVEuTllTRTpJQk0uSVFfVE9UQUxfTElBQl9FUVVJVFkuOTk3LjQvMS8yMDI1Li4uVVNELkgBAAAA3rYBAAIAAAAGMTMyMDAxAQgAAAAFAAAAATEBAAAACy0yMDA4NjQ3MTk4AwAAAAMxNjACAAAABDEwMTMEAAAAATAHAAAACDQvMS8yMDI1CAAAAAoxMi8zMS8yMDIxCQAAAAEwkjOEZMFz3QhPy+KUxHPdCDZDSVEuTllTRTpJQk0uSVFfVE9UQUxfTElBQl9FUVVJVFkuOTk4LjQvMS8yMDI1Li4uVVNELkgB</t>
  </si>
  <si>
    <t>AAAA3rYBAAIAAAAGMTI3MjQzAQgAAAAFAAAAATEBAAAACy0xOTU4MjgxMDk2AwAAAAMxNjACAAAABDEwMTMEAAAAATAHAAAACDQvMS8yMDI1CAAAAAoxMi8zMS8yMDIyCQAAAAEwkjOEZMFz3QhPy+KUxHPdCDZDSVEuTllTRTpJQk0uSVFfVE9UQUxfTElBQl9FUVVJVFkuOTk5LjQvMS8yMDI1Li4uVVNELkgBAAAA3rYBAAIAAAAGMTM1MjQxAQgAAAAFAAAAATEBAAAACy0xOTU4MjgxMDk1AwAAAAMxNjACAAAABDEwMTMEAAAAATAHAAAACDQvMS8yMDI1CAAAAAoxMi8zMS8yMDIzCQAAAAEwkjOEZMFz3Qi7X8GUxHPdCDZDSVEuTllTRTpJQk0uSVFfVE9UQUxfTElBQl9FUVVJVFkuOTkwLjQvMS8yMDI1Li4uVVNELkgBAAAA3rYBAAIAAAAGMTE3MjcxAQgAAAAFAAAAATEBAAAACjE4Mjk5MTE5NjgDAAAAAzE2MAIAAAAEMTAxMwQAAAABMAcAAAAINC8xLzIwMjUIAAAACjEyLzMxLzIwMTQJAAAAATCSM4RkwXPdCE/L4pTEc90INkNJUS5OWVNFOklCTS5JUV9UT1RBTF9MSUFCX0VRVUlUWS45OTEuNC8xLzIwMjUuLi5VU0QuSAEAAADetgEAAgAAAAYxMTA0OTUBCAAAAAUAAAABMQEAAAAKMTg3NjQzMjg3MgMAAAADMTYwAgAAAAQxMDEzBAAAAAEwBwAAAAg0LzEvMjAyNQgAAAAKMTIvMzEvMjAxNQkAAAABMJIzhGTBc90IT8vilMRz3Qg2Q0lRLk5ZU0U6SUJNLklRX1RPVEFMX0xJQUJfRVFVSVRZLjk5Mi40LzEv</t>
  </si>
  <si>
    <t>MjAyNS4uLlVTRC5IAQAAAN62AQACAAAABjExNzQ3MAEIAAAABQAAAAExAQAAAAoxOTQ3MTc5NTgzAwAAAAMxNjACAAAABDEwMTMEAAAAATAHAAAACDQvMS8yMDI1CAAAAAoxMi8zMS8yMDE2CQAAAAEwkjOEZMFz3QhPy+KUxHPdCDZDSVEuTllTRTpJQk0uSVFfVE9UQUxfTElBQl9FUVVJVFkuOTkzLjQvMS8yMDI1Li4uVVNELkgBAAAA3rYBAAIAAAAGMTI1MzU2AQgAAAAFAAAAATEBAAAACjIwMTcxNjQyNDQDAAAAAzE2MAIAAAAEMTAxMwQAAAABMAcAAAAINC8xLzIwMjUIAAAACjEyLzMxLzIwMTcJAAAAATCSM4RkwXPdCE/L4pTEc90INkNJUS5OWVNFOklCTS5JUV9UT1RBTF9MSUFCX0VRVUlUWS45OTQuNC8xLzIwMjUuLi5VU0QuSAEAAADetgEAAgAAAAYxMjMzODIBCAAAAAUAAAABMQEAAAAKMjA4MTUwNTQwMQMAAAADMTYwAgAAAAQxMDEzBAAAAAEwBwAAAAg0LzEvMjAyNQgAAAAKMTIvMzEvMjAxOAkAAAABMJIzhGTBc90IT8vilMRz3QgxQ0lRLk5ZU0U6SUJNLklRX1RPVEFMX0VRVUlUWS45OTcuNC8xLzIwMjUuLi5VU0QuSAEAAADetgEAAgAAAAUxODk5NgEIAAAABQAAAAExAQAAAAstMjAwODY0NzE5OAMAAAADMTYwAgAAAAQxMjc1BAAAAAEwBwAAAAg0LzEvMjAyNQgAAAAKMTIvMzEvMjAyMQkAAAABMJIzhGTBc90I9nHilMRz3QgxQ0lRLk5ZU0U6SUJNLklRX1RPVEFMX0VRVUlUWS45OTguNC8x</t>
  </si>
  <si>
    <t>LzIwMjUuLi5VU0QuSAEAAADetgEAAgAAAAUyMjAyMQEIAAAABQAAAAExAQAAAAstMTk1ODI4MTA5NgMAAAADMTYwAgAAAAQxMjc1BAAAAAEwBwAAAAg0LzEvMjAyNQgAAAAKMTIvMzEvMjAyMgkAAAABMJIzhGTBc90IT8vilMRz3QgxQ0lRLk5ZU0U6SUJNLklRX1RPVEFMX0VRVUlUWS45OTkuNC8xLzIwMjUuLi5VU0QuSAEAAADetgEAAgAAAAUyMjYxMwEIAAAABQAAAAExAQAAAAstMTk1ODI4MTA5NQMAAAADMTYwAgAAAAQxMjc1BAAAAAEwBwAAAAg0LzEvMjAyNQgAAAAKMTIvMzEvMjAyMwkAAAABMJIzhGTBc90IaxHBlMRz3QgyQ0lRLk5ZU0U6SUJNLklRX1RPVEFMX0VRVUlUWS4xMDAwLjQvMS8yMDI1Li4uVVNELkgBAAAA3rYBAAIAAAAFMjczOTMBCAAAAAUAAAABMQEAAAALLTE5NTgyODEwOTcDAAAAAzE2MAIAAAAEMTI3NQQAAAABMAcAAAAINC8xLzIwMjUIAAAACjEyLzMxLzIwMjQJAAAAATCSM4RkwXPdCE/L4pTEc90IMkNJUS5OWVNFOklCTS5JUV9UT1RBTF9FUVVJVFkuMjAwMC40LzEvMjAyNS4uLlVTRC5IAQAAAN62AQACAAAABTI3MzkzAQgAAAAFAAAAATEBAAAACy0xOTU4MjgwNjE1AwAAAAMxNjACAAAABDEyNzUEAAAAATAHAAAACDQvMS8yMDI1CAAAAAoxMi8zMS8yMDI0CQAAAAEwkjOEZMFz3QhrEcGUxHPdCDFDSVEuTllTRTpJQk0uSVFfVE9UQUxfRVFVSVRZLjk5Mi40LzEvMjAyNS4u</t>
  </si>
  <si>
    <t>LlVTRC5IAQAAAN62AQACAAAABTE4MzkyAQgAAAAFAAAAATEBAAAACjE5NDcxNzk1ODMDAAAAAzE2MAIAAAAEMTI3NQQAAAABMAcAAAAINC8xLzIwMjUIAAAACjEyLzMxLzIwMTYJAAAAATCSM4RkwXPdCE/L4pTEc90IMUNJUS5OWVNFOklCTS5JUV9UT1RBTF9FUVVJVFkuOTkzLjQvMS8yMDI1Li4uVVNELkgBAAAA3rYBAAIAAAAFMTc3MjUBCAAAAAUAAAABMQEAAAAKMjAxNzE2NDI0NAMAAAADMTYwAgAAAAQxMjc1BAAAAAEwBwAAAAg0LzEvMjAyNQgAAAAKMTIvMzEvMjAxNwkAAAABMJIzhGTBc90I9nHilMRz3QgxQ0lRLk5ZU0U6SUJNLklRX1RPVEFMX0VRVUlUWS45OTQuNC8xLzIwMjUuLi5VU0QuSAEAAADetgEAAgAAAAUxNjkzMAEIAAAABQAAAAExAQAAAAoyMDgxNTA1NDAxAwAAAAMxNjACAAAABDEyNzUEAAAAATAHAAAACDQvMS8yMDI1CAAAAAoxMi8zMS8yMDE4CQAAAAEwkjOEZMFz3Qj2ceKUxHPdCDFDSVEuTllTRTpJQk0uSVFfVE9UQUxfRVFVSVRZLjk5NS40LzEvMjAyNS4uLlVTRC5IAQAAAN62AQACAAAABTIwOTg1AQgAAAAFAAAAATEBAAAACy0yMTEwNzY5MzU1AwAAAAMxNjACAAAABDEyNzUEAAAAATAHAAAACDQvMS8yMDI1CAAAAAoxMi8zMS8yMDE5CQAAAAEwkjOEZMFz3Qj2ceKUxHPdCDFDSVEuTllTRTpJQk0uSVFfVE9UQUxfRVFVSVRZLjk5Ni40LzEvMjAyNS4uLlVTRC5IAQAAAN62</t>
  </si>
  <si>
    <t>AQACAAAABTIwNzI2AQgAAAAFAAAAATEBAAAACy0yMDU5MDczMjAyAwAAAAMxNjACAAAABDEyNzUEAAAAATAHAAAACDQvMS8yMDI1CAAAAAoxMi8zMS8yMDIwCQAAAAEwkjOEZMFz3Qj2ceKUxHPdCDZDSVEuTllTRTpJQk0uSVFfTUlOT1JJVFlfSU5URVJFU1QuOTk5LjQvMS8yMDI1Li4uVVNELkgBAAAA3rYBAAIAAAACODABCAAAAAUAAAABMQEAAAALLTE5NTgyODEwOTUDAAAAAzE2MAIAAAAEMTA1MgQAAAABMAcAAAAINC8xLzIwMjUIAAAACjEyLzMxLzIwMjMJAAAAATCSM4RkwXPdCGsRwZTEc90IN0NJUS5OWVNFOklCTS5JUV9NSU5PUklUWV9JTlRFUkVTVC4xMDAwLjQvMS8yMDI1Li4uVVNELkgBAAAA3rYBAAIAAAACODYBCAAAAAUAAAABMQEAAAALLTE5NTgyODEwOTcDAAAAAzE2MAIAAAAEMTA1MgQAAAABMAcAAAAINC8xLzIwMjUIAAAACjEyLzMxLzIwMjQJAAAAATCSM4RkwXPdCPZx4pTEc90IN0NJUS5OWVNFOklCTS5JUV9NSU5PUklUWV9JTlRFUkVTVC4yMDAwLjQvMS8yMDI1Li4uVVNELkgBAAAA3rYBAAIAAAACODYBCAAAAAUAAAABMQEAAAALLTE5NTgyODA2MTUDAAAAAzE2MAIAAAAEMTA1MgQAAAABMAcAAAAINC8xLzIwMjUIAAAACjEyLzMxLzIwMjQJAAAAATCSM4RkwXPdCGsRwZTEc90IMUNJUS5OWVNFOklCTS5JUV9UT1RBTF9FUVVJVFkuOTkwLjQvMS8yMDI1Li4uVVNELkgBAAAA3rYB</t>
  </si>
  <si>
    <t>AAIAAAAFMTIwMTQBCAAAAAUAAAABMQEAAAAKMTgyOTkxMTk2OAMAAAADMTYwAgAAAAQxMjc1BAAAAAEwBwAAAAg0LzEvMjAyNQgAAAAKMTIvMzEvMjAxNAkAAAABMJIzhGTBc90I9nHilMRz3QgxQ0lRLk5ZU0U6SUJNLklRX1RPVEFMX0VRVUlUWS45OTEuNC8xLzIwMjUuLi5VU0QuSAEAAADetgEAAgAAAAUxNDQyNAEIAAAABQAAAAExAQAAAAoxODc2NDMyODcyAwAAAAMxNjACAAAABDEyNzUEAAAAATAHAAAACDQvMS8yMDI1CAAAAAoxMi8zMS8yMDE1CQAAAAEwkjOEZMFz3Qj2ceKUxHPdCDZDSVEuTllTRTpJQk0uSVFfTUlOT1JJVFlfSU5URVJFU1QuOTk0LjQvMS8yMDI1Li4uVVNELkgBAAAA3rYBAAIAAAADMTM0AQgAAAAFAAAAATEBAAAACjIwODE1MDU0MDEDAAAAAzE2MAIAAAAEMTA1MgQAAAABMAcAAAAINC8xLzIwMjUIAAAACjEyLzMxLzIwMTgJAAAAATCSM4RkwXPdCPZx4pTEc90INkNJUS5OWVNFOklCTS5JUV9NSU5PUklUWV9JTlRFUkVTVC45OTUuNC8xLzIwMjUuLi5VU0QuSAEAAADetgEAAgAAAAMxNDQBCAAAAAUAAAABMQEAAAALLTIxMTA3NjkzNTUDAAAAAzE2MAIAAAAEMTA1MgQAAAABMAcAAAAINC8xLzIwMjUIAAAACjEyLzMxLzIwMTkJAAAAATCSM4RkwXPdCPZx4pTEc90INkNJUS5OWVNFOklCTS5JUV9NSU5PUklUWV9JTlRFUkVTVC45OTYuNC8xLzIwMjUuLi5VU0QuSAEAAADetgEA</t>
  </si>
  <si>
    <t>AgAAAAMxMjkBCAAAAAUAAAABMQEAAAALLTIwNTkwNzMyMDIDAAAAAzE2MAIAAAAEMTA1MgQAAAABMAcAAAAINC8xLzIwMjUIAAAACjEyLzMxLzIwMjAJAAAAATCSM4RkwXPdCPZx4pTEc90INkNJUS5OWVNFOklCTS5JUV9NSU5PUklUWV9JTlRFUkVTVC45OTcuNC8xLzIwMjUuLi5VU0QuSAEAAADetgEAAgAAAAI5NQEIAAAABQAAAAExAQAAAAstMjAwODY0NzE5OAMAAAADMTYwAgAAAAQxMDUyBAAAAAEwBwAAAAg0LzEvMjAyNQgAAAAKMTIvMzEvMjAyMQkAAAABMJIzhGTBc90I9nHilMRz3Qg2Q0lRLk5ZU0U6SUJNLklRX01JTk9SSVRZX0lOVEVSRVNULjk5OC40LzEvMjAyNS4uLlVTRC5IAQAAAN62AQACAAAAAjc3AQgAAAAFAAAAATEBAAAACy0xOTU4MjgxMDk2AwAAAAMxNjACAAAABDEwNTIEAAAAATAHAAAACDQvMS8yMDI1CAAAAAoxMi8zMS8yMDIyCQAAAAEwkjOEZMFz3Qj2ceKUxHPdCDlDSVEuTllTRTpJQk0uSVFfVE9UQUxfQ09NTU9OX0VRVUlUWS4yMDAwLjQvMS8yMDI1Li4uVVNELkgBAAAA3rYBAAIAAAAFMjczMDcBCAAAAAUAAAABMQEAAAALLTE5NTgyODA2MTUDAAAAAzE2MAIAAAAEMTAwNgQAAAABMAcAAAAINC8xLzIwMjUIAAAACjEyLzMxLzIwMjQJAAAAATCSM4RkwXPdCGsRwZTEc90INkNJUS5OWVNFOklCTS5JUV9NSU5PUklUWV9JTlRFUkVTVC45OTAuNC8xLzIwMjUuLi5VU0QuSAEA</t>
  </si>
  <si>
    <t>AADetgEAAgAAAAMxNDYBCAAAAAUAAAABMQEAAAAKMTgyOTkxMTk2OAMAAAADMTYwAgAAAAQxMDUyBAAAAAEwBwAAAAg0LzEvMjAyNQgAAAAKMTIvMzEvMjAxNAkAAAABMJIzhGTBc90I9nHilMRz3Qg2Q0lRLk5ZU0U6SUJNLklRX01JTk9SSVRZX0lOVEVSRVNULjk5MS40LzEvMjAyNS4uLlVTRC5IAQAAAN62AQACAAAAAzE2MgEIAAAABQAAAAExAQAAAAoxODc2NDMyODcyAwAAAAMxNjACAAAABDEwNTIEAAAAATAHAAAACDQvMS8yMDI1CAAAAAoxMi8zMS8yMDE1CQAAAAEwkjOEZMFz3Qj2ceKUxHPdCDZDSVEuTllTRTpJQk0uSVFfTUlOT1JJVFlfSU5URVJFU1QuOTkyLjQvMS8yMDI1Li4uVVNELkgBAAAA3rYBAAIAAAADMTQ2AQgAAAAFAAAAATEBAAAACjE5NDcxNzk1ODMDAAAAAzE2MAIAAAAEMTA1MgQAAAABMAcAAAAINC8xLzIwMjUIAAAACjEyLzMxLzIwMTYJAAAAATCSM4RkwXPdCPZx4pTEc90INkNJUS5OWVNFOklCTS5JUV9NSU5PUklUWV9JTlRFUkVTVC45OTMuNC8xLzIwMjUuLi5VU0QuSAEAAADetgEAAgAAAAMxMzEBCAAAAAUAAAABMQEAAAAKMjAxNzE2NDI0NAMAAAADMTYwAgAAAAQxMDUyBAAAAAEwBwAAAAg0LzEvMjAyNQgAAAAKMTIvMzEvMjAxNwkAAAABMJIzhGTBc90I9nHilMRz3Qg4Q0lRLk5ZU0U6SUJNLklRX1RPVEFMX0NPTU1PTl9FUVVJVFkuOTk2LjQvMS8yMDI1Li4uVVNELkgB</t>
  </si>
  <si>
    <t>AAAA3rYBAAIAAAAFMjA1OTcBCAAAAAUAAAABMQEAAAALLTIwNTkwNzMyMDIDAAAAAzE2MAIAAAAEMTAwNgQAAAABMAcAAAAINC8xLzIwMjUIAAAACjEyLzMxLzIwMjAJAAAAATCSM4RkwXPdCPZx4pTEc90IOENJUS5OWVNFOklCTS5JUV9UT1RBTF9DT01NT05fRVFVSVRZLjk5Ny40LzEvMjAyNS4uLlVTRC5IAQAAAN62AQACAAAABTE4OTAxAQgAAAAFAAAAATEBAAAACy0yMDA4NjQ3MTk4AwAAAAMxNjACAAAABDEwMDYEAAAAATAHAAAACDQvMS8yMDI1CAAAAAoxMi8zMS8yMDIxCQAAAAEwkjOEZMFz3Qj2ceKUxHPdCDhDSVEuTllTRTpJQk0uSVFfVE9UQUxfQ09NTU9OX0VRVUlUWS45OTguNC8xLzIwMjUuLi5VU0QuSAEAAADetgEAAgAAAAUyMTk0NAEIAAAABQAAAAExAQAAAAstMTk1ODI4MTA5NgMAAAADMTYwAgAAAAQxMDA2BAAAAAEwBwAAAAg0LzEvMjAyNQgAAAAKMTIvMzEvMjAyMgkAAAABMJIzhGTBc90I9nHilMRz3Qg4Q0lRLk5ZU0U6SUJNLklRX1RPVEFMX0NPTU1PTl9FUVVJVFkuOTk5LjQvMS8yMDI1Li4uVVNELkgBAAAA3rYBAAIAAAAFMjI1MzMBCAAAAAUAAAABMQEAAAALLTE5NTgyODEwOTUDAAAAAzE2MAIAAAAEMTAwNgQAAAABMAcAAAAINC8xLzIwMjUIAAAACjEyLzMxLzIwMjMJAAAAATCSM4RkwXPdCGsRwZTEc90IOUNJUS5OWVNFOklCTS5JUV9UT1RBTF9DT01NT05fRVFVSVRZLjEw</t>
  </si>
  <si>
    <t>MDAuNC8xLzIwMjUuLi5VU0QuSAEAAADetgEAAgAAAAUyNzMwNwEIAAAABQAAAAExAQAAAAstMTk1ODI4MTA5NwMAAAADMTYwAgAAAAQxMDA2BAAAAAEwBwAAAAg0LzEvMjAyNQgAAAAKMTIvMzEvMjAyNAkAAAABMJIzhGTBc90I9nHilMRz3Qg4Q0lRLk5ZU0U6SUJNLklRX1RPVEFMX0NPTU1PTl9FUVVJVFkuOTkxLjQvMS8yMDI1Li4uVVNELkgBAAAA3rYBAAIAAAAFMTQyNjIBCAAAAAUAAAABMQEAAAAKMTg3NjQzMjg3MgMAAAADMTYwAgAAAAQxMDA2BAAAAAEwBwAAAAg0LzEvMjAyNQgAAAAKMTIvMzEvMjAxNQkAAAABMJIzhGTBc90I9nHilMRz3Qg4Q0lRLk5ZU0U6SUJNLklRX1RPVEFMX0NPTU1PTl9FUVVJVFkuOTkyLjQvMS8yMDI1Li4uVVNELkgBAAAA3rYBAAIAAAAFMTgyNDYBCAAAAAUAAAABMQEAAAAKMTk0NzE3OTU4MwMAAAADMTYwAgAAAAQxMDA2BAAAAAEwBwAAAAg0LzEvMjAyNQgAAAAKMTIvMzEvMjAxNgkAAAABMJIzhGTBc90I9nHilMRz3Qg4Q0lRLk5ZU0U6SUJNLklRX1RPVEFMX0NPTU1PTl9FUVVJVFkuOTkzLjQvMS8yMDI1Li4uVVNELkgBAAAA3rYBAAIAAAAFMTc1OTQBCAAAAAUAAAABMQEAAAAKMjAxNzE2NDI0NAMAAAADMTYwAgAAAAQxMDA2BAAAAAEwBwAAAAg0LzEvMjAyNQgAAAAKMTIvMzEvMjAxNwkAAAABMJIzhGTBc90I9nHilMRz3Qg4Q0lRLk5ZU0U6SUJNLklRX1RPVEFM</t>
  </si>
  <si>
    <t>X0NPTU1PTl9FUVVJVFkuOTk0LjQvMS8yMDI1Li4uVVNELkgBAAAA3rYBAAIAAAAFMTY3OTYBCAAAAAUAAAABMQEAAAAKMjA4MTUwNTQwMQMAAAADMTYwAgAAAAQxMDA2BAAAAAEwBwAAAAg0LzEvMjAyNQgAAAAKMTIvMzEvMjAxOAkAAAABMJIzhGTBc90I9nHilMRz3Qg4Q0lRLk5ZU0U6SUJNLklRX1RPVEFMX0NPTU1PTl9FUVVJVFkuOTk1LjQvMS8yMDI1Li4uVVNELkgBAAAA3rYBAAIAAAAFMjA4NDEBCAAAAAUAAAABMQEAAAALLTIxMTA3NjkzNTUDAAAAAzE2MAIAAAAEMTAwNgQAAAABMAcAAAAINC8xLzIwMjUIAAAACjEyLzMxLzIwMTkJAAAAATCSM4RkwXPdCPZx4pTEc90IMUNJUS5OWVNFOklCTS5JUV9PVEhFUl9FUVVJVFkuOTk4LjQvMS8yMDI1Li4uVVNELkgBAAAA3rYBAAIAAAAGLTE2NzQwAQgAAAAFAAAAATEBAAAACy0xOTU4MjgxMDk2AwAAAAMxNjACAAAABDEwMjgEAAAAATAHAAAACDQvMS8yMDI1CAAAAAoxMi8zMS8yMDIyCQAAAAEwkjOEZMFz3Qj2ceKUxHPdCDFDSVEuTllTRTpJQk0uSVFfT1RIRVJfRVFVSVRZLjk5OS40LzEvMjAyNS4uLlVTRC5IAQAAAN62AQACAAAABi0xODc2MgEIAAAABQAAAAExAQAAAAstMTk1ODI4MTA5NQMAAAADMTYwAgAAAAQxMDI4BAAAAAEwBwAAAAg0LzEvMjAyNQgAAAAKMTIvMzEvMjAyMwkAAAABMJIzhGTBc90Iu1/BlMRz3QgyQ0lRLk5ZU0U6SUJNLklR</t>
  </si>
  <si>
    <t>X09USEVSX0VRVUlUWS4xMDAwLjQvMS8yMDI1Li4uVVNELkgBAAAA3rYBAAIAAAAGLTE1MjY4AQgAAAAFAAAAATEBAAAACy0xOTU4MjgxMDk3AwAAAAMxNjACAAAABDEwMjgEAAAAATAHAAAACDQvMS8yMDI1CAAAAAoxMi8zMS8yMDI0CQAAAAEwkjOEZMFz3Qj2ceKUxHPdCDJDSVEuTllTRTpJQk0uSVFfT1RIRVJfRVFVSVRZLjIwMDAuNC8xLzIwMjUuLi5VU0QuSAEAAADetgEAAgAAAAYtMTUyNjgBCAAAAAUAAAABMQEAAAALLTE5NTgyODA2MTUDAAAAAzE2MAIAAAAEMTAyOAQAAAABMAcAAAAINC8xLzIwMjUIAAAACjEyLzMxLzIwMjQJAAAAATCSM4RkwXPdCGsRwZTEc90IOENJUS5OWVNFOklCTS5JUV9UT1RBTF9DT01NT05fRVFVSVRZLjk5MC40LzEvMjAyNS4uLlVTRC5IAQAAAN62AQACAAAABTExODY4AQgAAAAFAAAAATEBAAAACjE4Mjk5MTE5NjgDAAAAAzE2MAIAAAAEMTAwNgQAAAABMAcAAAAINC8xLzIwMjUIAAAACjEyLzMxLzIwMTQJAAAAATCSM4RkwXPdCPZx4pTEc90IMUNJUS5OWVNFOklCTS5JUV9PVEhFUl9FUVVJVFkuOTkzLjQvMS8yMDI1Li4uVVNELkgBAAAA3rYBAAIAAAAGLTI2NTkxAQgAAAAFAAAAATEBAAAACjIwMTcxNjQyNDQDAAAAAzE2MAIAAAAEMTAyOAQAAAABMAcAAAAINC8xLzIwMjUIAAAACjEyLzMxLzIwMTcJAAAAATCSM4RkwXPdCPZx4pTEc90IMUNJUS5OWVNFOklCTS5J</t>
  </si>
  <si>
    <t>UV9PVEhFUl9FUVVJVFkuOTk0LjQvMS8yMDI1Li4uVVNELkgBAAAA3rYBAAIAAAAGLTI5NDkwAQgAAAAFAAAAATEBAAAACjIwODE1MDU0MDEDAAAAAzE2MAIAAAAEMTAyOAQAAAABMAcAAAAINC8xLzIwMjUIAAAACjEyLzMxLzIwMTgJAAAAATCSM4RkwXPdCPZx4pTEc90IMUNJUS5OWVNFOklCTS5JUV9PVEhFUl9FUVVJVFkuOTk1LjQvMS8yMDI1Li4uVVNELkgBAAAA3rYBAAIAAAAGLTI4NTk1AQgAAAAFAAAAATEBAAAACy0yMTEwNzY5MzU1AwAAAAMxNjACAAAABDEwMjgEAAAAATAHAAAACDQvMS8yMDI1CAAAAAoxMi8zMS8yMDE5CQAAAAEwkjOEZMFz3Qj2ceKUxHPdCDFDSVEuTllTRTpJQk0uSVFfT1RIRVJfRVFVSVRZLjk5Ni40LzEvMjAyNS4uLlVTRC5IAQAAAN62AQACAAAABi0yOTMzNwEIAAAABQAAAAExAQAAAAstMjA1OTA3MzIwMgMAAAADMTYwAgAAAAQxMDI4BAAAAAEwBwAAAAg0LzEvMjAyNQgAAAAKMTIvMzEvMjAyMAkAAAABMJIzhGTBc90I9nHilMRz3QgxQ0lRLk5ZU0U6SUJNLklRX09USEVSX0VRVUlUWS45OTcuNC8xLzIwMjUuLi5VU0QuSAEAAADetgEAAgAAAAYtMjMyMzUBCAAAAAUAAAABMQEAAAALLTIwMDg2NDcxOTgDAAAAAzE2MAIAAAAEMTAyOAQAAAABMAcAAAAINC8xLzIwMjUIAAAACjEyLzMxLzIwMjEJAAAAATCSM4RkwXPdCPZx4pTEc90ILkNJUS5OWVNFOklCTS5JUV9UUkVB</t>
  </si>
  <si>
    <t>U1VSWS4xMDAwLjQvMS8yMDI1Li4uVVNELkgBAAAA3rYBAAIAAAAHLTE2OTk2OAEIAAAABQAAAAExAQAAAAstMTk1ODI4MTA5NwMAAAADMTYwAgAAAAQxMjQ4BAAAAAEwBwAAAAg0LzEvMjAyNQgAAAAKMTIvMzEvMjAyNAkAAAABMJIzhGTBc90I9nHilMRz3QguQ0lRLk5ZU0U6SUJNLklRX1RSRUFTVVJZLjIwMDAuNC8xLzIwMjUuLi5VU0QuSAEAAADetgEAAgAAAActMTY5OTY4AQgAAAAFAAAAATEBAAAACy0xOTU4MjgwNjE1AwAAAAMxNjACAAAABDEyNDgEAAAAATAHAAAACDQvMS8yMDI1CAAAAAoxMi8zMS8yMDI0CQAAAAEwkjOEZMFz3QhrEcGUxHPdCDFDSVEuTllTRTpJQk0uSVFfT1RIRVJfRVFVSVRZLjk5MC40LzEvMjAyNS4uLlVTRC5IAQAAAN62AQACAAAABi0yNzg3NgEIAAAABQAAAAExAQAAAAoxODI5OTExOTY4AwAAAAMxNjACAAAABDEwMjgEAAAAATAHAAAACDQvMS8yMDI1CAAAAAoxMi8zMS8yMDE0CQAAAAEwkjOEZMFz3Qj2ceKUxHPdCDFDSVEuTllTRTpJQk0uSVFfT1RIRVJfRVFVSVRZLjk5MS40LzEvMjAyNS4uLlVTRC5IAQAAAN62AQACAAAABi0yOTYwNgEIAAAABQAAAAExAQAAAAoxODc2NDMyODcyAwAAAAMxNjACAAAABDEwMjgEAAAAATAHAAAACDQvMS8yMDI1CAAAAAoxMi8zMS8yMDE1CQAAAAEwkjOEZMFz3Qi/LeKUxHPdCDFDSVEuTllTRTpJQk0uSVFfT1RIRVJfRVFVSVRZLjk5</t>
  </si>
  <si>
    <t>Mi40LzEvMjAyNS4uLlVTRC5IAQAAAN62AQACAAAABi0yOTM5OAEIAAAABQAAAAExAQAAAAoxOTQ3MTc5NTgzAwAAAAMxNjACAAAABDEwMjgEAAAAATAHAAAACDQvMS8yMDI1CAAAAAoxMi8zMS8yMDE2CQAAAAEwkjOEZMFz3Qi/LeKUxHPdCC1DSVEuTllTRTpJQk0uSVFfVFJFQVNVUlkuOTk1LjQvMS8yMDI1Li4uVVNELkgBAAAA3rYBAAIAAAAHLTE2OTQxMwEIAAAABQAAAAExAQAAAAstMjExMDc2OTM1NQMAAAADMTYwAgAAAAQxMjQ4BAAAAAEwBwAAAAg0LzEvMjAyNQgAAAAKMTIvMzEvMjAxOQkAAAABMJIzhGTBc90Ivy3ilMRz3QgtQ0lRLk5ZU0U6SUJNLklRX1RSRUFTVVJZLjk5Ni40LzEvMjAyNS4uLlVTRC5IAQAAAN62AQACAAAABy0xNjkzMzkBCAAAAAUAAAABMQEAAAALLTIwNTkwNzMyMDIDAAAAAzE2MAIAAAAEMTI0OAQAAAABMAcAAAAINC8xLzIwMjUIAAAACjEyLzMxLzIwMjAJAAAAATCSM4RkwXPdCPZx4pTEc90ILUNJUS5OWVNFOklCTS5JUV9UUkVBU1VSWS45OTcuNC8xLzIwMjUuLi5VU0QuSAEAAADetgEAAgAAAActMTY5MzkyAQgAAAAFAAAAATEBAAAACy0yMDA4NjQ3MTk4AwAAAAMxNjACAAAABDEyNDgEAAAAATAHAAAACDQvMS8yMDI1CAAAAAoxMi8zMS8yMDIxCQAAAAEwkjOEZMFz3Qj2ceKUxHPdCC1DSVEuTllTRTpJQk0uSVFfVFJFQVNVUlkuOTk4LjQvMS8yMDI1Li4uVVNELkgB</t>
  </si>
  <si>
    <t>AAAA3rYBAAIAAAAHLTE2OTQ4NAEIAAAABQAAAAExAQAAAAstMTk1ODI4MTA5NgMAAAADMTYwAgAAAAQxMjQ4BAAAAAEwBwAAAAg0LzEvMjAyNQgAAAAKMTIvMzEvMjAyMgkAAAABMJIzhGTBc90I9nHilMRz3QgtQ0lRLk5ZU0U6SUJNLklRX1RSRUFTVVJZLjk5OS40LzEvMjAyNS4uLlVTRC5IAQAAAN62AQACAAAABy0xNjk2MjQBCAAAAAUAAAABMQEAAAALLTE5NTgyODEwOTUDAAAAAzE2MAIAAAAEMTI0OAQAAAABMAcAAAAINC8xLzIwMjUIAAAACjEyLzMxLzIwMjMJAAAAATCSM4RkwXPdCLtfwZTEc90ILUNJUS5OWVNFOklCTS5JUV9UUkVBU1VSWS45OTAuNC8xLzIwMjUuLi5VU0QuSAEAAADetgEAAgAAAActMTUwNzE1AQgAAAAFAAAAATEBAAAACjE4Mjk5MTE5NjgDAAAAAzE2MAIAAAAEMTI0OAQAAAABMAcAAAAINC8xLzIwMjUIAAAACjEyLzMxLzIwMTQJAAAAATCSM4RkwXPdCL8t4pTEc90ILUNJUS5OWVNFOklCTS5JUV9UUkVBU1VSWS45OTEuNC8xLzIwMjUuLi5VU0QuSAEAAADetgEAAgAAAActMTU1NTE4AQgAAAAFAAAAATEBAAAACjE4NzY0MzI4NzIDAAAAAzE2MAIAAAAEMTI0OAQAAAABMAcAAAAINC8xLzIwMjUIAAAACjEyLzMxLzIwMTUJAAAAATCSM4RkwXPdCL8t4pTEc90ILUNJUS5OWVNFOklCTS5JUV9UUkVBU1VSWS45OTIuNC8xLzIwMjUuLi5VU0QuSAEAAADetgEAAgAAAActMTU5MDUw</t>
  </si>
  <si>
    <t>AQgAAAAFAAAAATEBAAAACjE5NDcxNzk1ODMDAAAAAzE2MAIAAAAEMTI0OAQAAAABMAcAAAAINC8xLzIwMjUIAAAACjEyLzMxLzIwMTYJAAAAATCSM4RkwXPdCL8t4pTEc90ILUNJUS5OWVNFOklCTS5JUV9UUkVBU1VSWS45OTMuNC8xLzIwMjUuLi5VU0QuSAEAAADetgEAAgAAAActMTYzNTA3AQgAAAAFAAAAATEBAAAACjIwMTcxNjQyNDQDAAAAAzE2MAIAAAAEMTI0OAQAAAABMAcAAAAINC8xLzIwMjUIAAAACjEyLzMxLzIwMTcJAAAAATCSM4RkwXPdCL8t4pTEc90ILUNJUS5OWVNFOklCTS5JUV9UUkVBU1VSWS45OTQuNC8xLzIwMjUuLi5VU0QuSAEAAADetgEAAgAAAActMTY4MDcxAQgAAAAFAAAAATEBAAAACjIwODE1MDU0MDEDAAAAAzE2MAIAAAAEMTI0OAQAAAABMAcAAAAINC8xLzIwMjUIAAAACjEyLzMxLzIwMTgJAAAAATCSM4RkwXPdCL8t4pTEc90IJ0NJUS5OWVNFOklCTS5JUV9SRS45OTcuNC8xLzIwMjUuLi5VU0QuSAEAAADetgEAAgAAAAYxNTQyMDkBCAAAAAUAAAABMQEAAAALLTIwMDg2NDcxOTgDAAAAAzE2MAIAAAAEMTIyMgQAAAABMAcAAAAINC8xLzIwMjUIAAAACjEyLzMxLzIwMjEJAAAAATCSM4RkwXPdCL8t4pTEc90IJ0NJUS5OWVNFOklCTS5JUV9SRS45OTguNC8xLzIwMjUuLi5VU0QuSAEAAADetgEAAgAAAAYxNDk4MjUBCAAAAAUAAAABMQEAAAALLTE5NTgyODEwOTYDAAAAAzE2</t>
  </si>
  <si>
    <t>MAIAAAAEMTIyMgQAAAABMAcAAAAINC8xLzIwMjUIAAAACjEyLzMxLzIwMjIJAAAAATCSM4RkwXPdCL8t4pTEc90IJ0NJUS5OWVNFOklCTS5JUV9SRS45OTkuNC8xLzIwMjUuLi5VU0QuSAEAAADetgEAAgAAAAYxNTEyNzYBCAAAAAUAAAABMQEAAAALLTE5NTgyODEwOTUDAAAAAzE2MAIAAAAEMTIyMgQAAAABMAcAAAAINC8xLzIwMjUIAAAACjEyLzMxLzIwMjMJAAAAATCSM4RkwXPdCLtfwZTEc90IKENJUS5OWVNFOklCTS5JUV9SRS4xMDAwLjQvMS8yMDI1Li4uVVNELkgBAAAA3rYBAAIAAAAGMTUxMTYzAQgAAAAFAAAAATEBAAAACy0xOTU4MjgxMDk3AwAAAAMxNjACAAAABDEyMjIEAAAAATAHAAAACDQvMS8yMDI1CAAAAAoxMi8zMS8yMDI0CQAAAAEwkjOEZMFz3Qi/LeKUxHPdCChDSVEuTllTRTpJQk0uSVFfUkUuMjAwMC40LzEvMjAyNS4uLlVTRC5IAQAAAN62AQACAAAABjE1MTE2MwEIAAAABQAAAAExAQAAAAstMTk1ODI4MDYxNQMAAAADMTYwAgAAAAQxMjIyBAAAAAEwBwAAAAg0LzEvMjAyNQgAAAAKMTIvMzEvMjAyNAkAAAABMJIzhGTBc90IaxHBlMRz3QgnQ0lRLk5ZU0U6SUJNLklRX1JFLjk5Mi40LzEvMjAyNS4uLlVTRC5IAQAAAN62AQACAAAABjE1Mjc1OQEIAAAABQAAAAExAQAAAAoxOTQ3MTc5NTgzAwAAAAMxNjACAAAABDEyMjIEAAAAATAHAAAACDQvMS8yMDI1CAAAAAoxMi8zMS8yMDE2</t>
  </si>
  <si>
    <t>CQAAAAEwkjOEZMFz3Qi/LeKUxHPdCCdDSVEuTllTRTpJQk0uSVFfUkUuOTkzLjQvMS8yMDI1Li4uVVNELkgBAAAA3rYBAAIAAAAGMTUzMTI2AQgAAAAFAAAAATEBAAAACjIwMTcxNjQyNDQDAAAAAzE2MAIAAAAEMTIyMgQAAAABMAcAAAAINC8xLzIwMjUIAAAACjEyLzMxLzIwMTcJAAAAATCSM4RkwXPdCL8t4pTEc90IJ0NJUS5OWVNFOklCTS5JUV9SRS45OTQuNC8xLzIwMjUuLi5VU0QuSAEAAADetgEAAgAAAAYxNTkyMDYBCAAAAAUAAAABMQEAAAAKMjA4MTUwNTQwMQMAAAADMTYwAgAAAAQxMjIyBAAAAAEwBwAAAAg0LzEvMjAyNQgAAAAKMTIvMzEvMjAxOAkAAAABMJIzhGTBc90Ivy3ilMRz3QgnQ0lRLk5ZU0U6SUJNLklRX1JFLjk5NS40LzEvMjAyNS4uLlVTRC5IAQAAAN62AQACAAAABjE2Mjk1NAEIAAAABQAAAAExAQAAAAstMjExMDc2OTM1NQMAAAADMTYwAgAAAAQxMjIyBAAAAAEwBwAAAAg0LzEvMjAyNQgAAAAKMTIvMzEvMjAxOQkAAAABMJIzhGTBc90Ivy3ilMRz3QgnQ0lRLk5ZU0U6SUJNLklRX1JFLjk5Ni40LzEvMjAyNS4uLlVTRC5IAQAAAN62AQACAAAABjE2MjcxNwEIAAAABQAAAAExAQAAAAstMjA1OTA3MzIwMgMAAAADMTYwAgAAAAQxMjIyBAAAAAEwBwAAAAg0LzEvMjAyNQgAAAAKMTIvMzEvMjAyMAkAAAABMJIzhGTBc90Ivy3ilMRz3QgpQ0lRLk5ZU0U6SUJNLklRX0FQSUMuOTk5</t>
  </si>
  <si>
    <t>LjQvMS8yMDI1Li4uVVNELkgBAAAA3rYBAAMAAAAAAJIzhGTBc90Iu1/BlMRz3QgqQ0lRLk5ZU0U6SUJNLklRX0FQSUMuMTAwMC40LzEvMjAyNS4uLlVTRC5IAQAAAN62AQADAAAAAACSM4RkwXPdCL8t4pTEc90IKkNJUS5OWVNFOklCTS5JUV9BUElDLjIwMDAuNC8xLzIwMjUuLi5VU0QuSAEAAADetgEAAwAAAAAAkjOEZMFz3QhrEcGUxHPdCCdDSVEuTllTRTpJQk0uSVFfUkUuOTkwLjQvMS8yMDI1Li4uVVNELkgBAAAA3rYBAAIAAAAGMTM3NzkzAQgAAAAFAAAAATEBAAAACjE4Mjk5MTE5NjgDAAAAAzE2MAIAAAAEMTIyMgQAAAABMAcAAAAINC8xLzIwMjUIAAAACjEyLzMxLzIwMTQJAAAAATCSM4RkwXPdCL8t4pTEc90IJ0NJUS5OWVNFOklCTS5JUV9SRS45OTEuNC8xLzIwMjUuLi5VU0QuSAEAAADetgEAAgAAAAYxNDYxMjQBCAAAAAUAAAABMQEAAAAKMTg3NjQzMjg3MgMAAAADMTYwAgAAAAQxMjIyBAAAAAEwBwAAAAg0LzEvMjAyNQgAAAAKMTIvMzEvMjAxNQkAAAABMJIzhGTBc90Ivy3ilMRz3QgpQ0lRLk5ZU0U6SUJNLklRX0FQSUMuOTk0LjQvMS8yMDI1Li4uVVNELkgBAAAA3rYBAAMAAAAAAJIzhGTBc90Ivy3ilMRz3QgpQ0lRLk5ZU0U6SUJNLklRX0FQSUMuOTk1LjQvMS8yMDI1Li4uVVNELkgBAAAA3rYBAAMAAAAAAJIzhGTBc90Ivy3ilMRz3QgpQ0lRLk5ZU0U6SUJNLklRX0FQSUMuOTk2LjQv</t>
  </si>
  <si>
    <t>MS8yMDI1Li4uVVNELkgBAAAA3rYBAAMAAAAAAJIzhGTBc90Ivy3ilMRz3QgpQ0lRLk5ZU0U6SUJNLklRX0FQSUMuOTk3LjQvMS8yMDI1Li4uVVNELkgBAAAA3rYBAAMAAAAAAJIzhGTBc90Ivy3ilMRz3QgpQ0lRLk5ZU0U6SUJNLklRX0FQSUMuOTk4LjQvMS8yMDI1Li4uVVNELkgBAAAA3rYBAAMAAAAAAJIzhGTBc90Ivy3ilMRz3QgsQ0lRLk5ZU0U6SUJNLklRX0NPTU1PTi4yMDAwLjQvMS8yMDI1Li4uVVNELkgBAAAA3rYBAAIAAAAFNjEzODABCAAAAAUAAAABMQEAAAALLTE5NTgyODA2MTUDAAAAAzE2MAIAAAAEMTEwMwQAAAABMAcAAAAINC8xLzIwMjUIAAAACjEyLzMxLzIwMjQJAAAAATCSM4RkwXPdCGsRwZTEc90IKUNJUS5OWVNFOklCTS5JUV9BUElDLjk5MC40LzEvMjAyNS4uLlVTRC5IAQAAAN62AQADAAAAAACSM4RkwXPdCL8t4pTEc90IKUNJUS5OWVNFOklCTS5JUV9BUElDLjk5MS40LzEvMjAyNS4uLlVTRC5IAQAAAN62AQADAAAAAACSM4RkwXPdCL8t4pTEc90IKUNJUS5OWVNFOklCTS5JUV9BUElDLjk5Mi40LzEvMjAyNS4uLlVTRC5IAQAAAN62AQADAAAAAACSM4RkwXPdCL8t4pTEc90IKUNJUS5OWVNFOklCTS5JUV9BUElDLjk5My40LzEvMjAyNS4uLlVTRC5IAQAAAN62AQADAAAAAACSM4RkwXPdCL8t4pTEc90IK0NJUS5OWVNFOklCTS5JUV9DT01NT04uOTk2LjQvMS8yMDI1Li4uVVNE</t>
  </si>
  <si>
    <t>LkgBAAAA3rYBAAIAAAAFNTY1NTYBCAAAAAUAAAABMQEAAAALLTIwNTkwNzMyMDIDAAAAAzE2MAIAAAAEMTEwMwQAAAABMAcAAAAINC8xLzIwMjUIAAAACjEyLzMxLzIwMjAJAAAAATCSM4RkwXPdCL8t4pTEc90IK0NJUS5OWVNFOklCTS5JUV9DT01NT04uOTk3LjQvMS8yMDI1Li4uVVNELkgBAAAA3rYBAAIAAAAFNTczMTkBCAAAAAUAAAABMQEAAAALLTIwMDg2NDcxOTgDAAAAAzE2MAIAAAAEMTEwMwQAAAABMAcAAAAINC8xLzIwMjUIAAAACjEyLzMxLzIwMjEJAAAAATCSM4RkwXPdCL8t4pTEc90IK0NJUS5OWVNFOklCTS5JUV9DT01NT04uOTk4LjQvMS8yMDI1Li4uVVNELkgBAAAA3rYBAAIAAAAFNTgzNDMBCAAAAAUAAAABMQEAAAALLTE5NTgyODEwOTYDAAAAAzE2MAIAAAAEMTEwMwQAAAABMAcAAAAINC8xLzIwMjUIAAAACjEyLzMxLzIwMjIJAAAAATCSM4RkwXPdCL8t4pTEc90IK0NJUS5OWVNFOklCTS5JUV9DT01NT04uOTk5LjQvMS8yMDI1Li4uVVNELkgBAAAA3rYBAAIAAAAFNTk2NDMBCAAAAAUAAAABMQEAAAALLTE5NTgyODEwOTUDAAAAAzE2MAIAAAAEMTEwMwQAAAABMAcAAAAINC8xLzIwMjUIAAAACjEyLzMxLzIwMjMJAAAAATCSM4RkwXPdCLtfwZTEc90ILENJUS5OWVNFOklCTS5JUV9DT01NT04uMTAwMC40LzEvMjAyNS4uLlVTRC5IAQAAAN62AQACAAAABTYxMzgwAQgAAAAFAAAAATEB</t>
  </si>
  <si>
    <t>AAAACy0xOTU4MjgxMDk3AwAAAAMxNjACAAAABDExMDMEAAAAATAHAAAACDQvMS8yMDI1CAAAAAoxMi8zMS8yMDI0CQAAAAEwkjOEZMFz3Qi/LeKUxHPdCCtDSVEuTllTRTpJQk0uSVFfQ09NTU9OLjk5MS40LzEvMjAyNS4uLlVTRC5IAQAAAN62AQACAAAABTUzMjYyAQgAAAAFAAAAATEBAAAACjE4NzY0MzI4NzIDAAAAAzE2MAIAAAAEMTEwMwQAAAABMAcAAAAINC8xLzIwMjUIAAAACjEyLzMxLzIwMTUJAAAAATCSM4RkwXPdCHHf4ZTEc90IK0NJUS5OWVNFOklCTS5JUV9DT01NT04uOTkyLjQvMS8yMDI1Li4uVVNELkgBAAAA3rYBAAIAAAAFNTM5MzUBCAAAAAUAAAABMQEAAAAKMTk0NzE3OTU4MwMAAAADMTYwAgAAAAQxMTAzBAAAAAEwBwAAAAg0LzEvMjAyNQgAAAAKMTIvMzEvMjAxNgkAAAABMJIzhGTBc90Icd/hlMRz3QgrQ0lRLk5ZU0U6SUJNLklRX0NPTU1PTi45OTMuNC8xLzIwMjUuLi5VU0QuSAEAAADetgEAAgAAAAU1NDU2NgEIAAAABQAAAAExAQAAAAoyMDE3MTY0MjQ0AwAAAAMxNjACAAAABDExMDMEAAAAATAHAAAACDQvMS8yMDI1CAAAAAoxMi8zMS8yMDE3CQAAAAEwkjOEZMFz3Qhx3+GUxHPdCCtDSVEuTllTRTpJQk0uSVFfQ09NTU9OLjk5NC40LzEvMjAyNS4uLlVTRC5IAQAAAN62AQACAAAABTU1MTUxAQgAAAAFAAAAATEBAAAACjIwODE1MDU0MDEDAAAAAzE2MAIAAAAEMTEwMwQAAAAB</t>
  </si>
  <si>
    <t>MAcAAAAINC8xLzIwMjUIAAAACjEyLzMxLzIwMTgJAAAAATCSM4RkwXPdCHHf4ZTEc90IK0NJUS5OWVNFOklCTS5JUV9DT01NT04uOTk1LjQvMS8yMDI1Li4uVVNELkgBAAAA3rYBAAIAAAAFNTU4OTUBCAAAAAUAAAABMQEAAAALLTIxMTA3NjkzNTUDAAAAAzE2MAIAAAAEMTEwMwQAAAABMAcAAAAINC8xLzIwMjUIAAAACjEyLzMxLzIwMTkJAAAAATCSM4RkwXPdCHHf4ZTEc90IMENJUS5OWVNFOklCTS5JUV9QUkVGX0VRVUlUWS45OTguNC8xLzIwMjUuLi5VU0QuSAEAAADetgEAAwAAAAAAkjOEZMFz3Qhx3+GUxHPdCDBDSVEuTllTRTpJQk0uSVFfUFJFRl9FUVVJVFkuOTk5LjQvMS8yMDI1Li4uVVNELkgBAAAA3rYBAAMAAAAAAJIzhGTBc90Iu1/BlMRz3QgxQ0lRLk5ZU0U6SUJNLklRX1BSRUZfRVFVSVRZLjEwMDAuNC8xLzIwMjUuLi5VU0QuSAEAAADetgEAAwAAAAAAkjOEZMFz3Qhx3+GUxHPdCDFDSVEuTllTRTpJQk0uSVFfUFJFRl9FUVVJVFkuMjAwMC40LzEvMjAyNS4uLlVTRC5IAQAAAN62AQADAAAAAACSM4RkwXPdCGsRwZTEc90IK0NJUS5OWVNFOklCTS5JUV9DT01NT04uOTkwLjQvMS8yMDI1Li4uVVNELkgBAAAA3rYBAAIAAAAFNTI2NjYBCAAAAAUAAAABMQEAAAAKMTgyOTkxMTk2OAMAAAADMTYwAgAAAAQxMTAzBAAAAAEwBwAAAAg0LzEvMjAyNQgAAAAKMTIvMzEvMjAxNAkAAAABMJIzhGTB</t>
  </si>
  <si>
    <t>c90Icd/hlMRz3QgwQ0lRLk5ZU0U6SUJNLklRX1BSRUZfRVFVSVRZLjk5My40LzEvMjAyNS4uLlVTRC5IAQAAAN62AQADAAAAAACSM4RkwXPdCHHf4ZTEc90IMENJUS5OWVNFOklCTS5JUV9QUkVGX0VRVUlUWS45OTQuNC8xLzIwMjUuLi5VU0QuSAEAAADetgEAAwAAAAAAkjOEZMFz3Qhx3+GUxHPdCDBDSVEuTllTRTpJQk0uSVFfUFJFRl9FUVVJVFkuOTk1LjQvMS8yMDI1Li4uVVNELkgBAAAA3rYBAAMAAAAAAJIzhGTBc90Icd/hlMRz3QgwQ0lRLk5ZU0U6SUJNLklRX1BSRUZfRVFVSVRZLjk5Ni40LzEvMjAyNS4uLlVTRC5IAQAAAN62AQADAAAAAACSM4RkwXPdCHHf4ZTEc90IMENJUS5OWVNFOklCTS5JUV9QUkVGX0VRVUlUWS45OTcuNC8xLzIwMjUuLi5VU0QuSAEAAADetgEAAwAAAAAAkjOEZMFz3Qhx3+GUxHPdCDBDSVEuTllTRTpJQk0uSVFfUFJFRl9PVEhFUi4xMDAwLjQvMS8yMDI1Li4uVVNELkgBAAAA3rYBAAMAAAAAAJIzhGTBc90Icd/hlMRz3QgwQ0lRLk5ZU0U6SUJNLklRX1BSRUZfT1RIRVIuMjAwMC40LzEvMjAyNS4uLlVTRC5IAQAAAN62AQADAAAAAACSM4RkwXPdCGsRwZTEc90IMENJUS5OWVNFOklCTS5JUV9QUkVGX0VRVUlUWS45OTAuNC8xLzIwMjUuLi5VU0QuSAEAAADetgEAAwAAAAAAkjOEZMFz3Qhx3+GUxHPdCDBDSVEuTllTRTpJQk0uSVFfUFJFRl9FUVVJVFkuOTkxLjQvMS8y</t>
  </si>
  <si>
    <t>MDI1Li4uVVNELkgBAAAA3rYBAAMAAAAAAJIzhGTBc90Icd/hlMRz3QgwQ0lRLk5ZU0U6SUJNLklRX1BSRUZfRVFVSVRZLjk5Mi40LzEvMjAyNS4uLlVTRC5IAQAAAN62AQADAAAAAACSM4RkwXPdCHHf4ZTEc90IL0NJUS5OWVNFOklCTS5JUV9QUkVGX09USEVSLjk5NS40LzEvMjAyNS4uLlVTRC5IAQAAAN62AQADAAAAAACSM4RkwXPdCHHf4ZTEc90IL0NJUS5OWVNFOklCTS5JUV9QUkVGX09USEVSLjk5Ni40LzEvMjAyNS4uLlVTRC5IAQAAAN62AQADAAAAAACSM4RkwXPdCHHf4ZTEc90IL0NJUS5OWVNFOklCTS5JUV9QUkVGX09USEVSLjk5Ny40LzEvMjAyNS4uLlVTRC5IAQAAAN62AQADAAAAAACSM4RkwXPdCHHf4ZTEc90IL0NJUS5OWVNFOklCTS5JUV9QUkVGX09USEVSLjk5OC40LzEvMjAyNS4uLlVTRC5IAQAAAN62AQADAAAAAACSM4RkwXPdCHHf4ZTEc90IL0NJUS5OWVNFOklCTS5JUV9QUkVGX09USEVSLjk5OS40LzEvMjAyNS4uLlVTRC5IAQAAAN62AQADAAAAAACSM4RkwXPdCLtfwZTEc90IL0NJUS5OWVNFOklCTS5JUV9QUkVGX09USEVSLjk5MC40LzEvMjAyNS4uLlVTRC5IAQAAAN62AQADAAAAAACSM4RkwXPdCHHf4ZTEc90IL0NJUS5OWVNFOklCTS5JUV9QUkVGX09USEVSLjk5MS40LzEvMjAyNS4uLlVTRC5IAQAAAN62AQADAAAAAACSM4RkwXPdCHHf4ZTEc90IL0NJUS5OWVNFOklCTS5J</t>
  </si>
  <si>
    <t>UV9QUkVGX09USEVSLjk5Mi40LzEvMjAyNS4uLlVTRC5IAQAAAN62AQADAAAAAACSM4RkwXPdCHHf4ZTEc90IL0NJUS5OWVNFOklCTS5JUV9QUkVGX09USEVSLjk5My40LzEvMjAyNS4uLlVTRC5IAQAAAN62AQADAAAAAACSM4RkwXPdCHHf4ZTEc90IL0NJUS5OWVNFOklCTS5JUV9QUkVGX09USEVSLjk5NC40LzEvMjAyNS4uLlVTRC5IAQAAAN62AQADAAAAAACSM4RkwXPdCHHf4ZTEc90IMUNJUS5OWVNFOklCTS5JUV9QUkVGX0NPTlZFUlQuOTk3LjQvMS8yMDI1Li4uVVNELkgBAAAA3rYBAAMAAAAAAJIzhGTBc90Icd/hlMRz3QgxQ0lRLk5ZU0U6SUJNLklRX1BSRUZfQ09OVkVSVC45OTguNC8xLzIwMjUuLi5VU0QuSAEAAADetgEAAwAAAAAAkjOEZMFz3Qhx3+GUxHPdCDFDSVEuTllTRTpJQk0uSVFfUFJFRl9DT05WRVJULjk5OS40LzEvMjAyNS4uLlVTRC5IAQAAAN62AQADAAAAAACSM4RkwXPdCLtfwZTEc90IMkNJUS5OWVNFOklCTS5JUV9QUkVGX0NPTlZFUlQuMTAwMC40LzEvMjAyNS4uLlVTRC5IAQAAAN62AQADAAAAAACSM4RkwXPdCHHf4ZTEc90IMkNJUS5OWVNFOklCTS5JUV9QUkVGX0NPTlZFUlQuMjAwMC40LzEvMjAyNS4uLlVTRC5IAQAAAN62AQADAAAAAACSM4RkwXPdCGsRwZTEc90IMUNJUS5OWVNFOklCTS5JUV9QUkVGX0NPTlZFUlQuOTkyLjQvMS8yMDI1Li4uVVNELkgBAAAA3rYBAAMA</t>
  </si>
  <si>
    <t>AAAAAJIzhGTBc90Icd/hlMRz3QgxQ0lRLk5ZU0U6SUJNLklRX1BSRUZfQ09OVkVSVC45OTMuNC8xLzIwMjUuLi5VU0QuSAEAAADetgEAAwAAAAAAkjOEZMFz3Qhx3+GUxHPdCDFDSVEuTllTRTpJQk0uSVFfUFJFRl9DT05WRVJULjk5NC40LzEvMjAyNS4uLlVTRC5IAQAAAN62AQADAAAAAACSM4RkwXPdCHHf4ZTEc90IMUNJUS5OWVNFOklCTS5JUV9QUkVGX0NPTlZFUlQuOTk1LjQvMS8yMDI1Li4uVVNELkgBAAAA3rYBAAMAAAAAAJIzhGTBc90Icd/hlMRz3QgxQ0lRLk5ZU0U6SUJNLklRX1BSRUZfQ09OVkVSVC45OTYuNC8xLzIwMjUuLi5VU0QuSAEAAADetgEAAwAAAAAAkjOEZMFz3Qhx3+GUxHPdCDRDSVEuTllTRTpJQk0uSVFfUFJFRl9OT05fUkVERUVNLjk5OS40LzEvMjAyNS4uLlVTRC5IAQAAAN62AQADAAAAAACSM4RkwXPdCLtfwZTEc90INUNJUS5OWVNFOklCTS5JUV9QUkVGX05PTl9SRURFRU0uMTAwMC40LzEvMjAyNS4uLlVTRC5IAQAAAN62AQADAAAAAACSM4RkwXPdCHHf4ZTEc90INUNJUS5OWVNFOklCTS5JUV9QUkVGX05PTl9SRURFRU0uMjAwMC40LzEvMjAyNS4uLlVTRC5IAQAAAN62AQADAAAAAACSM4RkwXPdCGsRwZTEc90IMUNJUS5OWVNFOklCTS5JUV9QUkVGX0NPTlZFUlQuOTkwLjQvMS8yMDI1Li4uVVNELkgBAAAA3rYBAAMAAAAAAJIzhGTBc90Icd/hlMRz3QgxQ0lRLk5ZU0U6</t>
  </si>
  <si>
    <t>SUJNLklRX1BSRUZfQ09OVkVSVC45OTEuNC8xLzIwMjUuLi5VU0QuSAEAAADetgEAAwAAAAAAkjOEZMFz3Qhx3+GUxHPdCDRDSVEuTllTRTpJQk0uSVFfUFJFRl9OT05fUkVERUVNLjk5NC40LzEvMjAyNS4uLlVTRC5IAQAAAN62AQADAAAAAACSM4RkwXPdCHHf4ZTEc90INENJUS5OWVNFOklCTS5JUV9QUkVGX05PTl9SRURFRU0uOTk1LjQvMS8yMDI1Li4uVVNELkgBAAAA3rYBAAMAAAAAAJIzhGTBc90Icd/hlMRz3Qg0Q0lRLk5ZU0U6SUJNLklRX1BSRUZfTk9OX1JFREVFTS45OTYuNC8xLzIwMjUuLi5VU0QuSAEAAADetgEAAwAAAAAAkjOEZMFz3Qhx3+GUxHPdCDRDSVEuTllTRTpJQk0uSVFfUFJFRl9OT05fUkVERUVNLjk5Ny40LzEvMjAyNS4uLlVTRC5IAQAAAN62AQADAAAAAACSM4RkwXPdCB6R4ZTEc90INENJUS5OWVNFOklCTS5JUV9QUkVGX05PTl9SRURFRU0uOTk4LjQvMS8yMDI1Li4uVVNELkgBAAAA3rYBAAMAAAAAAJIzhGTBc90IHpHhlMRz3QgxQ0lRLk5ZU0U6SUJNLklRX1BSRUZfUkVERUVNLjIwMDAuNC8xLzIwMjUuLi5VU0QuSAEAAADetgEAAwAAAAAAkjOEZMFz3QhrEcGUxHPdCDRDSVEuTllTRTpJQk0uSVFfUFJFRl9OT05fUkVERUVNLjk5MC40LzEvMjAyNS4uLlVTRC5IAQAAAN62AQADAAAAAACSM4RkwXPdCB6R4ZTEc90INENJUS5OWVNFOklCTS5JUV9QUkVGX05PTl9SRURFRU0u</t>
  </si>
  <si>
    <t>OTkxLjQvMS8yMDI1Li4uVVNELkgBAAAA3rYBAAMAAAAAAJIzhGTBc90IHpHhlMRz3Qg0Q0lRLk5ZU0U6SUJNLklRX1BSRUZfTk9OX1JFREVFTS45OTIuNC8xLzIwMjUuLi5VU0QuSAEAAADetgEAAwAAAAAAkjOEZMFz3Qhx3+GUxHPdCDRDSVEuTllTRTpJQk0uSVFfUFJFRl9OT05fUkVERUVNLjk5My40LzEvMjAyNS4uLlVTRC5IAQAAAN62AQADAAAAAACSM4RkwXPdCB6R4ZTEc90IMENJUS5OWVNFOklCTS5JUV9QUkVGX1JFREVFTS45OTYuNC8xLzIwMjUuLi5VU0QuSAEAAADetgEAAwAAAAAAkjOEZMFz3QgekeGUxHPdCDBDSVEuTllTRTpJQk0uSVFfUFJFRl9SRURFRU0uOTk3LjQvMS8yMDI1Li4uVVNELkgBAAAA3rYBAAMAAAAAAJIzhGTBc90IHpHhlMRz3QgwQ0lRLk5ZU0U6SUJNLklRX1BSRUZfUkVERUVNLjk5OC40LzEvMjAyNS4uLlVTRC5IAQAAAN62AQADAAAAAACSM4RkwXPdCB6R4ZTEc90IMENJUS5OWVNFOklCTS5JUV9QUkVGX1JFREVFTS45OTkuNC8xLzIwMjUuLi5VU0QuSAEAAADetgEAAwAAAAAAkjOEZMFz3Qi7X8GUxHPdCDFDSVEuTllTRTpJQk0uSVFfUFJFRl9SRURFRU0uMTAwMC40LzEvMjAyNS4uLlVTRC5IAQAAAN62AQADAAAAAACSM4RkwXPdCB6R4ZTEc90IMENJUS5OWVNFOklCTS5JUV9QUkVGX1JFREVFTS45OTEuNC8xLzIwMjUuLi5VU0QuSAEAAADetgEAAwAAAAAAkjOEZMFz</t>
  </si>
  <si>
    <t>3QgekeGUxHPdCDBDSVEuTllTRTpJQk0uSVFfUFJFRl9SRURFRU0uOTkyLjQvMS8yMDI1Li4uVVNELkgBAAAA3rYBAAMAAAAAAJIzhGTBc90IHpHhlMRz3QgwQ0lRLk5ZU0U6SUJNLklRX1BSRUZfUkVERUVNLjk5My40LzEvMjAyNS4uLlVTRC5IAQAAAN62AQADAAAAAACSM4RkwXPdCB6R4ZTEc90IMENJUS5OWVNFOklCTS5JUV9QUkVGX1JFREVFTS45OTQuNC8xLzIwMjUuLi5VU0QuSAEAAADetgEAAwAAAAAAkjOEZMFz3QgekeGUxHPdCDBDSVEuTllTRTpJQk0uSVFfUFJFRl9SRURFRU0uOTk1LjQvMS8yMDI1Li4uVVNELkgBAAAA3rYBAAMAAAAAAJIzhGTBc90IHpHhlMRz3QgvQ0lRLk5ZU0U6SUJNLklRX1RPVEFMX0xJQUIuOTk4LjQvMS8yMDI1Li4uVVNELkgBAAAA3rYBAAIAAAAGMTA1MjIyAQgAAAAFAAAAATEBAAAACy0xOTU4MjgxMDk2AwAAAAMxNjACAAAABDEyNzYEAAAAATAHAAAACDQvMS8yMDI1CAAAAAoxMi8zMS8yMDIyCQAAAAEwkjOEZMFz3QgekeGUxHPdCC9DSVEuTllTRTpJQk0uSVFfVE9UQUxfTElBQi45OTkuNC8xLzIwMjUuLi5VU0QuSAEAAADetgEAAgAAAAYxMTI2MjgBCAAAAAUAAAABMQEAAAALLTE5NTgyODEwOTUDAAAAAzE2MAIAAAAEMTI3NgQAAAABMAcAAAAINC8xLzIwMjUIAAAACjEyLzMxLzIwMjMJAAAAATCSM4RkwXPdCLtfwZTEc90IMENJUS5OWVNFOklCTS5JUV9UT1RB</t>
  </si>
  <si>
    <t>TF9MSUFCLjEwMDAuNC8xLzIwMjUuLi5VU0QuSAEAAADetgEAAgAAAAYxMDk3ODIBCAAAAAUAAAABMQEAAAALLTE5NTgyODEwOTcDAAAAAzE2MAIAAAAEMTI3NgQAAAABMAcAAAAINC8xLzIwMjUIAAAACjEyLzMxLzIwMjQJAAAAATCSM4RkwXPdCB6R4ZTEc90IMENJUS5OWVNFOklCTS5JUV9UT1RBTF9MSUFCLjIwMDAuNC8xLzIwMjUuLi5VU0QuSAEAAADetgEAAgAAAAYxMDk3ODIBCAAAAAUAAAABMQEAAAALLTE5NTgyODA2MTUDAAAAAzE2MAIAAAAEMTI3NgQAAAABMAcAAAAINC8xLzIwMjUIAAAACjEyLzMxLzIwMjQJAAAAATCSM4RkwXPdCGsRwZTEc90IMENJUS5OWVNFOklCTS5JUV9QUkVGX1JFREVFTS45OTAuNC8xLzIwMjUuLi5VU0QuSAEAAADetgEAAwAAAAAAkjOEZMFz3QgekeGUxHPdCC9DSVEuTllTRTpJQk0uSVFfVE9UQUxfTElBQi45OTMuNC8xLzIwMjUuLi5VU0QuSAEAAADetgEAAgAAAAYxMDc2MzEBCAAAAAUAAAABMQEAAAAKMjAxNzE2NDI0NAMAAAADMTYwAgAAAAQxMjc2BAAAAAEwBwAAAAg0LzEvMjAyNQgAAAAKMTIvMzEvMjAxNwkAAAABMJIzhGTBc90IHpHhlMRz3QgvQ0lRLk5ZU0U6SUJNLklRX1RPVEFMX0xJQUIuOTk0LjQvMS8yMDI1Li4uVVNELkgBAAAA3rYBAAIAAAAGMTA2NDUyAQgAAAAFAAAAATEBAAAACjIwODE1MDU0MDEDAAAAAzE2MAIAAAAEMTI3NgQAAAABMAcAAAAI</t>
  </si>
  <si>
    <t>NC8xLzIwMjUIAAAACjEyLzMxLzIwMTgJAAAAATCSM4RkwXPdCB6R4ZTEc90IL0NJUS5OWVNFOklCTS5JUV9UT1RBTF9MSUFCLjk5NS40LzEvMjAyNS4uLlVTRC5IAQAAAN62AQACAAAABjEzMTIwMQEIAAAABQAAAAExAQAAAAstMjExMDc2OTM1NQMAAAADMTYwAgAAAAQxMjc2BAAAAAEwBwAAAAg0LzEvMjAyNQgAAAAKMTIvMzEvMjAxOQkAAAABMJIzhGTBc90IHpHhlMRz3QgvQ0lRLk5ZU0U6SUJNLklRX1RPVEFMX0xJQUIuOTk2LjQvMS8yMDI1Li4uVVNELkgBAAAA3rYBAAIAAAAGMTM1MjQ1AQgAAAAFAAAAATEBAAAACy0yMDU5MDczMjAyAwAAAAMxNjACAAAABDEyNzYEAAAAATAHAAAACDQvMS8yMDI1CAAAAAoxMi8zMS8yMDIwCQAAAAEwkjOEZMFz3QgekeGUxHPdCC9DSVEuTllTRTpJQk0uSVFfVE9UQUxfTElBQi45OTcuNC8xLzIwMjUuLi5VU0QuSAEAAADetgEAAgAAAAYxMTMwMDUBCAAAAAUAAAABMQEAAAALLTIwMDg2NDcxOTgDAAAAAzE2MAIAAAAEMTI3NgQAAAABMAcAAAAINC8xLzIwMjUIAAAACjEyLzMxLzIwMjEJAAAAATCSM4RkwXPdCB6R4ZTEc90IM0NJUS5OWVNFOklCTS5JUV9PVEhFUl9MSUFCX0xULjEwMDAuNC8xLzIwMjUuLi5VU0QuSAEAAADetgEAAgAAAAUxMDIzMgEIAAAABQAAAAExAQAAAAstMTk1ODI4MTA5NwMAAAADMTYwAgAAAAQxMDYyBAAAAAEwBwAAAAg0LzEvMjAyNQgA</t>
  </si>
  <si>
    <t>AAAKMTIvMzEvMjAyNAkAAAABMJIzhGTBc90IHpHhlMRz3QgzQ0lRLk5ZU0U6SUJNLklRX09USEVSX0xJQUJfTFQuMjAwMC40LzEvMjAyNS4uLlVTRC5IAQAAAN62AQACAAAABTEwMjMyAQgAAAAFAAAAATEBAAAACy0xOTU4MjgwNjE1AwAAAAMxNjACAAAABDEwNjIEAAAAATAHAAAACDQvMS8yMDI1CAAAAAoxMi8zMS8yMDI0CQAAAAEwkjOEZMFz3QhrEcGUxHPdCC9DSVEuTllTRTpJQk0uSVFfVE9UQUxfTElBQi45OTAuNC8xLzIwMjUuLi5VU0QuSAEAAADetgEAAgAAAAYxMDUyNTcBCAAAAAUAAAABMQEAAAAKMTgyOTkxMTk2OAMAAAADMTYwAgAAAAQxMjc2BAAAAAEwBwAAAAg0LzEvMjAyNQgAAAAKMTIvMzEvMjAxNAkAAAABMJIzhGTBc90IHpHhlMRz3QgvQ0lRLk5ZU0U6SUJNLklRX1RPVEFMX0xJQUIuOTkxLjQvMS8yMDI1Li4uVVNELkgBAAAA3rYBAAIAAAAFOTYwNzEBCAAAAAUAAAABMQEAAAAKMTg3NjQzMjg3MgMAAAADMTYwAgAAAAQxMjc2BAAAAAEwBwAAAAg0LzEvMjAyNQgAAAAKMTIvMzEvMjAxNQkAAAABMJIzhGTBc90IHpHhlMRz3QgvQ0lRLk5ZU0U6SUJNLklRX1RPVEFMX0xJQUIuOTkyLjQvMS8yMDI1Li4uVVNELkgBAAAA3rYBAAIAAAAFOTkwNzgBCAAAAAUAAAABMQEAAAAKMTk0NzE3OTU4MwMAAAADMTYwAgAAAAQxMjc2BAAAAAEwBwAAAAg0LzEvMjAyNQgAAAAKMTIvMzEvMjAxNgkA</t>
  </si>
  <si>
    <t>AAABMJIzhGTBc90IHpHhlMRz3QgyQ0lRLk5ZU0U6SUJNLklRX09USEVSX0xJQUJfTFQuOTk1LjQvMS8yMDI1Li4uVVNELkgBAAAA3rYBAAIAAAAEOTI5NgEIAAAABQAAAAExAQAAAAstMjExMDc2OTM1NQMAAAADMTYwAgAAAAQxMDYyBAAAAAEwBwAAAAg0LzEvMjAyNQgAAAAKMTIvMzEvMjAxOQkAAAABMJIzhGTBc90IHpHhlMRz3QgyQ0lRLk5ZU0U6SUJNLklRX09USEVSX0xJQUJfTFQuOTk2LjQvMS8yMDI1Li4uVVNELkgBAAAA3rYBAAIAAAAFMTI1MzkBCAAAAAUAAAABMQEAAAALLTIwNTkwNzMyMDIDAAAAAzE2MAIAAAAEMTA2MgQAAAABMAcAAAAINC8xLzIwMjUIAAAACjEyLzMxLzIwMjAJAAAAATCSM4RkwXPdCB6R4ZTEc90IMkNJUS5OWVNFOklCTS5JUV9PVEhFUl9MSUFCX0xULjk5Ny40LzEvMjAyNS4uLlVTRC5IAQAAAN62AQACAAAABTEwMDM5AQgAAAAFAAAAATEBAAAACy0yMDA4NjQ3MTk4AwAAAAMxNjACAAAABDEwNjIEAAAAATAHAAAACDQvMS8yMDI1CAAAAAoxMi8zMS8yMDIxCQAAAAEwkjOEZMFz3QgekeGUxHPdCDJDSVEuTllTRTpJQk0uSVFfT1RIRVJfTElBQl9MVC45OTguNC8xLzIwMjUuLi5VU0QuSAEAAADetgEAAgAAAAQ5OTUxAQgAAAAFAAAAATEBAAAACy0xOTU4MjgxMDk2AwAAAAMxNjACAAAABDEwNjIEAAAAATAHAAAACDQvMS8yMDI1CAAAAAoxMi8zMS8yMDIyCQAAAAEwkjOE</t>
  </si>
  <si>
    <t>ZMFz3QgekeGUxHPdCDJDSVEuTllTRTpJQk0uSVFfT1RIRVJfTElBQl9MVC45OTkuNC8xLzIwMjUuLi5VU0QuSAEAAADetgEAAgAAAAUxMDMzMAEIAAAABQAAAAExAQAAAAstMTk1ODI4MTA5NQMAAAADMTYwAgAAAAQxMDYyBAAAAAEwBwAAAAg0LzEvMjAyNQgAAAAKMTIvMzEvMjAyMwkAAAABMJIzhGTBc90Iu1/BlMRz3QgyQ0lRLk5ZU0U6SUJNLklRX09USEVSX0xJQUJfTFQuOTkwLjQvMS8yMDI1Li4uVVNELkgBAAAA3rYBAAIAAAAEODYwNAEIAAAABQAAAAExAQAAAAoxODI5OTExOTY4AwAAAAMxNjACAAAABDEwNjIEAAAAATAHAAAACDQvMS8yMDI1CAAAAAoxMi8zMS8yMDE0CQAAAAEwkjOEZMFz3QgekeGUxHPdCDJDSVEuTllTRTpJQk0uSVFfT1RIRVJfTElBQl9MVC45OTEuNC8xLzIwMjUuLi5VU0QuSAEAAADetgEAAgAAAAQ3ODQzAQgAAAAFAAAAATEBAAAACjE4NzY0MzI4NzIDAAAAAzE2MAIAAAAEMTA2MgQAAAABMAcAAAAINC8xLzIwMjUIAAAACjEyLzMxLzIwMTUJAAAAATCSM4RkwXPdCB6R4ZTEc90IMkNJUS5OWVNFOklCTS5JUV9PVEhFUl9MSUFCX0xULjk5Mi40LzEvMjAyNS4uLlVTRC5IAQAAAN62AQACAAAABDcwNDYBCAAAAAUAAAABMQEAAAAKMTk0NzE3OTU4MwMAAAADMTYwAgAAAAQxMDYyBAAAAAEwBwAAAAg0LzEvMjAyNQgAAAAKMTIvMzEvMjAxNgkAAAABMJIzhGTBc90IHpHhlMRz</t>
  </si>
  <si>
    <t>3QgyQ0lRLk5ZU0U6SUJNLklRX09USEVSX0xJQUJfTFQuOTkzLjQvMS8yMDI1Li4uVVNELkgBAAAA3rYBAAIAAAAEOTM4NgEIAAAABQAAAAExAQAAAAoyMDE3MTY0MjQ0AwAAAAMxNjACAAAABDEwNjIEAAAAATAHAAAACDQvMS8yMDI1CAAAAAoxMi8zMS8yMDE3CQAAAAEwkjOEZMFz3QgekeGUxHPdCDJDSVEuTllTRTpJQk0uSVFfT1RIRVJfTElBQl9MVC45OTQuNC8xLzIwMjUuLi5VU0QuSAEAAADetgEAAgAAAAQ4NDc3AQgAAAAFAAAAATEBAAAACjIwODE1MDU0MDEDAAAAAzE2MAIAAAAEMTA2MgQAAAABMAcAAAAINC8xLzIwMjUIAAAACjEyLzMxLzIwMTgJAAAAATCSM4RkwXPdCB6R4ZTEc90INENJUS5OWVNFOklCTS5JUV9ERUZfVEFYX0xJQUJfTFQuOTk3LjQvMS8yMDI1Li4uVVNELkgBAAAA3rYBAAIAAAAEMzk1NgEIAAAABQAAAAExAQAAAAstMjAwODY0NzE5OAMAAAADMTYwAgAAAAQxMDI3BAAAAAEwBwAAAAg0LzEvMjAyNQgAAAAKMTIvMzEvMjAyMQkAAAABMJIzhGTBc90IykLhlMRz3Qg0Q0lRLk5ZU0U6SUJNLklRX0RFRl9UQVhfTElBQl9MVC45OTguNC8xLzIwMjUuLi5VU0QuSAEAAADetgEAAgAAAAQyMjkyAQgAAAAFAAAAATEBAAAACy0xOTU4MjgxMDk2AwAAAAMxNjACAAAABDEwMjcEAAAAATAHAAAACDQvMS8yMDI1CAAAAAoxMi8zMS8yMDIyCQAAAAEwkjOEZMFz3QjKQuGUxHPdCDRDSVEu</t>
  </si>
  <si>
    <t>TllTRTpJQk0uSVFfREVGX1RBWF9MSUFCX0xULjk5OS40LzEvMjAyNS4uLlVTRC5IAQAAAN62AQACAAAABDExNDYBCAAAAAUAAAABMQEAAAALLTE5NTgyODEwOTUDAAAAAzE2MAIAAAAEMTAyNwQAAAABMAcAAAAINC8xLzIwMjUIAAAACjEyLzMxLzIwMjMJAAAAATCSM4RkwXPdCLtfwZTEc90INUNJUS5OWVNFOklCTS5JUV9ERUZfVEFYX0xJQUJfTFQuMTAwMC40LzEvMjAyNS4uLlVTRC5IAQAAAN62AQACAAAAAzgxNQEIAAAABQAAAAExAQAAAAstMTk1ODI4MTA5NwMAAAADMTYwAgAAAAQxMDI3BAAAAAEwBwAAAAg0LzEvMjAyNQgAAAAKMTIvMzEvMjAyNAkAAAABMJIzhGTBc90IykLhlMRz3Qg1Q0lRLk5ZU0U6SUJNLklRX0RFRl9UQVhfTElBQl9MVC4yMDAwLjQvMS8yMDI1Li4uVVNELkgBAAAA3rYBAAIAAAADODE1AQgAAAAFAAAAATEBAAAACy0xOTU4MjgwNjE1AwAAAAMxNjACAAAABDEwMjcEAAAAATAHAAAACDQvMS8yMDI1CAAAAAoxMi8zMS8yMDI0CQAAAAEwkjOEZMFz3QhrEcGUxHPdCDRDSVEuTllTRTpJQk0uSVFfREVGX1RBWF9MSUFCX0xULjk5Mi40LzEvMjAyNS4uLlVTRC5IAQAAAN62AQACAAAAAzQyNAEIAAAABQAAAAExAQAAAAoxOTQ3MTc5NTgzAwAAAAMxNjACAAAABDEwMjcEAAAAATAHAAAACDQvMS8yMDI1CAAAAAoxMi8zMS8yMDE2CQAAAAEwkjOEZMFz3QgekeGUxHPdCDRDSVEuTllT</t>
  </si>
  <si>
    <t>RTpJQk0uSVFfREVGX1RBWF9MSUFCX0xULjk5My40LzEvMjAyNS4uLlVTRC5IAQAAAN62AQACAAAAAzU0NQEIAAAABQAAAAExAQAAAAoyMDE3MTY0MjQ0AwAAAAMxNjACAAAABDEwMjcEAAAAATAHAAAACDQvMS8yMDI1CAAAAAoxMi8zMS8yMDE3CQAAAAEwkjOEZMFz3QjKQuGUxHPdCDRDSVEuTllTRTpJQk0uSVFfREVGX1RBWF9MSUFCX0xULjk5NC40LzEvMjAyNS4uLlVTRC5IAQAAAN62AQACAAAABDM2OTYBCAAAAAUAAAABMQEAAAAKMjA4MTUwNTQwMQMAAAADMTYwAgAAAAQxMDI3BAAAAAEwBwAAAAg0LzEvMjAyNQgAAAAKMTIvMzEvMjAxOAkAAAABMJIzhGTBc90IykLhlMRz3Qg0Q0lRLk5ZU0U6SUJNLklRX0RFRl9UQVhfTElBQl9MVC45OTUuNC8xLzIwMjUuLi5VU0QuSAEAAADetgEAAgAAAAQ1MjMwAQgAAAAFAAAAATEBAAAACy0yMTEwNzY5MzU1AwAAAAMxNjACAAAABDEwMjcEAAAAATAHAAAACDQvMS8yMDI1CAAAAAoxMi8zMS8yMDE5CQAAAAEwkjOEZMFz3QjKQuGUxHPdCDRDSVEuTllTRTpJQk0uSVFfREVGX1RBWF9MSUFCX0xULjk5Ni40LzEvMjAyNS4uLlVTRC5IAQAAAN62AQACAAAABDQ5NTgBCAAAAAUAAAABMQEAAAALLTIwNTkwNzMyMDIDAAAAAzE2MAIAAAAEMTAyNwQAAAABMAcAAAAINC8xLzIwMjUIAAAACjEyLzMxLzIwMjAJAAAAATCSM4RkwXPdCMpC4ZTEc90ILENJUS5OWVNFOklC</t>
  </si>
  <si>
    <t>TS5JUV9QRU5TSU9OLjk5OS40LzEvMjAyNS4uLlVTRC5IAQAAAN62AQACAAAABTEwODA4AQgAAAAFAAAAATEBAAAACy0xOTU4MjgxMDk1AwAAAAMxNjACAAAABDEyMTMEAAAAATAHAAAACDQvMS8yMDI1CAAAAAoxMi8zMS8yMDIzCQAAAAEwkjOEZMFz3Qi7X8GUxHPdCC1DSVEuTllTRTpJQk0uSVFfUEVOU0lPTi4xMDAwLjQvMS8yMDI1Li4uVVNELkgBAAAA3rYBAAIAAAAEOTQzMgEIAAAABQAAAAExAQAAAAstMTk1ODI4MTA5NwMAAAADMTYwAgAAAAQxMjEzBAAAAAEwBwAAAAg0LzEvMjAyNQgAAAAKMTIvMzEvMjAyNAkAAAABMJIzhGTBc90IykLhlMRz3QgtQ0lRLk5ZU0U6SUJNLklRX1BFTlNJT04uMjAwMC40LzEvMjAyNS4uLlVTRC5IAQAAAN62AQACAAAABDk0MzIBCAAAAAUAAAABMQEAAAALLTE5NTgyODA2MTUDAAAAAzE2MAIAAAAEMTIxMwQAAAABMAcAAAAINC8xLzIwMjUIAAAACjEyLzMxLzIwMjQJAAAAATCSM4RkwXPdCGsRwZTEc90INENJUS5OWVNFOklCTS5JUV9ERUZfVEFYX0xJQUJfTFQuOTkwLjQvMS8yMDI1Li4uVVNELkgBAAAA3rYBAAIAAAADMTI5AQgAAAAFAAAAATEBAAAACjE4Mjk5MTE5NjgDAAAAAzE2MAIAAAAEMTAyNwQAAAABMAcAAAAINC8xLzIwMjUIAAAACjEyLzMxLzIwMTQJAAAAATCSM4RkwXPdCMpC4ZTEc90INENJUS5OWVNFOklCTS5JUV9ERUZfVEFYX0xJQUJfTFQuOTkx</t>
  </si>
  <si>
    <t>LjQvMS8yMDI1Li4uVVNELkgBAAAA3rYBAAIAAAADMjUzAQgAAAAFAAAAATEBAAAACjE4NzY0MzI4NzIDAAAAAzE2MAIAAAAEMTAyNwQAAAABMAcAAAAINC8xLzIwMjUIAAAACjEyLzMxLzIwMTUJAAAAATCSM4RkwXPdCMpC4ZTEc90ILENJUS5OWVNFOklCTS5JUV9QRU5TSU9OLjk5NC40LzEvMjAyNS4uLlVTRC5IAQAAAN62AQACAAAABTE3MDAyAQgAAAAFAAAAATEBAAAACjIwODE1MDU0MDEDAAAAAzE2MAIAAAAEMTIxMwQAAAABMAcAAAAINC8xLzIwMjUIAAAACjEyLzMxLzIwMTgJAAAAATCSM4RkwXPdCMpC4ZTEc90ILENJUS5OWVNFOklCTS5JUV9QRU5TSU9OLjk5NS40LzEvMjAyNS4uLlVTRC5IAQAAAN62AQACAAAABTE3MTQyAQgAAAAFAAAAATEBAAAACy0yMTEwNzY5MzU1AwAAAAMxNjACAAAABDEyMTMEAAAAATAHAAAACDQvMS8yMDI1CAAAAAoxMi8zMS8yMDE5CQAAAAEwkjOEZMFz3QjKQuGUxHPdCCxDSVEuTllTRTpJQk0uSVFfUEVOU0lPTi45OTYuNC8xLzIwMjUuLi5VU0QuSAEAAADetgEAAgAAAAUxNzE4NAEIAAAABQAAAAExAQAAAAstMjA1OTA3MzIwMgMAAAADMTYwAgAAAAQxMjEzBAAAAAEwBwAAAAg0LzEvMjAyNQgAAAAKMTIvMzEvMjAyMAkAAAABMJIzhGTBc90IykLhlMRz3QgsQ0lRLk5ZU0U6SUJNLklRX1BFTlNJT04uOTk3LjQvMS8yMDI1Li4uVVNELkgBAAAA3rYBAAIAAAAFMTQ0</t>
  </si>
  <si>
    <t>MzUBCAAAAAUAAAABMQEAAAALLTIwMDg2NDcxOTgDAAAAAzE2MAIAAAAEMTIxMwQAAAABMAcAAAAINC8xLzIwMjUIAAAACjEyLzMxLzIwMjEJAAAAATCSM4RkwXPdCMpC4ZTEc90ILENJUS5OWVNFOklCTS5JUV9QRU5TSU9OLjk5OC40LzEvMjAyNS4uLlVTRC5IAQAAAN62AQACAAAABDk1OTYBCAAAAAUAAAABMQEAAAALLTE5NTgyODEwOTYDAAAAAzE2MAIAAAAEMTIxMwQAAAABMAcAAAAINC8xLzIwMjUIAAAACjEyLzMxLzIwMjIJAAAAATCSM4RkwXPdCMpC4ZTEc90IM0NJUS5OWVNFOklCTS5JUV9VTkVBUk5fUkVWX0xULjIwMDAuNC8xLzIwMjUuLi5VU0QuSAEAAADetgEAAgAAAAQzNjIyAQgAAAAFAAAAATEBAAAACy0xOTU4MjgwNjE1AwAAAAMxNjACAAAABDEyNTYEAAAAATAHAAAACDQvMS8yMDI1CAAAAAoxMi8zMS8yMDI0CQAAAAEwkjOEZMFz3QhrEcGUxHPdCCxDSVEuTllTRTpJQk0uSVFfUEVOU0lPTi45OTAuNC8xLzIwMjUuLi5VU0QuSAEAAADetgEAAgAAAAUxODI2MQEIAAAABQAAAAExAQAAAAoxODI5OTExOTY4AwAAAAMxNjACAAAABDEyMTMEAAAAATAHAAAACDQvMS8yMDI1CAAAAAoxMi8zMS8yMDE0CQAAAAEwkjOEZMFz3QjKQuGUxHPdCCxDSVEuTllTRTpJQk0uSVFfUEVOU0lPTi45OTEuNC8xLzIwMjUuLi5VU0QuSAEAAADetgEAAgAAAAUxNjUwNAEIAAAABQAAAAExAQAAAAoxODc2NDMy</t>
  </si>
  <si>
    <t>ODcyAwAAAAMxNjACAAAABDEyMTMEAAAAATAHAAAACDQvMS8yMDI1CAAAAAoxMi8zMS8yMDE1CQAAAAEwkjOEZMFz3QjKQuGUxHPdCCxDSVEuTllTRTpJQk0uSVFfUEVOU0lPTi45OTIuNC8xLzIwMjUuLi5VU0QuSAEAAADetgEAAgAAAAUxNzA3MAEIAAAABQAAAAExAQAAAAoxOTQ3MTc5NTgzAwAAAAMxNjACAAAABDEyMTMEAAAAATAHAAAACDQvMS8yMDI1CAAAAAoxMi8zMS8yMDE2CQAAAAEwkjOEZMFz3QjKQuGUxHPdCCxDSVEuTllTRTpJQk0uSVFfUEVOU0lPTi45OTMuNC8xLzIwMjUuLi5VU0QuSAEAAADetgEAAgAAAAUxNjcyMAEIAAAABQAAAAExAQAAAAoyMDE3MTY0MjQ0AwAAAAMxNjACAAAABDEyMTMEAAAAATAHAAAACDQvMS8yMDI1CAAAAAoxMi8zMS8yMDE3CQAAAAEwkjOEZMFz3QjKQuGUxHPdCDJDSVEuTllTRTpJQk0uSVFfVU5FQVJOX1JFVl9MVC45OTYuNC8xLzIwMjUuLi5VU0QuSAEAAADetgEAAgAAAAQzNzU4AQgAAAAFAAAAATEBAAAACy0yMDU5MDczMjAyAwAAAAMxNjACAAAABDEyNTYEAAAAATAHAAAACDQvMS8yMDI1CAAAAAoxMi8zMS8yMDIwCQAAAAEwkjOEZMFz3QjKQuGUxHPdCDJDSVEuTllTRTpJQk0uSVFfVU5FQVJOX1JFVl9MVC45OTcuNC8xLzIwMjUuLi5VU0QuSAEAAADetgEAAgAAAAQzNTc3AQgAAAAFAAAAATEBAAAACy0yMDA4NjQ3MTk4AwAAAAMxNjACAAAABDEyNTYE</t>
  </si>
  <si>
    <t>AAAAATAHAAAACDQvMS8yMDI1CAAAAAoxMi8zMS8yMDIxCQAAAAEwkjOEZMFz3QjKQuGUxHPdCDJDSVEuTllTRTpJQk0uSVFfVU5FQVJOX1JFVl9MVC45OTguNC8xLzIwMjUuLi5VU0QuSAEAAADetgEAAgAAAAQzNDk5AQgAAAAFAAAAATEBAAAACy0xOTU4MjgxMDk2AwAAAAMxNjACAAAABDEyNTYEAAAAATAHAAAACDQvMS8yMDI1CAAAAAoxMi8zMS8yMDIyCQAAAAEwkjOEZMFz3QjKQuGUxHPdCDJDSVEuTllTRTpJQk0uSVFfVU5FQVJOX1JFVl9MVC45OTkuNC8xLzIwMjUuLi5VU0QuSAEAAADetgEAAgAAAAQzNTMzAQgAAAAFAAAAATEBAAAACy0xOTU4MjgxMDk1AwAAAAMxNjACAAAABDEyNTYEAAAAATAHAAAACDQvMS8yMDI1CAAAAAoxMi8zMS8yMDIzCQAAAAEwkjOEZMFz3Qi7X8GUxHPdCDNDSVEuTllTRTpJQk0uSVFfVU5FQVJOX1JFVl9MVC4xMDAwLjQvMS8yMDI1Li4uVVNELkgBAAAA3rYBAAIAAAAEMzYyMgEIAAAABQAAAAExAQAAAAstMTk1ODI4MTA5NwMAAAADMTYwAgAAAAQxMjU2BAAAAAEwBwAAAAg0LzEvMjAyNQgAAAAKMTIvMzEvMjAyNAkAAAABMJIzhGTBc90IykLhlMRz3QgyQ0lRLk5ZU0U6SUJNLklRX1VORUFSTl9SRVZfTFQuOTkxLjQvMS8yMDI1Li4uVVNELkgBAAAA3rYBAAIAAAAEMzc3MQEIAAAABQAAAAExAQAAAAoxODc2NDMyODcyAwAAAAMxNjACAAAABDEyNTYEAAAAATAHAAAA</t>
  </si>
  <si>
    <t>CDQvMS8yMDI1CAAAAAoxMi8zMS8yMDE1CQAAAAEwkjOEZMFz3QjKQuGUxHPdCDJDSVEuTllTRTpJQk0uSVFfVU5FQVJOX1JFVl9MVC45OTIuNC8xLzIwMjUuLi5VU0QuSAEAAADetgEAAgAAAAQzNjAwAQgAAAAFAAAAATEBAAAACjE5NDcxNzk1ODMDAAAAAzE2MAIAAAAEMTI1NgQAAAABMAcAAAAINC8xLzIwMjUIAAAACjEyLzMxLzIwMTYJAAAAATCSM4RkwXPdCMpC4ZTEc90IMkNJUS5OWVNFOklCTS5JUV9VTkVBUk5fUkVWX0xULjk5My40LzEvMjAyNS4uLlVTRC5IAQAAAN62AQACAAAABDM3NDYBCAAAAAUAAAABMQEAAAAKMjAxNzE2NDI0NAMAAAADMTYwAgAAAAQxMjU2BAAAAAEwBwAAAAg0LzEvMjAyNQgAAAAKMTIvMzEvMjAxNwkAAAABMJIzhGTBc90IykLhlMRz3QgyQ0lRLk5ZU0U6SUJNLklRX1VORUFSTl9SRVZfTFQuOTk0LjQvMS8yMDI1Li4uVVNELkgBAAAA3rYBAAIAAAAEMzQ0NQEIAAAABQAAAAExAQAAAAoyMDgxNTA1NDAxAwAAAAMxNjACAAAABDEyNTYEAAAAATAHAAAACDQvMS8yMDI1CAAAAAoxMi8zMS8yMDE4CQAAAAEwkjOEZMFz3QjKQuGUxHPdCDJDSVEuTllTRTpJQk0uSVFfVU5FQVJOX1JFVl9MVC45OTUuNC8xLzIwMjUuLi5VU0QuSAEAAADetgEAAgAAAAQzODUxAQgAAAAFAAAAATEBAAAACy0yMTEwNzY5MzU1AwAAAAMxNjACAAAABDEyNTYEAAAAATAHAAAACDQvMS8yMDI1CAAA</t>
  </si>
  <si>
    <t>AAoxMi8zMS8yMDE5CQAAAAEwkjOEZMFz3QjKQuGUxHPdCDRDSVEuTllTRTpJQk0uSVFfRklOX0RJVl9MSUFCX0xULjk5OC40LzEvMjAyNS4uLlVTRC5IAQAAAN62AQADAAAAAACSM4RkwXPdCMpC4ZTEc90INENJUS5OWVNFOklCTS5JUV9GSU5fRElWX0xJQUJfTFQuOTk5LjQvMS8yMDI1Li4uVVNELkgBAAAA3rYBAAMAAAAAAJIzhGTBc90Iu1/BlMRz3Qg1Q0lRLk5ZU0U6SUJNLklRX0ZJTl9ESVZfTElBQl9MVC4xMDAwLjQvMS8yMDI1Li4uVVNELkgBAAAA3rYBAAMAAAAAAJIzhGTBc90IykLhlMRz3Qg1Q0lRLk5ZU0U6SUJNLklRX0ZJTl9ESVZfTElBQl9MVC4yMDAwLjQvMS8yMDI1Li4uVVNELkgBAAAA3rYBAAMAAAAAAJIzhGTBc90IaxHBlMRz3QgyQ0lRLk5ZU0U6SUJNLklRX1VORUFSTl9SRVZfTFQuOTkwLjQvMS8yMDI1Li4uVVNELkgBAAAA3rYBAAIAAAAEMzY5MQEIAAAABQAAAAExAQAAAAoxODI5OTExOTY4AwAAAAMxNjACAAAABDEyNTYEAAAAATAHAAAACDQvMS8yMDI1CAAAAAoxMi8zMS8yMDE0CQAAAAEwkjOEZMFz3QjKQuGUxHPdCDRDSVEuTllTRTpJQk0uSVFfRklOX0RJVl9MSUFCX0xULjk5My40LzEvMjAyNS4uLlVTRC5IAQAAAN62AQADAAAAAACSM4RkwXPdCMpC4ZTEc90INENJUS5OWVNFOklCTS5JUV9GSU5fRElWX0xJQUJfTFQuOTk0LjQvMS8yMDI1Li4uVVNELkgBAAAA3rYBAAMA</t>
  </si>
  <si>
    <t>AAAAAJIzhGTBc90IykLhlMRz3Qg0Q0lRLk5ZU0U6SUJNLklRX0ZJTl9ESVZfTElBQl9MVC45OTUuNC8xLzIwMjUuLi5VU0QuSAEAAADetgEAAwAAAAAAkjOEZMFz3QjKQuGUxHPdCDRDSVEuTllTRTpJQk0uSVFfRklOX0RJVl9MSUFCX0xULjk5Ni40LzEvMjAyNS4uLlVTRC5IAQAAAN62AQADAAAAAACSM4RkwXPdCMpC4ZTEc90INENJUS5OWVNFOklCTS5JUV9GSU5fRElWX0xJQUJfTFQuOTk3LjQvMS8yMDI1Li4uVVNELkgBAAAA3rYBAAMAAAAAAJIzhGTBc90IykLhlMRz3Qg1Q0lRLk5ZU0U6SUJNLklRX0ZJTl9ESVZfREVCVF9MVC4xMDAwLjQvMS8yMDI1Li4uVVNELkgBAAAA3rYBAAMAAAAAAJIzhGTBc90IykLhlMRz3Qg1Q0lRLk5ZU0U6SUJNLklRX0ZJTl9ESVZfREVCVF9MVC4yMDAwLjQvMS8yMDI1Li4uVVNELkgBAAAA3rYBAAMAAAAAAJIzhGTBc90IaxHBlMRz3Qg0Q0lRLk5ZU0U6SUJNLklRX0ZJTl9ESVZfTElBQl9MVC45OTAuNC8xLzIwMjUuLi5VU0QuSAEAAADetgEAAwAAAAAAkjOEZMFz3QjKQuGUxHPdCDRDSVEuTllTRTpJQk0uSVFfRklOX0RJVl9MSUFCX0xULjk5MS40LzEvMjAyNS4uLlVTRC5IAQAAAN62AQADAAAAAACSM4RkwXPdCHP04JTEc90INENJUS5OWVNFOklCTS5JUV9GSU5fRElWX0xJQUJfTFQuOTkyLjQvMS8yMDI1Li4uVVNELkgBAAAA3rYBAAMAAAAAAJIzhGTBc90Ic/Tg</t>
  </si>
  <si>
    <t>lMRz3Qg0Q0lRLk5ZU0U6SUJNLklRX0ZJTl9ESVZfREVCVF9MVC45OTUuNC8xLzIwMjUuLi5VU0QuSAEAAADetgEAAwAAAAAAkjOEZMFz3Qhz9OCUxHPdCDRDSVEuTllTRTpJQk0uSVFfRklOX0RJVl9ERUJUX0xULjk5Ni40LzEvMjAyNS4uLlVTRC5IAQAAAN62AQADAAAAAACSM4RkwXPdCMpC4ZTEc90INENJUS5OWVNFOklCTS5JUV9GSU5fRElWX0RFQlRfTFQuOTk3LjQvMS8yMDI1Li4uVVNELkgBAAAA3rYBAAMAAAAAAJIzhGTBc90IykLhlMRz3Qg0Q0lRLk5ZU0U6SUJNLklRX0ZJTl9ESVZfREVCVF9MVC45OTguNC8xLzIwMjUuLi5VU0QuSAEAAADetgEAAwAAAAAAkjOEZMFz3QjKQuGUxHPdCDRDSVEuTllTRTpJQk0uSVFfRklOX0RJVl9ERUJUX0xULjk5OS40LzEvMjAyNS4uLlVTRC5IAQAAAN62AQADAAAAAACSM4RkwXPdCLtfwZTEc90INENJUS5OWVNFOklCTS5JUV9GSU5fRElWX0RFQlRfTFQuOTkwLjQvMS8yMDI1Li4uVVNELkgBAAAA3rYBAAMAAAAAAJIzhGTBc90Ic/TglMRz3Qg0Q0lRLk5ZU0U6SUJNLklRX0ZJTl9ESVZfREVCVF9MVC45OTEuNC8xLzIwMjUuLi5VU0QuSAEAAADetgEAAwAAAAAAkjOEZMFz3Qhz9OCUxHPdCDRDSVEuTllTRTpJQk0uSVFfRklOX0RJVl9ERUJUX0xULjk5Mi40LzEvMjAyNS4uLlVTRC5IAQAAAN62AQADAAAAAACSM4RkwXPdCHP04JTEc90INENJUS5OWVNFOklC</t>
  </si>
  <si>
    <t>TS5JUV9GSU5fRElWX0RFQlRfTFQuOTkzLjQvMS8yMDI1Li4uVVNELkgBAAAA3rYBAAMAAAAAAJIzhGTBc90Ic/TglMRz3Qg0Q0lRLk5ZU0U6SUJNLklRX0ZJTl9ESVZfREVCVF9MVC45OTQuNC8xLzIwMjUuLi5VU0QuSAEAAADetgEAAwAAAAAAkjOEZMFz3Qhz9OCUxHPdCDVDSVEuTllTRTpJQk0uSVFfTE9OR19URVJNX0xFQVNFUy45OTcuNC8xLzIwMjUuLi5VU0QuSAEAAADetgEAAgAAAAQyNTI1AQgAAAAFAAAAATEBAAAACy0yMDA4NjQ3MTk4AwAAAAMxNjACAAAABDExODMEAAAAATAHAAAACDQvMS8yMDI1CAAAAAoxMi8zMS8yMDIxCQAAAAEwkjOEZMFz3Qhz9OCUxHPdCDVDSVEuTllTRTpJQk0uSVFfTE9OR19URVJNX0xFQVNFUy45OTguNC8xLzIwMjUuLi5VU0QuSAEAAADetgEAAgAAAAQyMzU0AQgAAAAFAAAAATEBAAAACy0xOTU4MjgxMDk2AwAAAAMxNjACAAAABDExODMEAAAAATAHAAAACDQvMS8yMDI1CAAAAAoxMi8zMS8yMDIyCQAAAAEwkjOEZMFz3Qhz9OCUxHPdCDVDSVEuTllTRTpJQk0uSVFfTE9OR19URVJNX0xFQVNFUy45OTkuNC8xLzIwMjUuLi5VU0QuSAEAAADetgEAAgAAAAQyOTQ3AQgAAAAFAAAAATEBAAAACy0xOTU4MjgxMDk1AwAAAAMxNjACAAAABDExODMEAAAAATAHAAAACDQvMS8yMDI1CAAAAAoxMi8zMS8yMDIzCQAAAAEwkjOEZMFz3Qi7X8GUxHPdCDZDSVEuTllTRTpJQk0u</t>
  </si>
  <si>
    <t>SVFfTE9OR19URVJNX0xFQVNFUy4xMDAwLjQvMS8yMDI1Li4uVVNELkgBAAAA3rYBAAIAAAAEMzQ1OAEIAAAABQAAAAExAQAAAAstMTk1ODI4MTA5NwMAAAADMTYwAgAAAAQxMTgzBAAAAAEwBwAAAAg0LzEvMjAyNQgAAAAKMTIvMzEvMjAyNAkAAAABMJIzhGTBc90Ic/TglMRz3Qg2Q0lRLk5ZU0U6SUJNLklRX0xPTkdfVEVSTV9MRUFTRVMuMjAwMC40LzEvMjAyNS4uLlVTRC5IAQAAAN62AQACAAAABDM0NTgBCAAAAAUAAAABMQEAAAALLTE5NTgyODA2MTUDAAAAAzE2MAIAAAAEMTE4MwQAAAABMAcAAAAINC8xLzIwMjUIAAAACjEyLzMxLzIwMjQJAAAAATCSM4RkwXPdCGsRwZTEc90INUNJUS5OWVNFOklCTS5JUV9MT05HX1RFUk1fTEVBU0VTLjk5Mi40LzEvMjAyNS4uLlVTRC5IAQAAAN62AQADAAAAAACSM4RkwXPdCHP04JTEc90INUNJUS5OWVNFOklCTS5JUV9MT05HX1RFUk1fTEVBU0VTLjk5My40LzEvMjAyNS4uLlVTRC5IAQAAAN62AQADAAAAAACSM4RkwXPdCHP04JTEc90INUNJUS5OWVNFOklCTS5JUV9MT05HX1RFUk1fTEVBU0VTLjk5NC40LzEvMjAyNS4uLlVTRC5IAQAAAN62AQACAAAAAjM4AQgAAAAFAAAAATEBAAAACjIwODE1MDU0MDEDAAAAAzE2MAIAAAAEMTE4MwQAAAABMAcAAAAINC8xLzIwMjUIAAAACjEyLzMxLzIwMTgJAAAAATCSM4RkwXPdCHP04JTEc90INUNJUS5OWVNFOklCTS5J</t>
  </si>
  <si>
    <t>UV9MT05HX1RFUk1fTEVBU0VTLjk5NS40LzEvMjAyNS4uLlVTRC5IAQAAAN62AQACAAAABDQwMzABCAAAAAUAAAABMQEAAAALLTIxMTA3NjkzNTUDAAAAAzE2MAIAAAAEMTE4MwQAAAABMAcAAAAINC8xLzIwMjUIAAAACjEyLzMxLzIwMTkJAAAAATCSM4RkwXPdCHP04JTEc90INUNJUS5OWVNFOklCTS5JUV9MT05HX1RFUk1fTEVBU0VTLjk5Ni40LzEvMjAyNS4uLlVTRC5IAQAAAN62AQACAAAABDI3ODABCAAAAAUAAAABMQEAAAALLTIwNTkwNzMyMDIDAAAAAzE2MAIAAAAEMTE4MwQAAAABMAcAAAAINC8xLzIwMjUIAAAACjEyLzMxLzIwMjAJAAAAATCSM4RkwXPdCHP04JTEc90ILENJUS5OWVNFOklCTS5JUV9MVF9ERUJULjk5OS40LzEvMjAyNS4uLlVTRC5IAQAAAN62AQACAAAABTQ5NzQyAQgAAAAFAAAAATEBAAAACy0xOTU4MjgxMDk1AwAAAAMxNjACAAAABDEwNDkEAAAAATAHAAAACDQvMS8yMDI1CAAAAAoxMi8zMS8yMDIzCQAAAAEwkjOEZMFz3Qi7X8GUxHPdCC1DSVEuTllTRTpJQk0uSVFfTFRfREVCVC4xMDAwLjQvMS8yMDI1Li4uVVNELkgBAAAA3rYBAAIAAAAFNDkwODEBCAAAAAUAAAABMQEAAAALLTE5NTgyODEwOTcDAAAAAzE2MAIAAAAEMTA0OQQAAAABMAcAAAAINC8xLzIwMjUIAAAACjEyLzMxLzIwMjQJAAAAATCSM4RkwXPdCHP04JTEc90ILUNJUS5OWVNFOklCTS5JUV9MVF9ERUJULjIw</t>
  </si>
  <si>
    <t>MDAuNC8xLzIwMjUuLi5VU0QuSAEAAADetgEAAgAAAAU0OTA4MQEIAAAABQAAAAExAQAAAAstMTk1ODI4MDYxNQMAAAADMTYwAgAAAAQxMDQ5BAAAAAEwBwAAAAg0LzEvMjAyNQgAAAAKMTIvMzEvMjAyNAkAAAABMJIzhGTBc90IaxHBlMRz3Qg1Q0lRLk5ZU0U6SUJNLklRX0xPTkdfVEVSTV9MRUFTRVMuOTkwLjQvMS8yMDI1Li4uVVNELkgBAAAA3rYBAAMAAAAAAJIzhGTBc90Ic/TglMRz3Qg1Q0lRLk5ZU0U6SUJNLklRX0xPTkdfVEVSTV9MRUFTRVMuOTkxLjQvMS8yMDI1Li4uVVNELkgBAAAA3rYBAAMAAAAAAJIzhGTBc90Ic/TglMRz3QgsQ0lRLk5ZU0U6SUJNLklRX0xUX0RFQlQuOTk0LjQvMS8yMDI1Li4uVVNELkgBAAAA3rYBAAIAAAAFMzU1NjcBCAAAAAUAAAABMQEAAAAKMjA4MTUwNTQwMQMAAAADMTYwAgAAAAQxMDQ5BAAAAAEwBwAAAAg0LzEvMjAyNQgAAAAKMTIvMzEvMjAxOAkAAAABMJIzhGTBc90Ic/TglMRz3QgsQ0lRLk5ZU0U6SUJNLklRX0xUX0RFQlQuOTk1LjQvMS8yMDI1Li4uVVNELkgBAAAA3rYBAAIAAAAFNTM5NTEBCAAAAAUAAAABMQEAAAALLTIxMTA3NjkzNTUDAAAAAzE2MAIAAAAEMTA0OQQAAAABMAcAAAAINC8xLzIwMjUIAAAACjEyLzMxLzIwMTkJAAAAATCSM4RkwXPdCHP04JTEc90ILENJUS5OWVNFOklCTS5JUV9MVF9ERUJULjk5Ni40LzEvMjAyNS4uLlVTRC5IAQAAAN62</t>
  </si>
  <si>
    <t>AQACAAAABTU0MTU3AQgAAAAFAAAAATEBAAAACy0yMDU5MDczMjAyAwAAAAMxNjACAAAABDEwNDkEAAAAATAHAAAACDQvMS8yMDI1CAAAAAoxMi8zMS8yMDIwCQAAAAEwkjOEZMFz3Qhz9OCUxHPdCCxDSVEuTllTRTpJQk0uSVFfTFRfREVCVC45OTcuNC8xLzIwMjUuLi5VU0QuSAEAAADetgEAAgAAAAU0NDg1NAEIAAAABQAAAAExAQAAAAstMjAwODY0NzE5OAMAAAADMTYwAgAAAAQxMDQ5BAAAAAEwBwAAAAg0LzEvMjAyNQgAAAAKMTIvMzEvMjAyMQkAAAABMJIzhGTBc90Ic/TglMRz3QgsQ0lRLk5ZU0U6SUJNLklRX0xUX0RFQlQuOTk4LjQvMS8yMDI1Li4uVVNELkgBAAAA3rYBAAIAAAAFNDYwMjUBCAAAAAUAAAABMQEAAAALLTE5NTgyODEwOTYDAAAAAzE2MAIAAAAEMTA0OQQAAAABMAcAAAAINC8xLzIwMjUIAAAACjEyLzMxLzIwMjIJAAAAATCSM4RkwXPdCHP04JTEc90ILkNJUS5OWVNFOklCTS5JUV9UT1RBTF9DTC4yMDAwLjQvMS8yMDI1Li4uVVNELkgBAAAA3rYBAAIAAAAFMzMxNDIBCAAAAAUAAAABMQEAAAALLTE5NTgyODA2MTUDAAAAAzE2MAIAAAAEMTAwOQQAAAABMAcAAAAINC8xLzIwMjUIAAAACjEyLzMxLzIwMjQJAAAAATCSM4RkwXPdCGsRwZTEc90ILENJUS5OWVNFOklCTS5JUV9MVF9ERUJULjk5MC40LzEvMjAyNS4uLlVTRC5IAQAAAN62AQACAAAABTM0OTkxAQgAAAAFAAAAATEBAAAA</t>
  </si>
  <si>
    <t>CjE4Mjk5MTE5NjgDAAAAAzE2MAIAAAAEMTA0OQQAAAABMAcAAAAINC8xLzIwMjUIAAAACjEyLzMxLzIwMTQJAAAAATCSM4RkwXPdCHP04JTEc90ILENJUS5OWVNFOklCTS5JUV9MVF9ERUJULjk5MS40LzEvMjAyNS4uLlVTRC5IAQAAAN62AQACAAAABTMzNDMxAQgAAAAFAAAAATEBAAAACjE4NzY0MzI4NzIDAAAAAzE2MAIAAAAEMTA0OQQAAAABMAcAAAAINC8xLzIwMjUIAAAACjEyLzMxLzIwMTUJAAAAATCSM4RkwXPdCHP04JTEc90ILENJUS5OWVNFOklCTS5JUV9MVF9ERUJULjk5Mi40LzEvMjAyNS4uLlVTRC5IAQAAAN62AQACAAAABTM0NjYzAQgAAAAFAAAAATEBAAAACjE5NDcxNzk1ODMDAAAAAzE2MAIAAAAEMTA0OQQAAAABMAcAAAAINC8xLzIwMjUIAAAACjEyLzMxLzIwMTYJAAAAATCSM4RkwXPdCHP04JTEc90ILENJUS5OWVNFOklCTS5JUV9MVF9ERUJULjk5My40LzEvMjAyNS4uLlVTRC5IAQAAAN62AQACAAAABTM5ODcxAQgAAAAFAAAAATEBAAAACjIwMTcxNjQyNDQDAAAAAzE2MAIAAAAEMTA0OQQAAAABMAcAAAAINC8xLzIwMjUIAAAACjEyLzMxLzIwMTcJAAAAATCSM4RkwXPdCHP04JTEc90ILUNJUS5OWVNFOklCTS5JUV9UT1RBTF9DTC45OTYuNC8xLzIwMjUuLi5VU0QuSAEAAADetgEAAgAAAAUzOTg2OQEIAAAABQAAAAExAQAAAAstMjA1OTA3MzIwMgMAAAADMTYwAgAAAAQxMDA5BAAA</t>
  </si>
  <si>
    <t>AAEwBwAAAAg0LzEvMjAyNQgAAAAKMTIvMzEvMjAyMAkAAAABMJIzhGTBc90Ic/TglMRz3QgtQ0lRLk5ZU0U6SUJNLklRX1RPVEFMX0NMLjk5Ny40LzEvMjAyNS4uLlVTRC5IAQAAAN62AQACAAAABTMzNjE5AQgAAAAFAAAAATEBAAAACy0yMDA4NjQ3MTk4AwAAAAMxNjACAAAABDEwMDkEAAAAATAHAAAACDQvMS8yMDI1CAAAAAoxMi8zMS8yMDIxCQAAAAEwkjOEZMFz3Qhz9OCUxHPdCC1DSVEuTllTRTpJQk0uSVFfVE9UQUxfQ0wuOTk4LjQvMS8yMDI1Li4uVVNELkgBAAAA3rYBAAIAAAAFMzE1MDUBCAAAAAUAAAABMQEAAAALLTE5NTgyODEwOTYDAAAAAzE2MAIAAAAEMTAwOQQAAAABMAcAAAAINC8xLzIwMjUIAAAACjEyLzMxLzIwMjIJAAAAATCSM4RkwXPdCHP04JTEc90ILUNJUS5OWVNFOklCTS5JUV9UT1RBTF9DTC45OTkuNC8xLzIwMjUuLi5VU0QuSAEAAADetgEAAgAAAAUzNDEyMgEIAAAABQAAAAExAQAAAAstMTk1ODI4MTA5NQMAAAADMTYwAgAAAAQxMDA5BAAAAAEwBwAAAAg0LzEvMjAyNQgAAAAKMTIvMzEvMjAyMwkAAAABMJIzhGTBc90Iu1/BlMRz3QguQ0lRLk5ZU0U6SUJNLklRX1RPVEFMX0NMLjEwMDAuNC8xLzIwMjUuLi5VU0QuSAEAAADetgEAAgAAAAUzMzE0MgEIAAAABQAAAAExAQAAAAstMTk1ODI4MTA5NwMAAAADMTYwAgAAAAQxMDA5BAAAAAEwBwAAAAg0LzEvMjAyNQgAAAAKMTIv</t>
  </si>
  <si>
    <t>MzEvMjAyNAkAAAABMJIzhGTBc90Ic/TglMRz3QgtQ0lRLk5ZU0U6SUJNLklRX1RPVEFMX0NMLjk5MS40LzEvMjAyNS4uLlVTRC5IAQAAAN62AQACAAAABTM0MjY5AQgAAAAFAAAAATEBAAAACjE4NzY0MzI4NzIDAAAAAzE2MAIAAAAEMTAwOQQAAAABMAcAAAAINC8xLzIwMjUIAAAACjEyLzMxLzIwMTUJAAAAATCSM4RkwXPdCHP04JTEc90ILUNJUS5OWVNFOklCTS5JUV9UT1RBTF9DTC45OTIuNC8xLzIwMjUuLi5VU0QuSAEAAADetgEAAgAAAAUzNjI3NQEIAAAABQAAAAExAQAAAAoxOTQ3MTc5NTgzAwAAAAMxNjACAAAABDEwMDkEAAAAATAHAAAACDQvMS8yMDI1CAAAAAoxMi8zMS8yMDE2CQAAAAEwkjOEZMFz3Qhz9OCUxHPdCC1DSVEuTllTRTpJQk0uSVFfVE9UQUxfQ0wuOTkzLjQvMS8yMDI1Li4uVVNELkgBAAAA3rYBAAIAAAAFMzczNjMBCAAAAAUAAAABMQEAAAAKMjAxNzE2NDI0NAMAAAADMTYwAgAAAAQxMDA5BAAAAAEwBwAAAAg0LzEvMjAyNQgAAAAKMTIvMzEvMjAxNwkAAAABMJIzhGTBc90Ic/TglMRz3QgtQ0lRLk5ZU0U6SUJNLklRX1RPVEFMX0NMLjk5NC40LzEvMjAyNS4uLlVTRC5IAQAAAN62AQACAAAABTM4MjI3AQgAAAAFAAAAATEBAAAACjIwODE1MDU0MDEDAAAAAzE2MAIAAAAEMTAwOQQAAAABMAcAAAAINC8xLzIwMjUIAAAACjEyLzMxLzIwMTgJAAAAATCSM4RkwXPdCHP04JTEc90I</t>
  </si>
  <si>
    <t>LUNJUS5OWVNFOklCTS5JUV9UT1RBTF9DTC45OTUuNC8xLzIwMjUuLi5VU0QuSAEAAADetgEAAgAAAAUzNzcwMQEIAAAABQAAAAExAQAAAAstMjExMDc2OTM1NQMAAAADMTYwAgAAAAQxMDA5BAAAAAEwBwAAAAg0LzEvMjAyNQgAAAAKMTIvMzEvMjAxOQkAAAABMJIzhGTBc90Ic/TglMRz3QgzQ0lRLk5ZU0U6SUJNLklRX09USEVSX0NMX1NVUFBMLjk5OC40LzEvMjAyNS4uLlVTRC5IAQAAAN62AQACAAAAAzU0NgEIAAAABQAAAAExAQAAAAstMTk1ODI4MTA5NgMAAAADMTYwAgAAAAQxMDU3BAAAAAEwBwAAAAg0LzEvMjAyNQgAAAAKMTIvMzEvMjAyMgkAAAABMJIzhGTBc90Ic/TglMRz3QgzQ0lRLk5ZU0U6SUJNLklRX09USEVSX0NMX1NVUFBMLjk5OS40LzEvMjAyNS4uLlVTRC5IAQAAAN62AQACAAAAAzI5NQEIAAAABQAAAAExAQAAAAstMTk1ODI4MTA5NQMAAAADMTYwAgAAAAQxMDU3BAAAAAEwBwAAAAg0LzEvMjAyNQgAAAAKMTIvMzEvMjAyMwkAAAABMJIzhGTBc90Iu1/BlMRz3Qg0Q0lRLk5ZU0U6SUJNLklRX09USEVSX0NMX1NVUFBMLjEwMDAuNC8xLzIwMjUuLi5VU0QuSAEAAADetgEAAgAAAAMyNjEBCAAAAAUAAAABMQEAAAALLTE5NTgyODEwOTcDAAAAAzE2MAIAAAAEMTA1NwQAAAABMAcAAAAINC8xLzIwMjUIAAAACjEyLzMxLzIwMjQJAAAAATCSM4RkwXPdCP2l4JTEc90INENJUS5OWVNFOklC</t>
  </si>
  <si>
    <t>TS5JUV9PVEhFUl9DTF9TVVBQTC4yMDAwLjQvMS8yMDI1Li4uVVNELkgBAAAA3rYBAAIAAAADMjYxAQgAAAAFAAAAATEBAAAACy0xOTU4MjgwNjE1AwAAAAMxNjACAAAABDEwNTcEAAAAATAHAAAACDQvMS8yMDI1CAAAAAoxMi8zMS8yMDI0CQAAAAEwkjOEZMFz3QhrEcGUxHPdCC1DSVEuTllTRTpJQk0uSVFfVE9UQUxfQ0wuOTkwLjQvMS8yMDI1Li4uVVNELkgBAAAA3rYBAAIAAAAFMzk1ODEBCAAAAAUAAAABMQEAAAAKMTgyOTkxMTk2OAMAAAADMTYwAgAAAAQxMDA5BAAAAAEwBwAAAAg0LzEvMjAyNQgAAAAKMTIvMzEvMjAxNAkAAAABMJIzhGTBc90I/aXglMRz3QgzQ0lRLk5ZU0U6SUJNLklRX09USEVSX0NMX1NVUFBMLjk5My40LzEvMjAyNS4uLlVTRC5IAQAAAN62AQACAAAAAzQwMwEIAAAABQAAAAExAQAAAAoyMDE3MTY0MjQ0AwAAAAMxNjACAAAABDEwNTcEAAAAATAHAAAACDQvMS8yMDI1CAAAAAoxMi8zMS8yMDE3CQAAAAEwkjOEZMFz3Qj9peCUxHPdCDNDSVEuTllTRTpJQk0uSVFfT1RIRVJfQ0xfU1VQUEwuOTk0LjQvMS8yMDI1Li4uVVNELkgBAAAA3rYBAAIAAAADMTc3AQgAAAAFAAAAATEBAAAACjIwODE1MDU0MDEDAAAAAzE2MAIAAAAEMTA1NwQAAAABMAcAAAAINC8xLzIwMjUIAAAACjEyLzMxLzIwMTgJAAAAATCSM4RkwXPdCP2l4JTEc90IM0NJUS5OWVNFOklCTS5JUV9PVEhFUl9DTF9T</t>
  </si>
  <si>
    <t>VVBQTC45OTUuNC8xLzIwMjUuLi5VU0QuSAEAAADetgEAAgAAAAMxNjcBCAAAAAUAAAABMQEAAAALLTIxMTA3NjkzNTUDAAAAAzE2MAIAAAAEMTA1NwQAAAABMAcAAAAINC8xLzIwMjUIAAAACjEyLzMxLzIwMTkJAAAAATCSM4RkwXPdCP2l4JTEc90IM0NJUS5OWVNFOklCTS5JUV9PVEhFUl9DTF9TVVBQTC45OTYuNC8xLzIwMjUuLi5VU0QuSAEAAADetgEAAgAAAAQ0NDA2AQgAAAAFAAAAATEBAAAACy0yMDU5MDczMjAyAwAAAAMxNjACAAAABDEwNTcEAAAAATAHAAAACDQvMS8yMDI1CAAAAAoxMi8zMS8yMDIwCQAAAAEwkjOEZMFz3Qj9peCUxHPdCDNDSVEuTllTRTpJQk0uSVFfT1RIRVJfQ0xfU1VQUEwuOTk3LjQvMS8yMDI1Li4uVVNELkgBAAAA3rYBAAIAAAACNjABCAAAAAUAAAABMQEAAAALLTIwMDg2NDcxOTgDAAAAAzE2MAIAAAAEMTA1NwQAAAABMAcAAAAINC8xLzIwMjUIAAAACjEyLzMxLzIwMjEJAAAAATCSM4RkwXPdCP2l4JTEc90IOkNJUS5OWVNFOklCTS5JUV9ERUZfVEFYX0xJQUJfQ1VSUkVOVC4xMDAwLjQvMS8yMDI1Li4uVVNELkgBAAAA3rYBAAMAAAAAAJIzhGTBc90I/aXglMRz3Qg6Q0lRLk5ZU0U6SUJNLklRX0RFRl9UQVhfTElBQl9DVVJSRU5ULjIwMDAuNC8xLzIwMjUuLi5VU0QuSAEAAADetgEAAwAAAAAAkjOEZMFz3QhrEcGUxHPdCDNDSVEuTllTRTpJQk0uSVFfT1RIRVJfQ0xf</t>
  </si>
  <si>
    <t>U1VQUEwuOTkwLjQvMS8yMDI1Li4uVVNELkgBAAAA3rYBAAIAAAADMTc4AQgAAAAFAAAAATEBAAAACjE4Mjk5MTE5NjgDAAAAAzE2MAIAAAAEMTA1NwQAAAABMAcAAAAINC8xLzIwMjUIAAAACjEyLzMxLzIwMTQJAAAAATCSM4RkwXPdCP2l4JTEc90IM0NJUS5OWVNFOklCTS5JUV9PVEhFUl9DTF9TVVBQTC45OTEuNC8xLzIwMjUuLi5VU0QuSAEAAADetgEAAgAAAAMxNzUBCAAAAAUAAAABMQEAAAAKMTg3NjQzMjg3MgMAAAADMTYwAgAAAAQxMDU3BAAAAAEwBwAAAAg0LzEvMjAyNQgAAAAKMTIvMzEvMjAxNQkAAAABMJIzhGTBc90I/aXglMRz3QgzQ0lRLk5ZU0U6SUJNLklRX09USEVSX0NMX1NVUFBMLjk5Mi40LzEvMjAyNS4uLlVTRC5IAQAAAN62AQACAAAAAzE1OQEIAAAABQAAAAExAQAAAAoxOTQ3MTc5NTgzAwAAAAMxNjACAAAABDEwNTcEAAAAATAHAAAACDQvMS8yMDI1CAAAAAoxMi8zMS8yMDE2CQAAAAEwkjOEZMFz3Qj9peCUxHPdCDlDSVEuTllTRTpJQk0uSVFfREVGX1RBWF9MSUFCX0NVUlJFTlQuOTk1LjQvMS8yMDI1Li4uVVNELkgBAAAA3rYBAAMAAAAAAJIzhGTBc90I/aXglMRz3Qg5Q0lRLk5ZU0U6SUJNLklRX0RFRl9UQVhfTElBQl9DVVJSRU5ULjk5Ni40LzEvMjAyNS4uLlVTRC5IAQAAAN62AQADAAAAAACSM4RkwXPdCP2l4JTEc90IOUNJUS5OWVNFOklCTS5JUV9ERUZfVEFYX0xJQUJf</t>
  </si>
  <si>
    <t>Q1VSUkVOVC45OTcuNC8xLzIwMjUuLi5VU0QuSAEAAADetgEAAwAAAAAAkjOEZMFz3Qj9peCUxHPdCDlDSVEuTllTRTpJQk0uSVFfREVGX1RBWF9MSUFCX0NVUlJFTlQuOTk4LjQvMS8yMDI1Li4uVVNELkgBAAAA3rYBAAMAAAAAAJIzhGTBc90I/aXglMRz3Qg5Q0lRLk5ZU0U6SUJNLklRX0RFRl9UQVhfTElBQl9DVVJSRU5ULjk5OS40LzEvMjAyNS4uLlVTRC5IAQAAAN62AQADAAAAAACSM4RkwXPdCLtfwZTEc90IOUNJUS5OWVNFOklCTS5JUV9ERUZfVEFYX0xJQUJfQ1VSUkVOVC45OTAuNC8xLzIwMjUuLi5VU0QuSAEAAADetgEAAwAAAAAAkjOEZMFz3Qj9peCUxHPdCDlDSVEuTllTRTpJQk0uSVFfREVGX1RBWF9MSUFCX0NVUlJFTlQuOTkxLjQvMS8yMDI1Li4uVVNELkgBAAAA3rYBAAMAAAAAAJIzhGTBc90I/aXglMRz3Qg5Q0lRLk5ZU0U6SUJNLklRX0RFRl9UQVhfTElBQl9DVVJSRU5ULjk5Mi40LzEvMjAyNS4uLlVTRC5IAQAAAN62AQADAAAAAACSM4RkwXPdCP2l4JTEc90IOUNJUS5OWVNFOklCTS5JUV9ERUZfVEFYX0xJQUJfQ1VSUkVOVC45OTMuNC8xLzIwMjUuLi5VU0QuSAEAAADetgEAAwAAAAAAkjOEZMFz3Qj9peCUxHPdCDlDSVEuTllTRTpJQk0uSVFfREVGX1RBWF9MSUFCX0NVUlJFTlQuOTk0LjQvMS8yMDI1Li4uVVNELkgBAAAA3rYBAAMAAAAAAJIzhGTBc90I/aXglMRz3Qg3Q0lRLk5Z</t>
  </si>
  <si>
    <t>U0U6SUJNLklRX1VORUFSTl9SRVZfQ1VSUkVOVC45OTcuNC8xLzIwMjUuLi5VU0QuSAEAAADetgEAAgAAAAUxMjUxOAEIAAAABQAAAAExAQAAAAstMjAwODY0NzE5OAMAAAADMTYwAgAAAAQxMDc0BAAAAAEwBwAAAAg0LzEvMjAyNQgAAAAKMTIvMzEvMjAyMQkAAAABMJIzhGTBc90I/aXglMRz3Qg3Q0lRLk5ZU0U6SUJNLklRX1VORUFSTl9SRVZfQ1VSUkVOVC45OTguNC8xLzIwMjUuLi5VU0QuSAEAAADetgEAAgAAAAUxMjAzMgEIAAAABQAAAAExAQAAAAstMTk1ODI4MTA5NgMAAAADMTYwAgAAAAQxMDc0BAAAAAEwBwAAAAg0LzEvMjAyNQgAAAAKMTIvMzEvMjAyMgkAAAABMJIzhGTBc90I/aXglMRz3QglQ0lRLk5ZU0U6SUJNLklRX1JFVi4uNC8xLzIwMjUuLi5VU0QuSAEAAADetgEAAgAAAAU2MjA0NAEIAAAABQAAAAExAQAAAAstMTk1ODI4MDYxNQMAAAADMTYwAgAAAAMxMTIEAAAAATAHAAAACDQvMS8yMDI1CAAAAAoxMi8zMS8yMDI0CQAAAAEwCiwCt8Fz3QhC+uRvw3PdCCRDSVEuTllTRTpJQk0uSVFfUEVSSU9EREFURS4uNC8xLzIwMjUBAAAA3rYBAAUAAAAKMTIvMzEvMjAyNAAnM3G4wXPdCGDNXofDc90ILUNJUS5OWVNFOklCTS5JUV9GSU5fRElWX1JFVi4uNC8xLzIwMjUuLi5VU0QuSAEAAADetgEAAgAAAAM3MDkBCAAAAAUAAAABMQEAAAALLTE5NTgyODA2MTUDAAAAAzE2MAIAAAACNTIEAAAA</t>
  </si>
  <si>
    <t>ATAHAAAACDQvMS8yMDI1CAAAAAoxMi8zMS8yMDI0CQAAAAEwO6f/V8Nz3QhC+uRvw3PdCC1DSVEuTllTRTpJQk0uSVFfSU5TX0RJVl9SRVYuLjQvMS8yMDI1Li4uVVNELkgBAAAA3rYBAAMAAAAAADun/1fDc90IQvrkb8Nz3QgxQ0lRLk5ZU0U6SUJNLklRX0dBSU5fQVNTRVRTX1JFVi4uNC8xLzIwMjUuLi5VU0QuSAEAAADetgEAAwAAAAAAO6f/V8Nz3QhC+uRvw3PdCDFDSVEuTllTRTpJQk0uSVFfR0FJTl9JTlZFU1RfUkVWLi40LzEvMjAyNS4uLlVTRC5IAQAAAN62AQADAAAAAAA7p/9Xw3PdCEL65G/Dc90ILUNJUS5OWVNFOklCTS5JUV9JTlRfSU5WX0lOQy4uNC8xLzIwMjUuLi5VU0QuSAEAAADetgEAAwAAAAAAO6f/V8Nz3QhC+uRvw3PdCDFDSVEuTllTRTpJQk0uSVFfT1RIRVJfUkVWX1NVUFBMLi40LzEvMjAyNS4uLlVTRC5IAQAAAN62AQADAAAAAAA7p/9Xw3PdCEL65G/Dc90IK0NJUS5OWVNFOklCTS5JUV9UT1RBTF9SRVYuLjQvMS8yMDI1Li4uVVNELkgBAAAA3rYBAAIAAAAFNjI3NTMBCAAAAAUAAAABMQEAAAALLTE5NTgyODA2MTUDAAAAAzE2MAIAAAACMjgEAAAAATAHAAAACDQvMS8yMDI1CAAAAAoxMi8zMS8yMDI0CQAAAAEwO6f/V8Nz3Qj98vBvw3PdCCZDSVEuTllTRTpJQk0uSVFfQ09HUy4uNC8xLzIwMjUuLi5VU0QuSAEAAADetgEAAgAAAAUyNjgzMgEIAAAABQAAAAExAQAAAAstMTk1</t>
  </si>
  <si>
    <t>ODI4MDYxNQMAAAADMTYwAgAAAAIzNAQAAAABMAcAAAAINC8xLzIwMjUIAAAACjEyLzMxLzIwMjQJAAAAATA7p/9Xw3PdCEL65G/Dc90ILUNJUS5OWVNFOklCTS5JUV9GSU5fRElWX0VYUC4uNC8xLzIwMjUuLi5VU0QuSAEAAADetgEAAgAAAAMzNjkBCAAAAAUAAAABMQEAAAALLTE5NTgyODA2MTUDAAAAAzE2MAIAAAACNTEEAAAAATAHAAAACDQvMS8yMDI1CAAAAAoxMi8zMS8yMDI0CQAAAAEwO6f/V8Nz3QhC+uRvw3PdCC1DSVEuTllTRTpJQk0uSVFfSU5TX0RJVl9FWFAuLjQvMS8yMDI1Li4uVVNELkgBAAAA3rYBAAMAAAAAADun/1fDc90IQvrkb8Nz3QgxQ0lRLk5ZU0U6SUJNLklRX0ZJTl9ESVZfSU5UX0VYUC4uNC8xLzIwMjUuLi5VU0QuSAEAAADetgEAAwAAAAAAO6f/V8Nz3QhC+uRvw3PdCCRDSVEuTllTRTpJQk0uSVFfR1AuLjQvMS8yMDI1Li4uVVNELkgBAAAA3rYBAAIAAAAFMzU1NTIBCAAAAAUAAAABMQEAAAALLTE5NTgyODA2MTUDAAAAAzE2MAIAAAACMTAEAAAAATAHAAAACDQvMS8yMDI1CAAAAAoxMi8zMS8yMDI0CQAAAAEwO6f/V8Nz3QhC+uRvw3PdCCtDSVEuTllTRTpJQk0uSVFfU0dBX1NVUFBMLi40LzEvMjAyNS4uLlVTRC5IAQAAAN62AQACAAAABTIyMzk0AQgAAAAFAAAAATEBAAAACy0xOTU4MjgwNjE1AwAAAAMxNjACAAAAAzEwMgQAAAABMAcAAAAINC8xLzIwMjUIAAAACjEyLzMx</t>
  </si>
  <si>
    <t>LzIwMjQJAAAAATA7p/9Xw3PdCEL65G/Dc90IL0NJUS5OWVNFOklCTS5JUV9FWFBMT1JFX0RSSUxMLi40LzEvMjAyNS4uLlVTRC5IAQAAAN62AQADAAAAAAA7p/9Xw3PdCEL65G/Dc90IMENJUS5OWVNFOklCTS5JUV9QUk9WX0JBRF9ERUJUUy4uNC8xLzIwMjUuLi5VU0QuSAEAAADetgEAAwAAAAAAO6f/V8Nz3QhC+uRvw3PdCC1DSVEuTllTRTpJQk0uSVFfU1RPQ0tfQkFTRUQuLjQvMS8yMDI1Li4uVVNELkgBAAAA3rYBAAMAAAAAADun/1fDc90IQvrkb8Nz3QgvQ0lRLk5ZU0U6SUJNLklRX1BSRV9PUEVOX0NPU1QuLjQvMS8yMDI1Li4uVVNELkgBAAAA3rYBAAMAAAAAADun/1fDc90IQvrkb8Nz3QgoQ0lRLk5ZU0U6SUJNLklRX1JEX0VYUC4uNC8xLzIwMjUuLi5VU0QuSAEAAADetgEAAgAAAAQ3NDc5AQgAAAAFAAAAATEBAAAACy0xOTU4MjgwNjE1AwAAAAMxNjACAAAAAzEwMAQAAAABMAcAAAAINC8xLzIwMjUIAAAACjEyLzMxLzIwMjQJAAAAATA7p/9Xw3PdCEL65G/Dc90IKkNJUS5OWVNFOklCTS5JUV9EQV9TVVBQTC4uNC8xLzIwMjUuLi5VU0QuSAEAAADetgEAAwAAAAAAO6f/V8Nz3QhC+uRvw3PdCDBDSVEuTllTRTpJQk0uSVFfR1dfSU5UQU5fQU1PUlQuLjQvMS8yMDI1Li4uVVNELkgBAAAA3rYBAAMAAAAAADun/1fDc90IQvrkb8Nz3QgsQ0lRLk5ZU0U6SUJNLklRX0lNUEFJUl9PSUwuLjQvMS8y</t>
  </si>
  <si>
    <t>MDI1Li4uVVNELkgBAAAA3rYBAAMAAAAAADun/1fDc90IQvrkb8Nz3QgsQ0lRLk5ZU0U6SUJNLklRX09USEVSX09QRVIuLjQvMS8yMDI1Li4uVVNELkgBAAAA3rYBAAIAAAAELTk5NgEIAAAABQAAAAExAQAAAAstMTk1ODI4MDYxNQMAAAADMTYwAgAAAAMyNjAEAAAAATAHAAAACDQvMS8yMDI1CAAAAAoxMi8zMS8yMDI0CQAAAAEwO6f/V8Nz3QhC+uRvw3PdCDJDSVEuTllTRTpJQk0uSVFfVE9UQUxfT1RIRVJfT1BFUi4uNC8xLzIwMjUuLi5VU0QuSAEAAADetgEAAgAAAAUyODg3NwEIAAAABQAAAAExAQAAAAstMTk1ODI4MDYxNQMAAAADMTYwAgAAAAMzODAEAAAAATAHAAAACDQvMS8yMDI1CAAAAAoxMi8zMS8yMDI0CQAAAAEwO6f/V8Nz3QhC+uRvw3PdCCpDSVEuTllTRTpJQk0uSVFfT1BFUl9JTkMuLjQvMS8yMDI1Li4uVVNELkgBAAAA3rYBAAIAAAAENjY3NQEIAAAABQAAAAExAQAAAAstMTk1ODI4MDYxNQMAAAADMTYwAgAAAAIyMQQAAAABMAcAAAAINC8xLzIwMjUIAAAACjEyLzMxLzIwMjQJAAAAATA7p/9Xw3PdCEL65G/Dc90ILkNJUS5OWVNFOklCTS5JUV9JTlRFUkVTVF9FWFAuLjQvMS8yMDI1Li4uVVNELkgBAAAA3rYBAAIAAAAFLTE3MTIBCAAAAAUAAAABMQEAAAALLTE5NTgyODA2MTUDAAAAAzE2MAIAAAACODIEAAAAATAHAAAACDQvMS8yMDI1CAAAAAoxMi8zMS8yMDI0CQAAAAEwO6f/V8Nz</t>
  </si>
  <si>
    <t>3QhC+uRvw3PdCDVDSVEuTllTRTpJQk0uSVFfSU5URVJFU1RfSU5WRVNUX0lOQy4uNC8xLzIwMjUuLi5VU0QuSAEAAADetgEAAgAAAAM3NDcBCAAAAAUAAAABMQEAAAALLTE5NTgyODA2MTUDAAAAAzE2MAIAAAACNjUEAAAAATAHAAAACDQvMS8yMDI1CAAAAAoxMi8zMS8yMDI0CQAAAAEwO6f/V8Nz3QhC+uRvw3PdCDJDSVEuTllTRTpJQk0uSVFfTkVUX0lOVEVSRVNUX0VYUC4uNC8xLzIwMjUuLi5VU0QuSAEAAADetgEAAgAAAAQtOTY1AQgAAAAFAAAAATEBAAAACy0xOTU4MjgwNjE1AwAAAAMxNjACAAAAAzM2OAQAAAABMAcAAAAINC8xLzIwMjUIAAAACjEyLzMxLzIwMjQJAAAAATA7p/9Xw3PdCEL65G/Dc90ILENJUS5OWVNFOklCTS5JUV9JTkNfRVFVSVRZLi40LzEvMjAyNS4uLlVTRC5IAQAAAN62AQADAAAAAAA7p/9Xw3PdCEL65G/Dc90IL0NJUS5OWVNFOklCTS5JUV9DVVJSRU5DWV9HQUlOLi40LzEvMjAyNS4uLlVTRC5IAQAAAN62AQACAAAAAjIwAQgAAAAFAAAAATEBAAAACy0xOTU4MjgwNjE1AwAAAAMxNjACAAAAAjM4BAAAAAEwBwAAAAg0LzEvMjAyNQgAAAAKMTIvMzEvMjAyNAkAAAABMDun/1fDc90IQvrkb8Nz3Qg6Q0lRLk5ZU0U6SUJNLklRX09USEVSX05PTl9PUEVSX0VYUF9TVVBQTC4uNC8xLzIwMjUuLi5VU0QuSAEAAADetgEAAgAAAAQzOTc5AQgAAAAFAAAAATEBAAAACy0xOTU4Mjgw</t>
  </si>
  <si>
    <t>NjE1AwAAAAMxNjACAAAAAjg1BAAAAAEwBwAAAAg0LzEvMjAyNQgAAAAKMTIvMzEvMjAyNAkAAAABMDun/1fDc90IQvrkb8Nz3QgqQ0lRLk5ZU0U6SUJNLklRX0VCVF9FWENMLi40LzEvMjAyNS4uLlVTRC5IAQAAAN62AQACAAAABDk3MDkBCAAAAAUAAAABMQEAAAALLTE5NTgyODA2MTUDAAAAAzE2MAIAAAABNAQAAAABMAcAAAAINC8xLzIwMjUIAAAACjEyLzMxLzIwMjQJAAAAATA7p/9Xw3PdCEL65G/Dc90ILUNJUS5OWVNFOklCTS5JUV9SRVNUUlVDVFVSRS4uNC8xLzIwMjUuLi5VU0QuSAEAAADetgEAAgAAAAQtNjk2AQgAAAAFAAAAATEBAAAACy0xOTU4MjgwNjE1AwAAAAMxNjACAAAAAjk4BAAAAAEwBwAAAAg0LzEvMjAyNQgAAAAKMTIvMzEvMjAyNAkAAAABMDun/1fDc90IQvrkb8Nz3QgoQ0lRLk5ZU0U6SUJNLklRX01FUkdFUi4uNC8xLzIwMjUuLi5VU0QuSAEAAADetgEAAgAAAAQtMTIzAQgAAAAFAAAAATEBAAAACy0xOTU4MjgwNjE1AwAAAAMxNjACAAAAAjgwBAAAAAEwBwAAAAg0LzEvMjAyNQgAAAAKMTIvMzEvMjAyNAkAAAABMDun/1fDc90IQvrkb8Nz3QgvQ0lRLk5ZU0U6SUJNLklRX0lNUEFJUk1FTlRfR1cuLjQvMS8yMDI1Li4uVVNELkgBAAAA3rYBAAMAAAAAADun/1fDc90IQvrkb8Nz3QgtQ0lRLk5ZU0U6SUJNLklRX0dBSU5fSU5WRVNULi40LzEvMjAyNS4uLlVTRC5IAQAAAN62AQAC</t>
  </si>
  <si>
    <t>AAAAAjIwAQgAAAAFAAAAATEBAAAACy0xOTU4MjgwNjE1AwAAAAMxNjACAAAAAjYyBAAAAAEwBwAAAAg0LzEvMjAyNQgAAAAKMTIvMzEvMjAyNAkAAAABMDun/1fDc90IQvrkb8Nz3QgtQ0lRLk5ZU0U6SUJNLklRX0dBSU5fQVNTRVRTLi40LzEvMjAyNS4uLlVTRC5IAQAAAN62AQADAAAAAAA7p/9Xw3PdCEL65G/Dc90IMUNJUS5OWVNFOklCTS5JUV9BU1NFVF9XUklURURPV04uLjQvMS8yMDI1Li4uVVNELkgBAAAA3rYBAAMAAAAAADun/1fDc90IQvrkb8Nz3QgmQ0lRLk5ZU0U6SUJNLklRX0lQUkQuLjQvMS8yMDI1Li4uVVNELkgBAAAA3rYBAAMAAAAAADun/1fDc90IQvrkb8Nz3QgsQ0lRLk5ZU0U6SUJNLklRX0lOU19TRVRUTEUuLjQvMS8yMDI1Li4uVVNELkgBAAAA3rYBAAMAAAAAADun/1fDc90IQvrkb8Nz3QguQ0lRLk5ZU0U6SUJNLklRX0xFR0FMX1NFVFRMRS4uNC8xLzIwMjUuLi5VU0QuSAEAAADetgEAAwAAAAAAO6f/V8Nz3QhC+uRvw3PdCDVDSVEuTllTRTpJQk0uSVFfT1RIRVJfVU5VU1VBTF9TVVBQTC4uNC8xLzIwMjUuLi5VU0QuSAEAAADetgEAAgAAAAUtMzExMwEIAAAABQAAAAExAQAAAAstMTk1ODI4MDYxNQMAAAADMTYwAgAAAAI4NwQAAAABMAcAAAAINC8xLzIwMjUIAAAACjEyLzMxLzIwMjQJAAAAATA7p/9Xw3PdCEL65G/Dc90IJUNJUS5OWVNFOklCTS5JUV9FQlQuLjQvMS8yMDI1</t>
  </si>
  <si>
    <t>Li4uVVNELkgBAAAA3rYBAAIAAAAENTc5NwEIAAAABQAAAAExAQAAAAstMTk1ODI4MDYxNQMAAAADMTYwAgAAAAMxMzkEAAAAATAHAAAACDQvMS8yMDI1CAAAAAoxMi8zMS8yMDI0CQAAAAEwO6f/V8Nz3QhC+uRvw3PdCClDSVEuTllTRTpJQk0uSVFfSU5DX1RBWC4uNC8xLzIwMjUuLi5VU0QuSAEAAADetgEAAgAAAAQtMjE4AQgAAAAFAAAAATEBAAAACy0xOTU4MjgwNjE1AwAAAAMxNjACAAAAAjc1BAAAAAEwBwAAAAg0LzEvMjAyNQgAAAAKMTIvMzEvMjAyNAkAAAABMDun/1fDc90IQvrkb8Nz3QgsQ0lRLk5ZU0U6SUJNLklRX0VBUk5JTkdfQ08uLjQvMS8yMDI1Li4uVVNELkgBAAAA3rYBAAIAAAAENjAxNQEIAAAABQAAAAExAQAAAAstMTk1ODI4MDYxNQMAAAADMTYwAgAAAAE3BAAAAAEwBwAAAAg0LzEvMjAyNQgAAAAKMTIvMzEvMjAyNAkAAAABMDun/1fDc90IHFPnb8Nz3QgkQ0lRLk5ZU0U6SUJNLklRX0RPLi40LzEvMjAyNS4uLlVTRC5IAQAAAN62AQACAAAAATgBCAAAAAUAAAABMQEAAAALLTE5NTgyODA2MTUDAAAAAzE2MAIAAAACNDAEAAAAATAHAAAACDQvMS8yMDI1CAAAAAoxMi8zMS8yMDI0CQAAAAEwO6f/V8Nz3QgcU+dvw3PdCDFDSVEuTllTRTpJQk0uSVFfRVhUUkFfQUNDX0lURU1TLi40LzEvMjAyNS4uLlVTRC5IAQAAAN62AQADAAAAAAA7p/9Xw3PdCBxT52/Dc90ILENJUS5OWVNFOklC</t>
  </si>
  <si>
    <t>TS5JUV9OSV9DT01QQU5ZLi40LzEvMjAyNS4uLlVTRC5IAQAAAN62AQACAAAABDYwMjMBCAAAAAUAAAABMQEAAAALLTE5NTgyODA2MTUDAAAAAzE2MAIAAAAFNDE1NzEEAAAAATAHAAAACDQvMS8yMDI1CAAAAAoxMi8zMS8yMDI0CQAAAAEwO6f/V8Nz3QgcU+dvw3PdCDZDSVEuTllTRTpJQk0uSVFfTUlOT1JJVFlfSU5URVJFU1RfSVMuLjQvMS8yMDI1Li4uVVNELkgBAAAA3rYBAAMAAAAAADun/1fDc90IHFPnb8Nz3QgkQ0lRLk5ZU0U6SUJNLklRX05JLi40LzEvMjAyNS4uLlVTRC5IAQAAAN62AQACAAAABDYwMjMBCAAAAAUAAAABMQEAAAALLTE5NTgyODA2MTUDAAAAAzE2MAIAAAACMTUEAAAAATAHAAAACDQvMS8yMDI1CAAAAAoxMi8zMS8yMDI0CQAAAAEwO6f/V8Nz3QgcU+dvw3PdCDBDSVEuTllTRTpJQk0uSVFfUFJFRl9ESVZfT1RIRVIuLjQvMS8yMDI1Li4uVVNELkgBAAAA3rYBAAMAAAAAADun/1fDc90IHFPnb8Nz3QgvQ0lRLk5ZU0U6SUJNLklRX05JX0FWQUlMX0lOQ0wuLjQvMS8yMDI1Li4uVVNELkgBAAAA3rYBAAIAAAAENjAyMwEIAAAABQAAAAExAQAAAAstMTk1ODI4MDYxNQMAAAADMTYwAgAAAAIxNgQAAAABMAcAAAAINC8xLzIwMjUIAAAACjEyLzMxLzIwMjQJAAAAATA7p/9Xw3PdCBxT52/Dc90IL0NJUS5OWVNFOklCTS5JUV9OSV9BVkFJTF9FWENMLi40LzEvMjAyNS4uLlVTRC5IAQAA</t>
  </si>
  <si>
    <t>AN62AQACAAAABDYwMTUBCAAAAAUAAAABMQEAAAALLTE5NTgyODA2MTUDAAAAAzE2MAIAAAADMzc5BAAAAAEwBwAAAAg0LzEvMjAyNQgAAAAKMTIvMzEvMjAyNAkAAAABMDun/1fDc90IHFPnb8Nz3QgwQ0lRLk5ZU0U6SUJNLklRX0JBU0lDX0VQU19JTkNMLi40LzEvMjAyNS4uLlVTRC5IAQAAAN62AQACAAAACDYuNTM0MTgzAQgAAAAFAAAAATEBAAAACy0xOTU4MjgwNjE1AwAAAAMxNjACAAAAATkEAAAAATAHAAAACDQvMS8yMDI1CAAAAAoxMi8zMS8yMDI0CQAAAAEwO6f/V8Nz3QgcU+dvw3PdCDBDSVEuTllTRTpJQk0uSVFfQkFTSUNfRVBTX0VYQ0wuLjQvMS8yMDI1Li4uVVNELkgBAAAA3rYBAAIAAAAINi41MjU1MDQBCAAAAAUAAAABMQEAAAALLTE5NTgyODA2MTUDAAAAAzE2MAIAAAAEMzA2NAQAAAABMAcAAAAINC8xLzIwMjUIAAAACjEyLzMxLzIwMjQJAAAAATA7p/9Xw3PdCBxT52/Dc90IJkNJUS5OWVNFOklCTS5JUV9CQVNJQ19XRUlHSFQuLjQvMS8yMDI1AQAAAN62AQACAAAACjkyMS43Njc4MzQAO6f/V8Nz3QgcU+dvw3PdCDBDSVEuTllTRTpJQk0uSVFfRElMVVRfRVBTX0lOQ0wuLjQvMS8yMDI1Li4uVVNELkgBAAAA3rYBAAIAAAAINi40Mjg1MzYBCAAAAAUAAAABMQEAAAALLTE5NTgyODA2MTUDAAAAAzE2MAIAAAABOAQAAAABMAcAAAAINC8xLzIwMjUIAAAACjEyLzMxLzIwMjQJAAAAATA7</t>
  </si>
  <si>
    <t>p/9Xw3PdCBxT52/Dc90IMENJUS5OWVNFOklCTS5JUV9ESUxVVF9FUFNfRVhDTC4uNC8xLzIwMjUuLi5VU0QuSAEAAADetgEAAgAAAAg2LjQxOTk5OQEIAAAABQAAAAExAQAAAAstMTk1ODI4MDYxNQMAAAADMTYwAgAAAAMxNDIEAAAAATAHAAAACDQvMS8yMDI1CAAAAAoxMi8zMS8yMDI0CQAAAAEwO6f/V8Nz3Qj98vBvw3PdCCZDSVEuTllTRTpJQk0uSVFfRElMVVRfV0VJR0hULi40LzEvMjAyNQEAAADetgEAAgAAAAo5MzcuMTYxMjI0ADun/1fDc90IHFPnb8Nz3QgqQ0lRLk5ZU0U6SUJNLklRX0VQU19OT1JNLi40LzEvMjAyNS4uLlVTRC5IAQAAAN62AQACAAAACDYuNTgzMTM4AQgAAAAFAAAAATEBAAAACy0xOTU4MjgwNjE1AwAAAAMxNjACAAAABDQzNzkEAAAAATAHAAAACDQvMS8yMDI1CAAAAAoxMi8zMS8yMDI0CQAAAAEwO6f/V8Nz3QgcU+dvw3PdCDBDSVEuTllTRTpJQk0uSVFfRElMVVRfRVBTX05PUk0uLjQvMS8yMDI1Li4uVVNELkgBAAAA3rYBAAIAAAAINi40NzUwMDYBCAAAAAUAAAABMQEAAAALLTE5NTgyODA2MTUDAAAAAzE2MAIAAAAENDM4MAQAAAABMAcAAAAINC8xLzIwMjUIAAAACjEyLzMxLzIwMjQJAAAAATA7p/9Xw3PdCBxT52/Dc90IRkNJUS5OWVNFOklCTS5JUV9ESVNUUklCVVRBQkxFX0NBU0hfUEVSX1NIQVJFX0RJTFVURUQuLjQvMS8yMDI1Li4uVVNELkgBAAAA3rYBAAMAAAAA</t>
  </si>
  <si>
    <t>ADun/1fDc90IHFPnb8Nz3Qg5Q0lRLk5ZU0U6SUJNLklRX0RJU1RSSUJVVEFCTEVfQ0FTSF9TSEFSRVNfQkFTSUMuLjQvMS8yMDI1AQAAAN62AQADAAAAAAA7p/9Xw3PdCBxT52/Dc90IO0NJUS5OWVNFOklCTS5JUV9ESVNUUklCVVRBQkxFX0NBU0hfU0hBUkVTX0RJTFVURUQuLjQvMS8yMDI1AQAAAN62AQADAAAAAAA7p/9Xw3PdCBxT52/Dc90IK0NJUS5OWVNFOklCTS5JUV9ESVZfU0hBUkUuLjQvMS8yMDI1Li4uVVNELkgBAAAA3rYBAAIAAAAENi42NwEIAAAABQAAAAExAQAAAAstMTk1ODI4MDYxNQMAAAADMTYwAgAAAAQzMDU4BAAAAAEwBwAAAAg0LzEvMjAyNQgAAAAKMTIvMzEvMjAyNAkAAAABMDun/1fDc90IHFPnb8Nz3QgqQ0lRLk5ZU0U6SUJNLklRX0RSX1JBVElPX1BSSU1BUlkuLjQvMS8yMDI1AQAAAN62AQACAAAAATEAO6f/V8Nz3QgcU+dvw3PdCDFDSVEuTllTRTpJQk0uSVFfVE9UQUxfUkVWX1NIQVJFLi40LzEvMjAyNS4uLlVTRC5IAQAAAN62AQACAAAACTY4LjA3ODk2NAEIAAAABQAAAAExAQAAAAstMTk1ODI4MDYxNQMAAAADMTYwAgAAAAQ0MzgyBAAAAAEwBwAAAAg0LzEvMjAyNQgAAAAKMTIvMzEvMjAyNAkAAAABMDun/1fDc90IHFPnb8Nz3Qg6Q0lRLk5ZU0U6SUJNLklRX0RJU1RSSUJVVEFCTEVfQ0FTSF9TSEFSRS4uNC8xLzIwMjUuLi5VU0QuSAEAAADetgEAAwAAAAAAO6f/V8Nz</t>
  </si>
  <si>
    <t>3QgcU+dvw3PdCDNDSVEuTllTRTpJQk0uSVFfU1BFQ0lBTF9ESVZfU0hBUkUuLjQvMS8yMDI1Li4uVVNELkgBAAAA3rYBAAMAAAAAADun/1fDc90IHFPnb8Nz3QgpQ0lRLk5ZU0U6SUJNLklRX1BFUklPRExFTkdUSF9JUy4uNC8xLzIwMjUBAAAA3rYBAAEAAAACMTIAO6f/V8Nz3QgcU+dvw3PdCChDSVEuTllTRTpJQk0uSVFfRUJJVERBLi40LzEvMjAyNS4uLlVTRC5IAQAAAN62AQACAAAABTEwNDQyAQgAAAAFAAAAATEBAAAACy0xOTU4MjgwNjE1AwAAAAMxNjACAAAABDQwNTEEAAAAATAHAAAACDQvMS8yMDI1CAAAAAoxMi8zMS8yMDI0CQAAAAEwO6f/V8Nz3Qj98vBvw3PdCC9DSVEuTllTRTpJQk0uSVFfRUJJVERBX0VRX0lOQy4uNC8xLzIwMjUuLi5VU0QuSAEAAADetgEAAgAAAAUxMTc1MQEIAAAABQAAAAExAQAAAAstMTk1ODI4MDYxNQMAAAADMTYwAgAAAAUyMTY3NwQAAAABMAcAAAAINC8xLzIwMjUIAAAACjEyLzMxLzIwMjQJAAAAATA7p/9Xw3PdCBxT52/Dc90IOENJUS5OWVNFOklCTS5JUV9FQklUREFfRVFfSU5DX0VYQ0xfU0JDLi40LzEvMjAyNS4uLlVTRC5IAQAAAN62AQACAAAABTExNzUzAQgAAAAFAAAAATEBAAAACy0xOTU4MjgwNjE1AwAAAAMxNjACAAAABTI0MTMxBAAAAAEwBwAAAAg0LzEvMjAyNQgAAAAKMTIvMzEvMjAyNAkAAAABMDun/1fDc90IHFPnb8Nz3QgxQ0lRLk5ZU0U6SUJN</t>
  </si>
  <si>
    <t>LklRX0VCSVREQV9FWENMX1NCQy4uNC8xLzIwMjUuLi5VU0QuSAEAAADetgEAAgAAAAUxMTc1MwEIAAAABQAAAAExAQAAAAstMTk1ODI4MDYxNQMAAAADMTYwAgAAAAUyNDEzNQQAAAABMAcAAAAINC8xLzIwMjUIAAAACjEyLzMxLzIwMjQJAAAAATA7p/9Xw3PdCBxT52/Dc90IN0NJUS5OWVNFOklCTS5JUV9FQklUREFfTEVBU0VfQURKVVNURUQuLjQvMS8yMDI1Li4uVVNELkgBAAAA3rYBAAIAAAAFMTE3NTEBCAAAAAUAAAABMQEAAAALLTE5NTgyODA2MTUDAAAAAzE2MAIAAAAFNDg5OTMEAAAAATAHAAAACDQvMS8yMDI1CAAAAAoxMi8zMS8yMDI0CQAAAAEwO6f/V8Nz3QgcU+dvw3PdCDlDSVEuTllTRTpJQk0uSVFfTEVBU0VfQURKVVNUTUVOVF9FQklUREEuLjQvMS8yMDI1Li4uVVNELkgBAAAA3rYBAAIAAAAEMTMwOQA7p/9Xw3PdCBxT52/Dc90IQ0NJUS5OWVNFOklCTS5JUV9FQklUREFfRVFfSU5DX0VYQ0xfT1BFUl9MRUFTRV9BREouLjQvMS8yMDI1Li4uVVNELkgBAAAA3rYBAAIAAAAFMTA0NDIBCAAAAAUAAAABMQEAAAALLTE5NTgyODA2MTUDAAAAAzE2MAIAAAAFNDg5ODcEAAAAATAHAAAACDQvMS8yMDI1CAAAAAoxMi8zMS8yMDI0CQAAAAEwO6f/V8Nz3QgcU+dvw3PdCCZDSVEuTllTRTpJQk0uSVFfRUJJVC4uNC8xLzIwMjUuLi5VU0QuSAEAAADetgEAAgAAAAQ2Njc1AQgAAAAFAAAAATEBAAAA</t>
  </si>
  <si>
    <t>Cy0xOTU4MjgwNjE1AwAAAAMxNjACAAAAAzQwMAQAAAABMAcAAAAINC8xLzIwMjUIAAAACjEyLzMxLzIwMjQJAAAAATA7p/9Xw3PdCBxT52/Dc90ILUNJUS5OWVNFOklCTS5JUV9FQklUX0VRX0lOQy4uNC8xLzIwMjUuLi5VU0QuSAEAAADetgEAAgAAAAQ2Njc1AQgAAAAFAAAAATEBAAAACy0xOTU4MjgwNjE1AwAAAAMxNjACAAAABTIxNjc1BAAAAAEwBwAAAAg0LzEvMjAyNQgAAAAKMTIvMzEvMjAyNAkAAAABMDun/1fDc90IHFPnb8Nz3Qg2Q0lRLk5ZU0U6SUJNLklRX0VCSVRfRVFfSU5DX0VYQ0xfU0JDLi40LzEvMjAyNS4uLlVTRC5IAQAAAN62AQACAAAABDc5ODYBCAAAAAUAAAABMQEAAAALLTE5NTgyODA2MTUDAAAAAzE2MAIAAAAFMjQxMzAEAAAAATAHAAAACDQvMS8yMDI1CAAAAAoxMi8zMS8yMDI0CQAAAAEwO6f/V8Nz3QgcU+dvw3PdCC9DSVEuTllTRTpJQk0uSVFfRUJJVF9FWENMX1NCQy4uNC8xLzIwMjUuLi5VU0QuSAEAAADetgEAAgAAAAQ3OTg2AQgAAAAFAAAAATEBAAAACy0xOTU4MjgwNjE1AwAAAAMxNjACAAAABTI0MTM0BAAAAAEwBwAAAAg0LzEvMjAyNQgAAAAKMTIvMzEvMjAyNAkAAAABMDun/1fDc90IHFPnb8Nz3QgnQ0lRLk5ZU0U6SUJNLklRX0VCSVRBLi40LzEvMjAyNS4uLlVTRC5IAQAAAN62AQACAAAABDkxNzQBCAAAAAUAAAABMQEAAAALLTE5NTgyODA2MTUDAAAAAzE2MAIA</t>
  </si>
  <si>
    <t>AAAGMTAwNjg5BAAAAAEwBwAAAAg0LzEvMjAyNQgAAAAKMTIvMzEvMjAyNAkAAAABMDun/1fDc90IHFPnb8Nz3QguQ0lRLk5ZU0U6SUJNLklRX0VCSVRBX0VRX0lOQy4uNC8xLzIwMjUuLi5VU0QuSAEAAADetgEAAgAAAAQ5MTc0AQgAAAAFAAAAATEBAAAACy0xOTU4MjgwNjE1AwAAAAMxNjACAAAABTIxNjc2BAAAAAEwBwAAAAg0LzEvMjAyNQgAAAAKMTIvMzEvMjAyNAkAAAABMDun/1fDc90IHFPnb8Nz3Qg3Q0lRLk5ZU0U6SUJNLklRX0VCSVRBX0VRX0lOQ19FWENMX1NCQy4uNC8xLzIwMjUuLi5VU0QuSAEAAADetgEAAgAAAAUxMDQ4NQEIAAAABQAAAAExAQAAAAstMTk1ODI4MDYxNQMAAAADMTYwAgAAAAUyNDEzMgQAAAABMAcAAAAINC8xLzIwMjUIAAAACjEyLzMxLzIwMjQJAAAAATA7p/9Xw3PdCBxT52/Dc90IMENJUS5OWVNFOklCTS5JUV9FQklUQV9FWENMX1NCQy4uNC8xLzIwMjUuLi5VU0QuSAEAAADetgEAAgAAAAUxMDQ4NQEIAAAABQAAAAExAQAAAAstMTk1ODI4MDYxNQMAAAADMTYwAgAAAAUyNDEzNgQAAAABMAcAAAAINC8xLzIwMjUIAAAACjEyLzMxLzIwMjQJAAAAATA7p/9Xw3PdCBxT52/Dc90IKUNJUS5OWVNFOklCTS5JUV9FQklUREFSLi40LzEvMjAyNS4uLlVTRC5IAQAAAN62AQACAAAABTExNzUxAQgAAAAFAAAAATEBAAAACy0xOTU4MjgwNjE1AwAAAAMxNjACAAAABTIxNjc0BAAA</t>
  </si>
  <si>
    <t>AAEwBwAAAAg0LzEvMjAyNQgAAAAKMTIvMzEvMjAyNAkAAAABMDun/1fDc90IHFPnb8Nz3QgwQ0lRLk5ZU0U6SUJNLklRX0VCSVREQVJfRVFfSU5DLi40LzEvMjAyNS4uLlVTRC5IAQAAAN62AQACAAAABTEzMDYwAQgAAAAFAAAAATEBAAAACy0xOTU4MjgwNjE1AwAAAAMxNjACAAAABTI0MTI5BAAAAAEwBwAAAAg0LzEvMjAyNQgAAAAKMTIvMzEvMjAyNAkAAAABMDun/1fDc90IHFPnb8Nz3Qg5Q0lRLk5ZU0U6SUJNLklRX0VCSVREQVJfRVFfSU5DX0VYQ0xfU0JDLi40LzEvMjAyNS4uLlVTRC5IAQAAAN62AQACAAAABTEzMDYyAQgAAAAFAAAAATEBAAAACy0xOTU4MjgwNjE1AwAAAAMxNjACAAAABTI0MTMzBAAAAAEwBwAAAAg0LzEvMjAyNQgAAAAKMTIvMzEvMjAyNAkAAAABMDun/1fDc90IHFPnb8Nz3QgyQ0lRLk5ZU0U6SUJNLklRX0VCSVREQVJfRVhDTF9TQkMuLjQvMS8yMDI1Li4uVVNELkgBAAAA3rYBAAIAAAAFMTMwNjIBCAAAAAUAAAABMQEAAAALLTE5NTgyODA2MTUDAAAAAzE2MAIAAAAFMjQxMzcEAAAAATAHAAAACDQvMS8yMDI1CAAAAAoxMi8zMS8yMDI0CQAAAAEwO6f/V8Nz3QgcU+dvw3PdCC5DSVEuTllTRTpJQk0uSVFfRUJJVERBX0NBUEVYLi40LzEvMjAyNS4uLlVTRC5IAQAAAN62AQACAAAABDkzOTQBCAAAAAUAAAABMQEAAAALLTE5NTgyODA2MTUDAAAAAzE2MAIAAAAFMzUzNzkEAAAA</t>
  </si>
  <si>
    <t>ATAHAAAACDQvMS8yMDI1CAAAAAoxMi8zMS8yMDI0CQAAAAEwO6f/V8Nz3QgcU+dvw3PdCDNDSVEuTllTRTpJQk0uSVFfRkVFU19PVEhFUl9JTkNPTUUuLjQvMS8yMDI1Li4uVVNELkgBAAAA3rYBAAMAAAAAADun/1fDc90IHFPnb8Nz3QgkQ0lRLk5ZU0U6SUJNLklRX1NBTUVfU1RPUkUuLjQvMS8yMDI1AQAAAN62AQADAAAAAAA7p/9Xw3PdCBxT52/Dc90IN0NJUS5OWVNFOklCTS5JUV9UT1RBTF9SRVZfQVNfUkVQT1JURUQuLjQvMS8yMDI1Li4uVVNELkgBAAAA3rYBAAIAAAAFNjI3NTMBCAAAAAUAAAABMQEAAAALLTE5NTgyODA2MTUDAAAAAzE2MAIAAAADMzM5BAAAAAEwBwAAAAg0LzEvMjAyNQgAAAAKMTIvMzEvMjAyNAkAAAABMDun/1fDc90IHFPnb8Nz3Qg0Q0lRLk5ZU0U6SUJNLklRX0FTX1JFUE9SVEVEX0VCSVREQS4uNC8xLzIwMjUuLi5VU0QuSAEAAADetgEAAwAAAAAAO6f/V8Nz3QgcU+dvw3PdCERDSVEuTllTRTpJQk0uSVFfUFJPVl9CQURfREVCVFNfUEFUSUVOVF9TRVJWSUNFX1JFVi4uNC8xLzIwMjUuLi5VU0QuSAEAAADetgEAAwAAAAAAO6f/V8Nz3QgcU+dvw3PdCDtDSVEuTllTRTpJQk0uSVFfRUFSTklOR19QQVJFTlRfRVhDTF9FWFRSQS4uNC8xLzIwMjUuLi5VU0QuSAEAAADetgEAAgAAAAQ2MDE1AQgAAAAFAAAAATEBAAAACy0xOTU4MjgwNjE1AwAAAAMxNjACAAAABTQxNTk2BAAA</t>
  </si>
  <si>
    <t>AAEwBwAAAAg0LzEvMjAyNQgAAAAKMTIvMzEvMjAyNAkAAAABMDun/1fDc90IHFPnb8Nz3QgpQ0lRLk5ZU0U6SUJNLklRX05JX1NGQVMuLjQvMS8yMDI1Li4uVVNELkgBAAAA3rYBAAMAAAAAADun/1fDc90IHFPnb8Nz3QgxQ0lRLk5ZU0U6SUJNLklRX0lOVEVSRVNUX0lOQ09NRS4uNC8xLzIwMjUuLi5VU0QuSAEAAADetgEAAgAAAAM3NDcBCAAAAAUAAAABMQEAAAALLTE5NTgyODA2MTUDAAAAAzE2MAIAAAADMjEwBAAAAAEwBwAAAAg0LzEvMjAyNQgAAAAKMTIvMzEvMjAyNAkAAAABMDun/1fDc90IHFPnb8Nz3QgzQ0lRLk5ZU0U6SUJNLklRX0lOVkVTVE1FTlRfSU5DT01FLi40LzEvMjAyNS4uLlVTRC5IAQAAAN62AQADAAAAAAA7p/9Xw3PdCBxT52/Dc90IOUNJUS5OWVNFOklCTS5JUV9FWENJU0VfVEFYRVNfRVhDTF9TQUxFUy4uNC8xLzIwMjUuLi5VU0QuSAEAAADetgEAAwAAAAAAO6f/V8Nz3QgcU+dvw3PdCDlDSVEuTllTRTpJQk0uSVFfRVhDSVNFX1RBWEVTX0lOQ0xfU0FMRVMuLjQvMS8yMDI1Li4uVVNELkgBAAAA3rYBAAMAAAAAADun/1fDc90IHFPnb8Nz3Qg1Q0lRLk5ZU0U6SUJNLklRX0NVUlJfRE9NRVNUSUNfVEFYRVMuLjQvMS8yMDI1Li4uVVNELkgBAAAA3rYBAAIAAAAELTE4MwEIAAAABQAAAAExAQAAAAstMTk1ODI4MDYxNQMAAAADMTYwAgAAAAQzMDI3BAAAAAEwBwAAAAg0LzEvMjAy</t>
  </si>
  <si>
    <t>NQgAAAAKMTIvMzEvMjAyNAkAAAABMDun/1fDc90IHFPnb8Nz3Qg0Q0lRLk5ZU0U6SUJNLklRX0NVUlJfRk9SRUlHTl9UQVhFUy4uNC8xLzIwMjUuLi5VU0QuSAEAAADetgEAAgAAAAQyMzAxAQgAAAAFAAAAATEBAAAACy0xOTU4MjgwNjE1AwAAAAMxNjACAAAABDMwMzAEAAAAATAHAAAACDQvMS8yMDI1CAAAAAoxMi8zMS8yMDI0CQAAAAEwO6f/V8Nz3QgcU+dvw3PdCCxDSVEuTllTRTpJQk0uSVFfQ1VSUl9UQVhFUy4uNC8xLzIwMjUuLi5VU0QuSAEAAADetgEAAgAAAAQyMTE4AQgAAAAFAAAAATEBAAAACy0xOTU4MjgwNjE1AwAAAAMxNjACAAAABTM1MzgzBAAAAAEwBwAAAAg0LzEvMjAyNQgAAAAKMTIvMzEvMjAyNAkAAAABMDun/1fDc90IHFPnb8Nz3Qg5Q0lRLk5ZU0U6SUJNLklRX0RFRkVSUkVEX0RPTUVTVElDX1RBWEVTLi40LzEvMjAyNS4uLlVTRC5IAQAAAN62AQACAAAABS0yNTM5AQgAAAAFAAAAATEBAAAACy0xOTU4MjgwNjE1AwAAAAMxNjACAAAABDMwNTQEAAAAATAHAAAACDQvMS8yMDI1CAAAAAoxMi8zMS8yMDI0CQAAAAEwO6f/V8Nz3QgcU+dvw3PdCDhDSVEuTllTRTpJQk0uSVFfREVGRVJSRURfRk9SRUlHTl9UQVhFUy4uNC8xLzIwMjUuLi5VU0QuSAEAAADetgEAAgAAAAMyMDMBCAAAAAUAAAABMQEAAAALLTE5NTgyODA2MTUDAAAAAzE2MAIAAAAEMzA1NQQAAAABMAcAAAAINC8xLzIw</t>
  </si>
  <si>
    <t>MjUIAAAACjEyLzMxLzIwMjQJAAAAATA7p/9Xw3PdCBxT52/Dc90INkNJUS5OWVNFOklCTS5JUV9ERUZFUlJFRF9UQVhFU19UT1RBTC4uNC8xLzIwMjUuLi5VU0QuSAEAAADetgEAAgAAAAUtMjMzNgEIAAAABQAAAAExAQAAAAstMTk1ODI4MDYxNQMAAAADMTYwAgAAAAUzNTM4NQQAAAABMAcAAAAINC8xLzIwMjUIAAAACjEyLzMxLzIwMjQJAAAAATA7p/9Xw3PdCBxT52/Dc90IO0NJUS5OWVNFOklCTS5JUV9OT05SRUNVUlJJTkdfSU5DT01FX1RBWEVTLi40LzEvMjAyNS4uLlVTRC5IAQAAAN62AQACAAAABC00NTUBCAAAAAUAAAABMQEAAAALLTE5NTgyODA2MTUDAAAAAzE2MAIAAAAFNDg4MzkEAAAAATAHAAAACDQvMS8yMDI1CAAAAAoxMi8zMS8yMDI0CQAAAAEwO6f/V8Nz3QgcU+dvw3PdCClDSVEuTllTRTpJQk0uSVFfTklfTk9STS4uNC8xLzIwMjUuLi5VU0QuSAEAAADetgEAAgAAAAg2MDY4LjEyNQEIAAAABQAAAAExAQAAAAstMTk1ODI4MDYxNQMAAAADMTYwAgAAAAQ0Mzc4BAAAAAEwBwAAAAg0LzEvMjAyNQgAAAAKMTIvMzEvMjAyNAkAAAABMDun/1fDc90IHFPnb8Nz3QgqQ0lRLk5ZU0U6SUJNLklRX0RJTFVUX05JLi40LzEvMjAyNS4uLlVTRC5IAQAAAN62AQACAAAACzYwMTYuNTc1MDU4AQgAAAAFAAAAATEBAAAACy0xOTU4MjgwNjE1AwAAAAMxNjACAAAABDM1MjIEAAAAATAHAAAACDQvMS8y</t>
  </si>
  <si>
    <t>MDI1CAAAAAoxMi8zMS8yMDI0CQAAAAEwO6f/V8Nz3QgcU+dvw3PdCDZDSVEuTllTRTpJQk0uSVFfQ0FQSVRBTElaRURfSU5URVJFU1QuLjQvMS8yMDI1Li4uVVNELkgBAAAA3rYBAAIAAAACMTIBCAAAAAUAAAABMQEAAAALLTE5NTgyODA2MTUDAAAAAzE2MAIAAAAEMzAzMgQAAAABMAcAAAAINC8xLzIwMjUIAAAACjEyLzMxLzIwMjQJAAAAATA7p/9Xw3PdCBxT52/Dc90ILUNJUS5OWVNFOklCTS5JUV9JTlRfRVhQX0xURC4uNC8xLzIwMjUuLi5VU0QuSAEAAADetgEAAwAAAAAAO6f/V8Nz3QgcU+dvw3PdCENDSVEuTllTRTpJQk0uSVFfSU5URVJFU1RfRVhQX0xFQVNFX0xJQUJJTElUWV9ERUJULi40LzEvMjAyNS4uLlVTRC5IAQAAAN62AQADAAAAAAA7p/9Xw3PdCBxT52/Dc90IMkNJUS5OWVNFOklCTS5JUV9JTlRfRVhQX0lOQ0xfQ0FQLi40LzEvMjAyNS4uLlVTRC5IAQAAAN62AQACAAAABDE3MjQBCAAAAAUAAAABMQEAAAALLTE5NTgyODA2MTUDAAAAAzE2MAIAAAAFMjE4NjEEAAAAATAHAAAACDQvMS8yMDI1CAAAAAoxMi8zMS8yMDI0CQAAAAEwO6f/V8Nz3QgcU+dvw3PdCDVDSVEuTllTRTpJQk0uSVFfTk9OQ0FTSF9QRU5TSU9OX0VYUC4uNC8xLzIwMjUuLi5VU0QuSAEAAADetgEAAgAAAAQzMzUzAQgAAAAFAAAAATEBAAAACy0xOTU4MjgwNjE1AwAAAAMxNjACAAAABTIxNjc4BAAAAAEwBwAAAAg0</t>
  </si>
  <si>
    <t>LzEvMjAyNQgAAAAKMTIvMzEvMjAyNAkAAAABMDun/1fDc90IHFPnb8Nz3QgrQ0lRLk5ZU0U6SUJNLklRX0RBX0VCSVREQS4uNC8xLzIwMjUuLi5VU0QuSAEAAADetgEAAgAAAAQzNzY3AQgAAAAFAAAAATEBAAAACy0xOTU4MjgwNjE1AwAAAAMxNjACAAAABDIyMDYEAAAAATAHAAAACDQvMS8yMDI1CAAAAAoxMi8zMS8yMDI0CQAAAAEwO6f/V8Nz3QgcU+dvw3PdCDRDSVEuTllTRTpJQk0uSVFfRElTVFJJQlVUQUJMRV9DQVNILi40LzEvMjAyNS4uLlVTRC5IAQAAAN62AQADAAAAAAA7p/9Xw3PdCBxT52/Dc90IQUNJUS5OWVNFOklCTS5JUV9ESVNUUklCVVRBQkxFX0NBU0hfU1RBTkRBUkRJWkVELi40LzEvMjAyNS4uLlVTRC5IAQAAAN62AQADAAAAAAA7p/9Xw3PdCBxT52/Dc90IOENJUS5OWVNFOklCTS5JUV9BTk5VX0RJU1RSSUJVVElPTl9VTklULi40LzEvMjAyNS4uLlVTRC5IAQAAAN62AQADAAAAAAA7p/9Xw3PdCBxT52/Dc90IM0NJUS5OWVNFOklCTS5JUV9ESVNUUklCVVRBQkxFX0NBU0hfUEFZT1VULi40LzEvMjAyNQEAAADetgEAAwAAAAAAO6f/V8Nz3QgcU+dvw3PdCCxDSVEuTllTRTpJQk0uSVFfQ09NTU9OX0RJVi4uNC8xLzIwMjUuLi5VU0QuSAEAAADetgEAAgAAAAQ2MTQ3ADun/1fDc90IHFPnb8Nz3QgpQ0lRLk5ZU0U6SUJNLklRX0VGRkVDVF9UQVhfUkFURS4uNC8xLzIwMjUBAAAA3rYB</t>
  </si>
  <si>
    <t>AAMAAAACTk0BCAAAAAUAAAABMQEAAAALLTE5NTgyODA2MTUDAAAAAzE2MAIAAAAENDM3NgQAAAABMAcAAAAINC8xLzIwMjUIAAAACjEyLzMxLzIwMjQJAAAAATA7p/9Xw3PdCBxT52/Dc90IJkNJUS5OWVNFOklCTS5JUV9QQVlPVVRfUkFUSU8uLjQvMS8yMDI1AQAAAN62AQACAAAACDEwMi4wNTg3AQgAAAAFAAAAATEBAAAACy0xOTU4MjgwNjE1AwAAAAMxNjACAAAABDQzNzcEAAAAATAHAAAACDQvMS8yMDI1CAAAAAoxMi8zMS8yMDI0CQAAAAEwO6f/V8Nz3QgcU+dvw3PdCCVDSVEuTllTRTpJQk0uSVFfRElDLi40LzEvMjAyNS4uLlVTRC5IAQAAAN62AQADAAAAAAA7p/9Xw3PdCBxT52/Dc90ILUNJUS5OWVNFOklCTS5JUV9BRFZFUlRJU0lORy4uNC8xLzIwMjUuLi5VU0QuSAEAAADetgEAAgAAAAQxMTczAQgAAAAFAAAAATEBAAAACy0xOTU4MjgwNjE1AwAAAAMxNjACAAAABDMwMTMEAAAAATAHAAAACDQvMS8yMDI1CAAAAAoxMi8zMS8yMDI0CQAAAAEwO6f/V8Nz3QgcU+dvw3PdCCtDSVEuTllTRTpJQk0uSVFfTUFSS0VUSU5HLi40LzEvMjAyNS4uLlVTRC5IAQAAAN62AQADAAAAAAA7p/9Xw3PdCBxT52/Dc90IMUNJUS5OWVNFOklCTS5JUV9TQUxFU19NQVJLRVRJTkcuLjQvMS8yMDI1Li4uVVNELkgBAAAA3rYBAAIAAAAEMTE3MwEIAAAABQAAAAExAQAAAAstMTk1ODI4MDYxNQMAAAADMTYwAgAAAAUy</t>
  </si>
  <si>
    <t>MTU2MQQAAAABMAcAAAAINC8xLzIwMjUIAAAACjEyLzMxLzIwMjQJAAAAATA7p/9Xw3PdCBxT52/Dc90IKENJUS5OWVNFOklCTS5JUV9HQV9FWFAuLjQvMS8yMDI1Li4uVVNELkgBAAAA3rYBAAMAAAAAADun/1fDc90IHFPnb8Nz3QgrQ0lRLk5ZU0U6SUJNLklRX1JEX0VYUF9GTi4uNC8xLzIwMjUuLi5VU0QuSAEAAADetgEAAgAAAAQ3NDc5AQgAAAAFAAAAATEBAAAACy0xOTU4MjgwNjE1AwAAAAMxNjACAAAABDMxNjgEAAAAATAHAAAACDQvMS8yMDI1CAAAAAoxMi8zMS8yMDI0CQAAAAEwO6f/V8Nz3QgcU+dvw3PdCDNDSVEuTllTRTpJQk0uSVFfTkVUX1JFTlRBTF9FWFBfRk4uLjQvMS8yMDI1Li4uVVNELkgBAAAA3rYBAAIAAAAEMTMwOQEIAAAABQAAAAExAQAAAAstMTk1ODI4MDYxNQMAAAADMTYwAgAAAAQzMTcwBAAAAAEwBwAAAAg0LzEvMjAyNQgAAAAKMTIvMzEvMjAyNAkAAAABMDun/1fDc90IHFPnb8Nz3QgwQ0lRLk5ZU0U6SUJNLklRX05FVF9SRU5UQUxfRVhQLi40LzEvMjAyNS4uLlVTRC5IAQAAAN62AQADAAAAAAA7p/9Xw3PdCBxT52/Dc90IN0NJUS5OWVNFOklCTS5JUV9ORVRfUkVOVEFMX0VYUF9TVVBQTEUuLjQvMS8yMDI1Li4uVVNELkgBAAAA3rYBAAIAAAAEMTMwOQEIAAAABQAAAAExAQAAAAstMTk1ODI4MDYxNQMAAAADMTYwAgAAAAUyNDI2MwQAAAABMAcAAAAINC8xLzIwMjUIAAAA</t>
  </si>
  <si>
    <t>CjEyLzMxLzIwMjQJAAAAATA7p/9Xw3PdCBxT52/Dc90IM0NJUS5OWVNFOklCTS5JUV9DT05USU5HRU5UX1JFTlRBTC4uNC8xLzIwMjUuLi5VU0QuSAEAAADetgEAAgAAAAMzMjEAO6f/V8Nz3QgcU+dvw3PdCDBDSVEuTllTRTpJQk0uSVFfTUlOSU1VTV9SRU5UQUwuLjQvMS8yMDI1Li4uVVNELkgBAAAA3rYBAAMAAAAAADun/1fDc90IHFPnb8Nz3QguQ0lRLk5ZU0U6SUJNLklRX09USEVSX1JFTlRBTC4uNC8xLzIwMjUuLi5VU0QuSAEAAADetgEAAwAAAAAAO6f/V8Nz3QgcU+dvw3PdCC9DSVEuTllTRTpJQk0uSVFfQUlSQ1JBRlRfUkVOVC4uNC8xLzIwMjUuLi5VU0QuSAEAAADetgEAAwAAAAAAO6f/V8Nz3QgcU+dvw3PdCDxDSVEuTllTRTpJQk0uSVFfREVQUkVDSUFUSU9OX1JFTlRBTF9BU1NFVFMuLjQvMS8yMDI1Li4uVVNELkgBAAAA3rYBAAMAAAAAADun/1fDc90IHFPnb8Nz3Qg5Q0lRLk5ZU0U6SUJNLklRX0VYUExPUkVfRFJJTExfRVhQX1RPVEFMLi40LzEvMjAyNS4uLlVTRC5IAQAAAN62AQADAAAAAAA7p/9Xw3PdCBxT52/Dc90ILkNJUS5OWVNFOklCTS5JUV9NQUlOVF9SRVBBSVIuLjQvMS8yMDI1Li4uVVNELkgBAAAA3rYBAAMAAAAAADun/1fDc90IHFPnb8Nz3Qg6Q0lRLk5ZU0U6SUJNLklRX0lNUFVUX09QRVJfTEVBU0VfSU5UX0VYUC4uNC8xLzIwMjUuLi5VU0QuSAEAAADetgEAAgAAAAoz</t>
  </si>
  <si>
    <t>MDUuMTMzMTM2AQgAAAAFAAAAATEBAAAACy0xOTU4MjgwNjE1AwAAAAMxNjACAAAABTIxNjcyBAAAAAEwBwAAAAg0LzEvMjAyNQgAAAAKMTIvMzEvMjAyNAkAAAABMDun/1fDc90IHFPnb8Nz3Qg3Q0lRLk5ZU0U6SUJNLklRX0lNUFVUX09QRVJfTEVBU0VfREVQUi4uNC8xLzIwMjUuLi5VU0QuSAEAAADetgEAAgAAAAsxMDAzLjg2Njg2NAEIAAAABQAAAAExAQAAAAstMTk1ODI4MDYxNQMAAAADMTYwAgAAAAUyMTY3MwQAAAABMAcAAAAINC8xLzIwMjUIAAAACjEyLzMxLzIwMjQJAAAAATA7p/9Xw3PdCBxT52/Dc90IOUNJUS5OWVNFOklCTS5JUV9TQUxBUklFU19PVEhFUl9CRU5FRklUUy4uNC8xLzIwMjUuLi5VU0QuSAEAAADetgEAAwAAAAAAO6f/V8Nz3QgcU+dvw3PdCDRDSVEuTllTRTpJQk0uSVFfUkVTVFJVQ1RVUkVfU1VQUExFLi40LzEvMjAyNS4uLlVTRC5IAQAAAN62AQADAAAAAAA7p/9Xw3PdCN236W/Dc90IL0NJUS5OWVNFOklCTS5JUV9NRVJHRVJfU1VQUExFLi40LzEvMjAyNS4uLlVTRC5IAQAAAN62AQADAAAAAAA7p/9Xw3PdCN236W/Dc90INkNJUS5OWVNFOklCTS5JUV9JTVBBSVJNRU5UX0dXX1NVUFBMRS4uNC8xLzIwMjUuLi5VU0QuSAEAAADetgEAAwAAAAAAO6f/V8Nz3Qjdt+lvw3PdCDhDSVEuTllTRTpJQk0uSVFfQVNTRVRfV1JJVEVET1dOX1NVUFBMRS4uNC8xLzIwMjUuLi5VU0Qu</t>
  </si>
  <si>
    <t>SAEAAADetgEAAwAAAAAAO6f/V8Nz3Qjdt+lvw3PdCC1DSVEuTllTRTpJQk0uSVFfSVBSRF9TVVBQTEUuLjQvMS8yMDI1Li4uVVNELkgBAAAA3rYBAAMAAAAAADun/1fDc90I3bfpb8Nz3QgyQ0lRLk5ZU0U6SUJNLklRX0dBSU5fQkFSR0FJTl9BQ1EuLjQvMS8yMDI1Li4uVVNELkgBAAAA3rYBAAMAAAAAADun/1fDc90I3bfpb8Nz3Qg5Q0lRLk5ZU0U6SUJNLklRX0dBSU5fQkFSR0FJTl9BQ1FfU1VQUExFLi40LzEvMjAyNS4uLlVTRC5IAQAAAN62AQADAAAAAAA7p/9Xw3PdCN236W/Dc90IM0NJUS5OWVNFOklCTS5JUV9JTlNfU0VUVExFX1NVUFBMRS4uNC8xLzIwMjUuLi5VU0QuSAEAAADetgEAAwAAAAAAO6f/V8Nz3Qjdt+lvw3PdCDVDSVEuTllTRTpJQk0uSVFfTEVHQUxfU0VUVExFX1NVUFBMRS4uNC8xLzIwMjUuLi5VU0QuSAEAAADetgEAAwAAAAAAO6f/V8Nz3Qjdt+lvw3PdCDZDSVEuTllTRTpJQk0uSVFfT1RIRVJfVU5VU1VBTF9TVVBQTEUuLjQvMS8yMDI1Li4uVVNELkgBAAAA3rYBAAMAAAAAADun/1fDc90I3bfpb8Nz3Qg2Q0lRLk5ZU0U6SUJNLklRX1RPVEFMX1VOVVNVQUxfU1VQUExFLi40LzEvMjAyNS4uLlVTRC5IAQAAAN62AQADAAAAAAA7p/9Xw3PdCN236W/Dc90IM0NJUS5OWVNFOklCTS5JUV9ORUdBVElWRV9HV19BTU9SVC4uNC8xLzIwMjUuLi5VU0QuSAEAAADetgEAAwAAAAAAO6f/</t>
  </si>
  <si>
    <t>V8Nz3Qjdt+lvw3PdCDZDSVEuTllTRTpJQk0uSVFfTkVHQVRJVkVfR1dfQU1PUlRfQVQuLjQvMS8yMDI1Li4uVVNELkgBAAAA3rYBAAMAAAAAADun/1fDc90I3bfpb8Nz3QgyQ0lRLk5ZU0U6SUJNLklRX1NUT0NLX0JBU0VEX0NPR1MuLjQvMS8yMDI1Li4uVVNELkgBAAAA3rYBAAIAAAADMjIzAQgAAAAFAAAAATEBAAAACy0xOTU4MjgwNjE1AwAAAAMxNjACAAAABTIyNjc0BAAAAAEwBwAAAAg0LzEvMjAyNQgAAAAKMTIvMzEvMjAyNAkAAAABMDun/1fDc90I3bfpb8Nz3QgwQ0lRLk5ZU0U6SUJNLklRX1NUT0NLX0JBU0VEX1JELi40LzEvMjAyNS4uLlVTRC5IAQAAAN62AQACAAAAAzM5OAEIAAAABQAAAAExAQAAAAstMTk1ODI4MDYxNQMAAAADMTYwAgAAAAUyMjY3OAQAAAABMAcAAAAINC8xLzIwMjUIAAAACjEyLzMxLzIwMjQJAAAAATA7p/9Xw3PdCN236W/Dc90IMENJUS5OWVNFOklCTS5JUV9TVE9DS19CQVNFRF9TTS4uNC8xLzIwMjUuLi5VU0QuSAEAAADetgEAAwAAAAAAO6f/V8Nz3Qjdt+lvw3PdCDBDSVEuTllTRTpJQk0uSVFfU1RPQ0tfQkFTRURfR0EuLjQvMS8yMDI1Li4uVVNELkgBAAAA3rYBAAMAAAAAADun/1fDc90I3bfpb8Nz3QgxQ0lRLk5ZU0U6SUJNLklRX1NUT0NLX0JBU0VEX1NHQS4uNC8xLzIwMjUuLi5VU0QuSAEAAADetgEAAgAAAAM2OTABCAAAAAUAAAABMQEAAAALLTE5NTgyODA2</t>
  </si>
  <si>
    <t>MTUDAAAAAzE2MAIAAAAFMjI2NzkEAAAAATAHAAAACDQvMS8yMDI1CAAAAAoxMi8zMS8yMDI0CQAAAAEwO6f/V8Nz3Qjdt+lvw3PdCDtDSVEuTllTRTpJQk0uSVFfU1RPQ0tfQkFTRURfRVhQTE9SRV9EUklMTC4uNC8xLzIwMjUuLi5VU0QuSAEAAADetgEAAwAAAAAAO6f/V8Nz3Qjdt+lvw3PdCDNDSVEuTllTRTpJQk0uSVFfU1RPQ0tfQkFTRURfT1RIRVIuLjQvMS8yMDI1Li4uVVNELkgBAAAA3rYBAAMAAAAAADun/1fDc90I3bfpb8Nz3QgwQ0lRLk5ZU0U6SUJNLklRX1NUT0NLX0JBU0VEX0FULi40LzEvMjAyNS4uLlVTRC5IAQAAAN62AQADAAAAAAA7p/9Xw3PdCN236W/Dc90IM0NJUS5OWVNFOklCTS5JUV9TVE9DS19CQVNFRF9UT1RBTC4uNC8xLzIwMjUuLi5VU0QuSAEAAADetgEAAgAAAAQxMzExAQgAAAAFAAAAATEBAAAACy0xOTU4MjgwNjE1AwAAAAMxNjACAAAABTI0MDM0BAAAAAEwBwAAAAg0LzEvMjAyNQgAAAAKMTIvMzEvMjAyNAkAAAABMDun/1fDc90I3bfpb8Nz3Qg5Q0lRLk5ZU0U6SUJNLklRX1JFU1RSX1NUT0NLX0NPTVBfUFJFVEFYLi40LzEvMjAyNS4uLlVTRC5IAQAAAN62AQADAAAAAAA7p/9Xw3PdCN236W/Dc90INkNJUS5OWVNFOklCTS5JUV9SRVNUUl9TVE9DS19DT01QX1RBWC4uNC8xLzIwMjUuLi5VU0QuSAEAAADetgEAAwAAAAAAO6f/V8Nz3Qjdt+lvw3PdCDJDSVEuTllTRTpJ</t>
  </si>
  <si>
    <t>Qk0uSVFfUkVTVFJfU1RPQ0tfQ09NUC4uNC8xLzIwMjUuLi5VU0QuSAEAAADetgEAAwAAAAAAO6f/V8Nz3Qjdt+lvw3PdCDtDSVEuTllTRTpJQk0uSVFfU1RPQ0tfT1BUSU9OU19DT01QX1BSRVRBWC4uNC8xLzIwMjUuLi5VU0QuSAEAAADetgEAAwAAAAAAO6f/V8Nz3Qjdt+lvw3PdCDhDSVEuTllTRTpJQk0uSVFfU1RPQ0tfT1BUSU9OU19DT01QX1RBWC4uNC8xLzIwMjUuLi5VU0QuSAEAAADetgEAAwAAAAAAO6f/V8Nz3Qjdt+lvw3PdCDRDSVEuTllTRTpJQk0uSVFfU1RPQ0tfT1BUSU9OU19DT01QLi40LzEvMjAyNS4uLlVTRC5IAQAAAN62AQADAAAAAAA7p/9Xw3PdCN236W/Dc90IOUNJUS5OWVNFOklCTS5JUV9TVE9DS19CQVNFRF9DT01QX1BSRVRBWC4uNC8xLzIwMjUuLi5VU0QuSAEAAADetgEAAgAAAAQxMzExADun/1fDc90I3bfpb8Nz3Qg2Q0lRLk5ZU0U6SUJNLklRX1NUT0NLX0JBU0VEX0NPTVBfVEFYLi40LzEvMjAyNS4uLlVTRC5IAQAAAN62AQACAAAABC00NjkAO6f/V8Nz3Qjdt+lvw3PdCDJDSVEuTllTRTpJQk0uSVFfU1RPQ0tfQkFTRURfQ09NUC4uNC8xLzIwMjUuLi5VU0QuSAEAAADetgEAAgAAAAM4NDIAO6f/V8Nz3Qjdt+lvw3PdCCdDSVEuTllTRTpJQk0uSVFfTklfQ0YuLjQvMS8yMDI1Li4uVVNELkgBAAAA3rYBAAIAAAAENjAyMwEIAAAABQAAAAExAQAAAAstMTk1ODI4MDYxNQMA</t>
  </si>
  <si>
    <t>AAADMTYwAgAAAAQyMTUwBAAAAAEwBwAAAAg0LzEvMjAyNQgAAAAKMTIvMzEvMjAyNAkAAAABMDun/1fDc90I3bfpb8Nz3QgtQ0lRLk5ZU0U6SUJNLklRX0RBX1NVUFBMX0NGLi40LzEvMjAyNS4uLlVTRC5IAQAAAN62AQACAAAABDIxNjgBCAAAAAUAAAABMQEAAAALLTE5NTgyODA2MTUDAAAAAzE2MAIAAAAEMjE3MQQAAAABMAcAAAAINC8xLzIwMjUIAAAACjEyLzMxLzIwMjQJAAAAATA7p/9Xw3PdCN236W/Dc90IM0NJUS5OWVNFOklCTS5JUV9HV19JTlRBTl9BTU9SVF9DRi4uNC8xLzIwMjUuLi5VU0QuSAEAAADetgEAAgAAAAQyNDk5AQgAAAAFAAAAATEBAAAACy0xOTU4MjgwNjE1AwAAAAMxNjACAAAABDIxODIEAAAAATAHAAAACDQvMS8yMDI1CAAAAAoxMi8zMS8yMDI0CQAAAAEwO6f/V8Nz3Qjdt+lvw3PdCCxDSVEuTllTRTpJQk0uSVFfT0lMX0lNUEFJUi4uNC8xLzIwMjUuLi5VU0QuSAEAAADetgEAAwAAAAAAO6f/V8Nz3Qjdt+lvw3PdCCdDSVEuTllTRTpJQk0uSVFfREFfQ0YuLjQvMS8yMDI1Li4uVVNELkgBAAAA3rYBAAIAAAAENDY2NwEIAAAABQAAAAExAQAAAAstMTk1ODI4MDYxNQMAAAADMTYwAgAAAAQyMTYwBAAAAAEwBwAAAAg0LzEvMjAyNQgAAAAKMTIvMzEvMjAyNAkAAAABMDun/1fDc90I3bfpb8Nz3QgtQ0lRLk5ZU0U6SUJNLklRX09USEVSX0FNT1JULi40LzEvMjAyNS4uLlVTRC5I</t>
  </si>
  <si>
    <t>AQAAAN62AQADAAAAAAA7p/9Xw3PdCN236W/Dc90INkNJUS5OWVNFOklCTS5JUV9NSU5PUklUWV9JTlRFUkVTVF9DRi4uNC8xLzIwMjUuLi5VU0QuSAEAAADetgEAAwAAAAAAO6f/V8Nz3Qjdt+lvw3PdCDBDSVEuTllTRTpJQk0uSVFfR0FJTl9BU1NFVFNfQ0YuLjQvMS8yMDI1Li4uVVNELkgBAAAA3rYBAAIAAAAELTY1MgEIAAAABQAAAAExAQAAAAstMTk1ODI4MDYxNQMAAAADMTYwAgAAAAQyMDI2BAAAAAEwBwAAAAg0LzEvMjAyNQgAAAAKMTIvMzEvMjAyNAkAAAABMDun/1fDc90I3bfpb8Nz3QgwQ0lRLk5ZU0U6SUJNLklRX0dBSU5fSU5WRVNUX0NGLi40LzEvMjAyNS4uLlVTRC5IAQAAAN62AQADAAAAAAA7p/9Xw3PdCN236W/Dc90INENJUS5OWVNFOklCTS5JUV9BU1NFVF9XUklURURPV05fQ0YuLjQvMS8yMDI1Li4uVVNELkgBAAAA3rYBAAMAAAAAADun/1fDc90I3bfpb8Nz3QgqQ0lRLk5ZU0U6SUJNLklRX0xPQU5TX0NGLi40LzEvMjAyNS4uLlVTRC5IAQAAAN62AQADAAAAAAA7p/9Xw3PdCN236W/Dc90IMENJUS5OWVNFOklCTS5JUV9DUkVESVRfTE9TU19DRi4uNC8xLzIwMjUuLi5VU0QuSAEAAADetgEAAwAAAAAAO6f/V8Nz3Qjdt+lvw3PdCC9DSVEuTllTRTpJQk0uSVFfSU5DX0VRVUlUWV9DRi4uNC8xLzIwMjUuLi5VU0QuSAEAAADetgEAAwAAAAAAO6f/V8Nz3Qjdt+lvw3PdCDBDSVEuTllT</t>
  </si>
  <si>
    <t>RTpJQk0uSVFfU1RPQ0tfQkFTRURfQ0YuLjQvMS8yMDI1Li4uVVNELkgBAAAA3rYBAAIAAAAEMTMxMQEIAAAABQAAAAExAQAAAAstMTk1ODI4MDYxNQMAAAADMTYwAgAAAAQyMTI3BAAAAAEwBwAAAAg0LzEvMjAyNQgAAAAKMTIvMzEvMjAyNAkAAAABMDun/1fDc90I3bfpb8Nz3Qg1Q0lRLk5ZU0U6SUJNLklRX1RBWF9CRU5FRklUX09QVElPTlMuLjQvMS8yMDI1Li4uVVNELkgBAAAA3rYBAAMAAAAAADun/1fDc90I3bfpb8Nz3QgzQ0lRLk5ZU0U6SUJNLklRX1BST1ZfQkFEX0RFQlRTX0NGLi40LzEvMjAyNS4uLlVTRC5IAQAAAN62AQADAAAAAAA7p/9Xw3PdCN236W/Dc90IJ0NJUS5OWVNFOklCTS5JUV9ET19DRi4uNC8xLzIwMjUuLi5VU0QuSAEAAADetgEAAwAAAAAAO6f/V8Nz3Qjdt+lvw3PdCDBDSVEuTllTRTpJQk0uSVFfT1RIRVJfT1BFUl9BQ1QuLjQvMS8yMDI1Li4uVVNELkgBAAAA3rYBAAIAAAADNzgzAQgAAAAFAAAAATEBAAAACy0xOTU4MjgwNjE1AwAAAAMxNjACAAAABDIwNDcEAAAAATAHAAAACDQvMS8yMDI1CAAAAAoxMi8zMS8yMDI0CQAAAAEwO6f/V8Nz3Qjdt+lvw3PdCDdDSVEuTllTRTpJQk0uSVFfQ0hBTkdFX1RSQURJTkdfQVNTRVRTLi40LzEvMjAyNS4uLlVTRC5IAQAAAN62AQADAAAAAAA7p/9Xw3PdCN236W/Dc90IK0NJUS5OWVNFOklCTS5JUV9DSEFOR0VfQVIuLjQvMS8yMDI1</t>
  </si>
  <si>
    <t>Li4uVVNELkgBAAAA3rYBAAIAAAAELTM3NAEIAAAABQAAAAExAQAAAAstMTk1ODI4MDYxNQMAAAADMTYwAgAAAAQyMDE4BAAAAAEwBwAAAAg0LzEvMjAyNQgAAAAKMTIvMzEvMjAyNAkAAAABMDun/1fDc90I3bfpb8Nz3QgyQ0lRLk5ZU0U6SUJNLklRX0NIQU5HRV9JTlZFTlRPUlkuLjQvMS8yMDI1Li4uVVNELkgBAAAA3rYBAAIAAAAELTE2NgEIAAAABQAAAAExAQAAAAstMTk1ODI4MDYxNQMAAAADMTYwAgAAAAQyMDk5BAAAAAEwBwAAAAg0LzEvMjAyNQgAAAAKMTIvMzEvMjAyNAkAAAABMDun/1fDc90I3bfpb8Nz3QgrQ0lRLk5ZU0U6SUJNLklRX0NIQU5HRV9BUC4uNC8xLzIwMjUuLi5VU0QuSAEAAADetgEAAgAAAAMtMTMBCAAAAAUAAAABMQEAAAALLTE5NTgyODA2MTUDAAAAAzE2MAIAAAAEMjAxNwQAAAABMAcAAAAINC8xLzIwMjUIAAAACjEyLzMxLzIwMjQJAAAAATA7p/9Xw3PdCN236W/Dc90IM0NJUS5OWVNFOklCTS5JUV9DSEFOR0VfVU5FQVJOX1JFVi4uNC8xLzIwMjUuLi5VU0QuSAEAAADetgEAAwAAAAAAO6f/V8Nz3Qjdt+lvw3PdCDBDSVEuTllTRTpJQk0uSVFfQ0hBTkdFX0lOQ19UQVguLjQvMS8yMDI1Li4uVVNELkgBAAAA3rYBAAMAAAAAADun/1fDc90I3bfpb8Nz3QgwQ0lRLk5ZU0U6SUJNLklRX0NIQU5HRV9ERUZfVEFYLi40LzEvMjAyNS4uLlVTRC5IAQAAAN62AQADAAAAAAA7p/9X</t>
  </si>
  <si>
    <t>w3PdCN236W/Dc90IPkNJUS5OWVNFOklCTS5JUV9DSEFOR0VfT1RIRVJfTkVUX09QRVJfQVNTRVRTLi40LzEvMjAyNS4uLlVTRC5IAQAAAN62AQACAAAABDE4NjYBCAAAAAUAAAABMQEAAAALLTE5NTgyODA2MTUDAAAAAzE2MAIAAAAEMjA0NQQAAAABMAcAAAAINC8xLzIwMjUIAAAACjEyLzMxLzIwMjQJAAAAATA7p/9Xw3PdCN236W/Dc90IK0NJUS5OWVNFOklCTS5JUV9DQVNIX09QRVIuLjQvMS8yMDI1Li4uVVNELkgBAAAA3rYBAAIAAAAFMTM0NDUBCAAAAAUAAAABMQEAAAALLTE5NTgyODA2MTUDAAAAAzE2MAIAAAAEMjAwNgQAAAABMAcAAAAINC8xLzIwMjUIAAAACjEyLzMxLzIwMjQJAAAAATA7p/9Xw3PdCN236W/Dc90IJ0NJUS5OWVNFOklCTS5JUV9DQVBFWC4uNC8xLzIwMjUuLi5VU0QuSAEAAADetgEAAgAAAAUtMTA0OAEIAAAABQAAAAExAQAAAAstMTk1ODI4MDYxNQMAAAADMTYwAgAAAAQyMDIxBAAAAAEwBwAAAAg0LzEvMjAyNQgAAAAKMTIvMzEvMjAyNAkAAAABMDun/1fDc90I3bfpb8Nz3QgtQ0lRLk5ZU0U6SUJNLklRX1NBTEVfUFBFX0NGLi40LzEvMjAyNS4uLlVTRC5IAQAAAN62AQACAAAAAzU1NwEIAAAABQAAAAExAQAAAAstMTk1ODI4MDYxNQMAAAADMTYwAgAAAAQyMDQyBAAAAAEwBwAAAAg0LzEvMjAyNQgAAAAKMTIvMzEvMjAyNAkAAAABMDun/1fDc90I3bfpb8Nz3QgxQ0lRLk5Z</t>
  </si>
  <si>
    <t>U0U6SUJNLklRX0NBU0hfQUNRVUlSRV9DRi4uNC8xLzIwMjUuLi5VU0QuSAEAAADetgEAAgAAAAUtMzI4OQEIAAAABQAAAAExAQAAAAstMTk1ODI4MDYxNQMAAAADMTYwAgAAAAQyMDU3BAAAAAEwBwAAAAg0LzEvMjAyNQgAAAAKMTIvMzEvMjAyNAkAAAABMDun/1fDc90I3bfpb8Nz3QgrQ0lRLk5ZU0U6SUJNLklRX0RJVkVTVF9DRi4uNC8xLzIwMjUuLi5VU0QuSAEAAADetgEAAgAAAAM2OTgBCAAAAAUAAAABMQEAAAALLTE5NTgyODA2MTUDAAAAAzE2MAIAAAAEMjA3NwQAAAABMAcAAAAINC8xLzIwMjUIAAAACjEyLzMxLzIwMjQJAAAAATA7p/9Xw3PdCN236W/Dc90INUNJUS5OWVNFOklCTS5JUV9TQUxFX1JFQUxfRVNUQVRFX0NGLi40LzEvMjAyNS4uLlVTRC5IAQAAAN62AQADAAAAAAA7p/9Xw3PdCN236W/Dc90IL0NJUS5OWVNFOklCTS5JUV9TQUxFX0lOVEFOX0NGLi40LzEvMjAyNS4uLlVTRC5IAQAAAN62AQACAAAABC02MzcBCAAAAAUAAAABMQEAAAALLTE5NTgyODA2MTUDAAAAAzE2MAIAAAAEMjAyOQQAAAABMAcAAAAINC8xLzIwMjUIAAAACjEyLzMxLzIwMjQJAAAAATA7p/9Xw3PdCN236W/Dc90INENJUS5OWVNFOklCTS5JUV9JTlZFU1RfU0VDVVJJVFlfQ0YuLjQvMS8yMDI1Li4uVVNELkgBAAAA3rYBAAIAAAAFLTEyMTgBCAAAAAUAAAABMQEAAAALLTE5NTgyODA2MTUDAAAAAzE2MAIAAAAE</t>
  </si>
  <si>
    <t>MjAyNwQAAAABMAcAAAAINC8xLzIwMjUIAAAACjEyLzMxLzIwMjQJAAAAATA7p/9Xw3PdCN236W/Dc90IMUNJUS5OWVNFOklCTS5JUV9JTlZFU1RfTE9BTlNfQ0YuLjQvMS8yMDI1Li4uVVNELkgBAAAA3rYBAAMAAAAAADun/1fDc90I3bfpb8Nz3Qg4Q0lRLk5ZU0U6SUJNLklRX09USEVSX0lOVkVTVF9BQ1RfU1VQUEwuLjQvMS8yMDI1Li4uVVNELkgBAAAA3rYBAAMAAAAAADun/1fDc90I3bfpb8Nz3QgtQ0lRLk5ZU0U6SUJNLklRX0NBU0hfSU5WRVNULi40LzEvMjAyNS4uLlVTRC5IAQAAAN62AQACAAAABS00OTM3AQgAAAAFAAAAATEBAAAACy0xOTU4MjgwNjE1AwAAAAMxNjACAAAABDIwMDUEAAAAATAHAAAACDQvMS8yMDI1CAAAAAoxMi8zMS8yMDI0CQAAAAEwO6f/V8Nz3Qjdt+lvw3PdCDBDSVEuTllTRTpJQk0uSVFfU1RfREVCVF9JU1NVRUQuLjQvMS8yMDI1Li4uVVNELkgBAAAA3rYBAAIAAAACMzABCAAAAAUAAAABMQEAAAALLTE5NTgyODA2MTUDAAAAAzE2MAIAAAAEMjA0MwQAAAABMAcAAAAINC8xLzIwMjUIAAAACjEyLzMxLzIwMjQJAAAAATA7p/9Xw3PdCN236W/Dc90IMENJUS5OWVNFOklCTS5JUV9MVF9ERUJUX0lTU1VFRC4uNC8xLzIwMjUuLi5VU0QuSAEAAADetgEAAgAAAAQ1NzA1AQgAAAAFAAAAATEBAAAACy0xOTU4MjgwNjE1AwAAAAMxNjACAAAABDIwMzQEAAAAATAHAAAACDQvMS8y</t>
  </si>
  <si>
    <t>MDI1CAAAAAoxMi8zMS8yMDI0CQAAAAEwO6f/V8Nz3Qjdt+lvw3PdCDNDSVEuTllTRTpJQk0uSVFfVE9UQUxfREVCVF9JU1NVRUQuLjQvMS8yMDI1Li4uVVNELkgBAAAA3rYBAAIAAAAENTczNQEIAAAABQAAAAExAQAAAAstMTk1ODI4MDYxNQMAAAADMTYwAgAAAAQyMTYxBAAAAAEwBwAAAAg0LzEvMjAyNQgAAAAKMTIvMzEvMjAyNAkAAAABMDun/1fDc90I3bfpb8Nz3QgwQ0lRLk5ZU0U6SUJNLklRX1NUX0RFQlRfUkVQQUlELi40LzEvMjAyNS4uLlVTRC5IAQAAAN62AQADAAAAAAA7p/9Xw3PdCN236W/Dc90IMENJUS5OWVNFOklCTS5JUV9MVF9ERUJUX1JFUEFJRC4uNC8xLzIwMjUuLi5VU0QuSAEAAADetgEAAgAAAAUtNjYxNQEIAAAABQAAAAExAQAAAAstMTk1ODI4MDYxNQMAAAADMTYwAgAAAAQyMDM2BAAAAAEwBwAAAAg0LzEvMjAyNQgAAAAKMTIvMzEvMjAyNAkAAAABMDun/1fDc90I3bfpb8Nz3QgzQ0lRLk5ZU0U6SUJNLklRX1RPVEFMX0RFQlRfUkVQQUlELi40LzEvMjAyNS4uLlVTRC5IAQAAAN62AQACAAAABS02NjE1AQgAAAAFAAAAATEBAAAACy0xOTU4MjgwNjE1AwAAAAMxNjACAAAABDIxNjYEAAAAATAHAAAACDQvMS8yMDI1CAAAAAoxMi8zMS8yMDI0CQAAAAEwO6f/V8Nz3Qjdt+lvw3PdCC9DSVEuTllTRTpJQk0uSVFfQ09NTU9OX0lTU1VFRC4uNC8xLzIwMjUuLi5VU0QuSAEAAADetgEA</t>
  </si>
  <si>
    <t>AgAAAAM3NDUBCAAAAAUAAAABMQEAAAALLTE5NTgyODA2MTUDAAAAAzE2MAIAAAAEMjE2OQQAAAABMAcAAAAINC8xLzIwMjUIAAAACjEyLzMxLzIwMjQJAAAAATA7p/9Xw3PdCN236W/Dc90ILENJUS5OWVNFOklCTS5JUV9DT01NT05fUkVQLi40LzEvMjAyNS4uLlVTRC5IAQAAAN62AQACAAAABC02NTEBCAAAAAUAAAABMQEAAAALLTE5NTgyODA2MTUDAAAAAzE2MAIAAAAEMjE2NAQAAAABMAcAAAAINC8xLzIwMjUIAAAACjEyLzMxLzIwMjQJAAAAATA7p/9Xw3PdCN236W/Dc90ILUNJUS5OWVNFOklCTS5JUV9QUkVGX0lTU1VFRC4uNC8xLzIwMjUuLi5VU0QuSAEAAADetgEAAwAAAAAAO6f/V8Nz3Qjdt+lvw3PdCCpDSVEuTllTRTpJQk0uSVFfUFJFRl9SRVAuLjQvMS8yMDI1Li4uVVNELkgBAAAA3rYBAAMAAAAAADun/1fDc90I3bfpb8Nz3QgvQ0lRLk5ZU0U6SUJNLklRX0NPTU1PTl9ESVZfQ0YuLjQvMS8yMDI1Li4uVVNELkgBAAAA3rYBAAIAAAAFLTYxNDcBCAAAAAUAAAABMQEAAAALLTE5NTgyODA2MTUDAAAAAzE2MAIAAAAEMjA3NAQAAAABMAcAAAAINC8xLzIwMjUIAAAACjEyLzMxLzIwMjQJAAAAATA7p/9Xw3PdCN236W/Dc90ILUNJUS5OWVNFOklCTS5JUV9QUkVGX0RJVl9DRi4uNC8xLzIwMjUuLi5VU0QuSAEAAADetgEAAwAAAAAAO6f/V8Nz3Qjdt+lvw3PdCDRDSVEuTllTRTpJQk0uSVFfQ09N</t>
  </si>
  <si>
    <t>TU9OX1BSRUZfRElWX0NGLi40LzEvMjAyNS4uLlVTRC5IAQAAAN62AQADAAAAAAA7p/9Xw3PdCN236W/Dc90IM0NJUS5OWVNFOklCTS5JUV9UT1RBTF9ESVZfUEFJRF9DRi4uNC8xLzIwMjUuLi5VU0QuSAEAAADetgEAAgAAAAUtNjE0NwEIAAAABQAAAAExAQAAAAstMTk1ODI4MDYxNQMAAAADMTYwAgAAAAQyMDIyBAAAAAEwBwAAAAg0LzEvMjAyNQgAAAAKMTIvMzEvMjAyNAkAAAABMDun/1fDc90I3bfpb8Nz3QgwQ0lRLk5ZU0U6SUJNLklRX1NQRUNJQUxfRElWX0NGLi40LzEvMjAyNS4uLlVTRC5IAQAAAN62AQADAAAAAAA7p/9Xw3PdCN236W/Dc90IOUNJUS5OWVNFOklCTS5JUV9PVEhFUl9GSU5BTkNFX0FDVF9TVVBQTC4uNC8xLzIwMjUuLi5VU0QuSAEAAADetgEAAgAAAAQtMTQ2AQgAAAAFAAAAATEBAAAACy0xOTU4MjgwNjE1AwAAAAMxNjACAAAABDIwNTAEAAAAATAHAAAACDQvMS8yMDI1CAAAAAoxMi8zMS8yMDI0CQAAAAEwO6f/V8Nz3Qjdt+lvw3PdCCxDSVEuTllTRTpJQk0uSVFfQ0FTSF9GSU5BTi4uNC8xLzIwMjUuLi5VU0QuSAEAAADetgEAAgAAAAUtNzA3OQEIAAAABQAAAAExAQAAAAstMTk1ODI4MDYxNQMAAAADMTYwAgAAAAQyMDA0BAAAAAEwBwAAAAg0LzEvMjAyNQgAAAAKMTIvMzEvMjAyNAkAAAABMDun/1fDc90I3bfpb8Nz3QgkQ0lRLk5ZU0U6SUJNLklRX0ZYLi40LzEvMjAyNS4u</t>
  </si>
  <si>
    <t>LlVTRC5IAQAAAN62AQACAAAABC0zNTkBCAAAAAUAAAABMQEAAAALLTE5NTgyODA2MTUDAAAAAzE2MAIAAAAEMjE0NAQAAAABMAcAAAAINC8xLzIwMjUIAAAACjEyLzMxLzIwMjQJAAAAATA7p/9Xw3PdCN236W/Dc90IMENJUS5OWVNFOklCTS5JUV9NSVNDX0FESlVTVF9DRi4uNC8xLzIwMjUuLi5VU0QuSAEAAADetgEAAgAAAAExAQgAAAAFAAAAATEBAAAACy0xOTU4MjgwNjE1AwAAAAMxNjACAAAABDIxNDkEAAAAATAHAAAACDQvMS8yMDI1CAAAAAoxMi8zMS8yMDI0CQAAAAEwO6f/V8Nz3Qjdt+lvw3PdCCxDSVEuTllTRTpJQk0uSVFfTkVUX0NIQU5HRS4uNC8xLzIwMjUuLi5VU0QuSAEAAADetgEAAgAAAAQxMDcxAQgAAAAFAAAAATEBAAAACy0xOTU4MjgwNjE1AwAAAAMxNjACAAAABDIwOTMEAAAAATAHAAAACDQvMS8yMDI1CAAAAAoxMi8zMS8yMDI0CQAAAAEwO6f/V8Nz3Qjdt+lvw3PdCClDSVEuTllTRTpJQk0uSVFfUEVSSU9ETEVOR1RIX0NGLi40LzEvMjAyNQEAAADetgEAAQAAAAIxMgA7p/9Xw3PdCN236W/Dc90INUNJUS5OWVNFOklCTS5JUV9EQV9TVVBQTF9QQVJUSUFMX0NGLi40LzEvMjAyNS4uLlVTRC5IAQAAAN62AQADAAAAAAA7p/9Xw3PdCN236W/Dc90IO0NJUS5OWVNFOklCTS5JUV9HV19JTlRBTl9BTU9SVF9QQVJUSUFMX0NGLi40LzEvMjAyNS4uLlVTRC5IAQAAAN62AQADAAAAAAA7</t>
  </si>
  <si>
    <t>p/9Xw3PdCN236W/Dc90ILENJUS5OWVNFOklCTS5JUV9ERVBSRV9TVVBQLi40LzEvMjAyNS4uLlVTRC5IAQAAAN62AQADAAAAAAA7p/9Xw3PdCN236W/Dc90IP0NJUS5OWVNFOklCTS5JUV9ERVBSRUNJQVRJT05fUkVOVEFMX0FTU0VUU19DRi4uNC8xLzIwMjUuLi5VU0QuSAEAAADetgEAAwAAAAAAO6f/V8Nz3Qjdt+lvw3PdCClDSVEuTllTRTpJQk0uSVFfREVQX1JVQS4uNC8xLzIwMjUuLi5VU0QuSAEAAADetgEAAgAAAAM5MDABCAAAAAUAAAABMQEAAAALLTE5NTgyODA2MTUDAAAAAzE2MAIAAAAFNDgzNTcEAAAAATAHAAAACDQvMS8yMDI1CAAAAAoxMi8zMS8yMDI0CQAAAAEwO6f/V8Nz3Qjdt+lvw3PdCD5DSVEuTllTRTpJQk0uSVFfREFfU1VQUExfQ0ZfRVhDTF9PUEVSX0xFQVNFUy4uNC8xLzIwMjUuLi5VU0QuSAEAAADetgEAAgAAAAQxMjY4AQgAAAAFAAAAATEBAAAACy0xOTU4MjgwNjE1AwAAAAMxNjACAAAABTQ4OTgzBAAAAAEwBwAAAAg0LzEvMjAyNQgAAAAKMTIvMzEvMjAyNAkAAAABMDun/1fDc90I3bfpb8Nz3Qg4Q0lRLk5ZU0U6SUJNLklRX0RBX0NGX0VYQ0xfT1BFUl9MRUFTRVMuLjQvMS8yMDI1Li4uVVNELkgBAAAA3rYBAAIAAAAEMzc2NwEIAAAABQAAAAExAQAAAAstMTk1ODI4MDYxNQMAAAADMTYwAgAAAAU0ODk4NQQAAAABMAcAAAAINC8xLzIwMjUIAAAACjEyLzMxLzIwMjQJAAAA</t>
  </si>
  <si>
    <t>ATA7p/9Xw3PdCN236W/Dc90INkNJUS5OWVNFOklCTS5JUV9ORUdBVElWRV9HV19BTU9SVF9DRi4uNC8xLzIwMjUuLi5VU0QuSAEAAADetgEAAwAAAAAAO6f/V8Nz3Qjdt+lvw3PdCC5DSVEuTllTRTpJQk0uSVFfQU1PUlRfRElDX0NGLi40LzEvMjAyNS4uLlVTRC5IAQAAAN62AQADAAAAAAA7p/9Xw3PdCN236W/Dc90IOkNJUS5OWVNFOklCTS5JUV9BTU9SVF9TT0ZUV0FSRV9BU1NFVFNfQ0YuLjQvMS8yMDI1Li4uVVNELkgBAAAA3rYBAAMAAAAAADun/1fDc90IUB7sb8Nz3Qg9Q0lRLk5ZU0U6SUJNLklRX1NBTEVfUFJPQ0VFRFNfUkVOVEFMX0FTU0VUUy4uNC8xLzIwMjUuLi5VU0QuSAEAAADetgEAAwAAAAAAO6f/V8Nz3QhQHuxvw3PdCC9DSVEuTllTRTpJQk0uSVFfQ0FTSF9JTlRFUkVTVC4uNC8xLzIwMjUuLi5VU0QuSAEAAADetgEAAgAAAAQxOTc4AQgAAAAFAAAAATEBAAAACy0xOTU4MjgwNjE1AwAAAAMxNjACAAAABDMwMjgEAAAAATAHAAAACDQvMS8yMDI1CAAAAAoxMi8zMS8yMDI0CQAAAAEwO6f/V8Nz3QhQHuxvw3PdCDNDSVEuTllTRTpJQk0uSVFfQ0FTSF9JTlRFUkVTVF9ORVQuLjQvMS8yMDI1Li4uVVNELkgBAAAA3rYBAAMAAAAAADun/1fDc90IUB7sb8Nz3Qg4Q0lRLk5ZU0U6SUJNLklRX0NBU0hfSU5URVJFU1RfUkVDRUlWRUQuLjQvMS8yMDI1Li4uVVNELkgBAAAA3rYBAAMAAAAAADun</t>
  </si>
  <si>
    <t>/1fDc90IUB7sb8Nz3Qg0Q0lRLk5ZU0U6SUJNLklRX0NBU0hfSU5URVJFU1RfT1BFUi4uNC8xLzIwMjUuLi5VU0QuSAEAAADetgEAAwAAAAAAO6f/V8Nz3QhQHuxvw3PdCDZDSVEuTllTRTpJQk0uSVFfQ0FTSF9JTlRFUkVTVF9JTlZFU1QuLjQvMS8yMDI1Li4uVVNELkgBAAAA3rYBAAMAAAAAADun/1fDc90IUB7sb8Nz3Qg1Q0lRLk5ZU0U6SUJNLklRX0NBU0hfSU5URVJFU1RfRklOQU4uLjQvMS8yMDI1Li4uVVNELkgBAAAA3rYBAAMAAAAAADun/1fDc90IUB7sb8Nz3QgsQ0lRLk5ZU0U6SUJNLklRX0NBU0hfVEFYRVMuLjQvMS8yMDI1Li4uVVNELkgBAAAA3rYBAAIAAAAEMTcyMwEIAAAABQAAAAExAQAAAAstMTk1ODI4MDYxNQMAAAADMTYwAgAAAAQzMDUzBAAAAAEwBwAAAAg0LzEvMjAyNQgAAAAKMTIvMzEvMjAyNAkAAAABMDun/1fDc90IUB7sb8Nz3QgxQ0lRLk5ZU0U6SUJNLklRX0NBU0hfVEFYRVNfT1BFUi4uNC8xLzIwMjUuLi5VU0QuSAEAAADetgEAAwAAAAAAO6f/V8Nz3QhQHuxvw3PdCDNDSVEuTllTRTpJQk0uSVFfQ0FTSF9UQVhFU19JTlZFU1QuLjQvMS8yMDI1Li4uVVNELkgBAAAA3rYBAAMAAAAAADun/1fDc90IUB7sb8Nz3QgyQ0lRLk5ZU0U6SUJNLklRX0NBU0hfVEFYRVNfRklOQU4uLjQvMS8yMDI1Li4uVVNELkgBAAAA3rYBAAMAAAAAADun/1fDc90IUB7sb8Nz3Qg2Q0lRLk5ZU0U6</t>
  </si>
  <si>
    <t>SUJNLklRX0NIQU5HRV9ERUZfVEFYX1RPVEFMLi40LzEvMjAyNS4uLlVTRC5IAQAAAN62AQACAAAABS0yMzMwAQgAAAAFAAAAATEBAAAACy0xOTU4MjgwNjE1AwAAAAMxNjACAAAABTMwOTI0BAAAAAEwBwAAAAg0LzEvMjAyNQgAAAAKMTIvMzEvMjAyNAkAAAABMDun/1fDc90IUB7sb8Nz3Qg8Q0lRLk5ZU0U6SUJNLklRX0NIQU5HRV9ORVRfV09SS0lOR19DQVBJVEFMLi40LzEvMjAyNS4uLlVTRC5IAQAAAN62AQACAAAAAjE1AQgAAAAFAAAAATEBAAAACy0xOTU4MjgwNjE1AwAAAAMxNjACAAAABDQ0MjEEAAAAATAHAAAACDQvMS8yMDI1CAAAAAoxMi8zMS8yMDI0CQAAAAEwO6f/V8Nz3QhQHuxvw3PdCC1DSVEuTllTRTpJQk0uSVFfTEVWRVJFRF9GQ0YuLjQvMS8yMDI1Li4uVVNELkgBAAAA3rYBAAIAAAAINzM3OS44NzUBCAAAAAUAAAABMQEAAAALLTE5NTgyODA2MTUDAAAAAzE2MAIAAAAENDQyMgQAAAABMAcAAAAINC8xLzIwMjUIAAAACjEyLzMxLzIwMjQJAAAAATA7p/9Xw3PdCFAe7G/Dc90IL0NJUS5OWVNFOklCTS5JUV9VTkxFVkVSRURfRkNGLi40LzEvMjAyNS4uLlVTRC5IAQAAAN62AQACAAAACDg0NDkuODc1AQgAAAAFAAAAATEBAAAACy0xOTU4MjgwNjE1AwAAAAMxNjACAAAABDQ0MjMEAAAAATAHAAAACDQvMS8yMDI1CAAAAAoxMi8zMS8yMDI0CQAAAAEwO6f/V8Nz3QhQHuxvw3PdCCpDSVEu</t>
  </si>
  <si>
    <t>TllTRTpJQk0uSVFfQ0ZfU0hBUkUuLjQvMS8yMDI1Li4uVVNELkgBAAAA3rYBAAIAAAAJMTIuNzU4MDkzAQgAAAAFAAAAATEBAAAACy0xOTU4MjgwNjE1AwAAAAMxNjACAAAABTQzOTIzBAAAAAEwBwAAAAg0LzEvMjAyNQgAAAAKMTIvMzEvMjAyNAkAAAABMDun/1fDc90IUB7sb8Nz3QgxQ0lRLk5ZU0U6SUJNLklRX05FVF9ERUJUX0lTU1VFRC4uNC8xLzIwMjUuLi5VU0QuSAEAAADetgEAAgAAAAQtODgwAQgAAAAFAAAAATEBAAAACy0xOTU4MjgwNjE1AwAAAAMxNjACAAAABDIwMDMEAAAAATAHAAAACDQvMS8yMDI1CAAAAAoxMi8zMS8yMDI0CQAAAAEwO6f/V8Nz3QhQHuxvw3PdCC1DSVEuTllTRTpJQk0uSVFfTUFJTlRfQ0FQRVguLjQvMS8yMDI1Li4uVVNELkgBAAAA3rYBAAMAAAAAADun/1fDc90IUB7sb8Nz3QguQ0lRLk5ZU0U6SUJNLklRX0RPX0lOVkVTVF9DRi4uNC8xLzIwMjUuLi5VU0QuSAEAAADetgEAAwAAAAAAO6f/V8Nz3QhQHuxvw3PdCC9DSVEuTllTRTpJQk0uSVFfRE9fRklOQU5DRV9DRi4uNC8xLzIwMjUuLi5VU0QuSAEAAADetgEAAwAAAAAAO6f/V8Nz3QhQHuxvw3PdCDpDSVEuTllTRTpJQk0uSVFfT1BFUkFUSU5HX0xFQVNFX1BBWU1FTlRTLi40LzEvMjAyNS4uLlVTRC5IAQAAAN62AQADAAAAAAA7p/9Xw3PdCFAe7G/Dc90IPUNJUS5OWVNFOklCTS5JUV9PUEVSQVRJTkdfTEVBU0Vf</t>
  </si>
  <si>
    <t>TElBQklMSVRJRVMuLjQvMS8yMDI1Li4uVVNELkgBAAAA3rYBAAMAAAAAADun/1fDc90IUB7sb8Nz3QhFQ0lRLk5ZU0U6SUJNLklRX09QRVJBVElOR19MRUFTRV9MSUFCSUxJVElFU19OT05DQVNILi40LzEvMjAyNS4uLlVTRC5IAQAAAN62AQADAAAAAAA7p/9Xw3PdCFAe7G/Dc90IQ0NJUS5OWVNFOklCTS5JUV9MT05HX1RFUk1fREVCVF9SRVBBSURfRVhDTF9MRUFTRVMuLjQvMS8yMDI1Li4uVVNELkgBAAAA3rYBAAIAAAAFLTY2MTUBCAAAAAUAAAABMQEAAAALLTE5NTgyODA2MTUDAAAAAzE2MAIAAAAFNDg5ODQEAAAAATAHAAAACDQvMS8yMDI1CAAAAAoxMi8zMS8yMDI0CQAAAAEwO6f/V8Nz3QhQHuxvw3PdCD9DSVEuTllTRTpJQk0uSVFfVE9UQUxfREVCVF9SRVBBSURfRVhDTF9MRUFTRVMuLjQvMS8yMDI1Li4uVVNELkgBAAAA3rYBAAIAAAAFLTY2MTUBCAAAAAUAAAABMQEAAAALLTE5NTgyODA2MTUDAAAAAzE2MAIAAAAFNDg5ODYEAAAAATAHAAAACDQvMS8yMDI1CAAAAAoxMi8zMS8yMDI0CQAAAAEwO6f/V8Nz3QhQHuxvw3PdCDVDSVEuTllTRTpJQk0uSVFfR0FJTl9CQVJHQUlOX0FDUV9DRi4uNC8xLzIwMjUuLi5VU0QuSAEAAADetgEAAwAAAAAAO6f/V8Nz3QhQHuxvw3PdCCxDSVEuTllTRTpJQk0uSVFfQ0FTSF9FUVVJVi4uNC8xLzIwMjUuLi5VU0QuSAEAAADetgEAAgAAAAUxMzk0NwEIAAAA</t>
  </si>
  <si>
    <t>BQAAAAExAQAAAAstMTk1ODI4MDYxNQMAAAADMTYwAgAAAAQxMDk2BAAAAAEwBwAAAAg0LzEvMjAyNQgAAAAKMTIvMzEvMjAyNAkAAAABMDun/1fDc90IUB7sb8Nz3QgrQ0lRLk5ZU0U6SUJNLklRX1NUX0lOVkVTVC4uNC8xLzIwMjUuLi5VU0QuSAEAAADetgEAAgAAAAM2NDQBCAAAAAUAAAABMQEAAAALLTE5NTgyODA2MTUDAAAAAzE2MAIAAAAEMTA2OQQAAAABMAcAAAAINC8xLzIwMjUIAAAACjEyLzMxLzIwMjQJAAAAATA7p/9Xw3PdCFAe7G/Dc90IMENJUS5OWVNFOklCTS5JUV9UUkFESU5HX0FTU0VUUy4uNC8xLzIwMjUuLi5VU0QuSAEAAADetgEAAwAAAAAAO6f/V8Nz3QhQHuxvw3PdCDBDSVEuTllTRTpJQk0uSVFfQ0FTSF9TVF9JTlZFU1QuLjQvMS8yMDI1Li4uVVNELkgBAAAA3rYBAAIAAAAFMTQ1OTEBCAAAAAUAAAABMQEAAAALLTE5NTgyODA2MTUDAAAAAzE2MAIAAAAEMTAwMgQAAAABMAcAAAAINC8xLzIwMjUIAAAACjEyLzMxLzIwMjQJAAAAATA7p/9Xw3PdCFAe7G/Dc90IJENJUS5OWVNFOklCTS5JUV9BUi4uNC8xLzIwMjUuLi5VU0QuSAEAAADetgEAAgAAAAQ3MjM3AQgAAAAFAAAAATEBAAAACy0xOTU4MjgwNjE1AwAAAAMxNjACAAAABDEwMjEEAAAAATAHAAAACDQvMS8yMDI1CAAAAAoxMi8zMS8yMDI0CQAAAAEwO6f/V8Nz3QhQHuxvw3PdCC5DSVEuTllTRTpJQk0uSVFfT1RIRVJfUkVD</t>
  </si>
  <si>
    <t>RUlWLi40LzEvMjAyNS4uLlVTRC5IAQAAAN62AQACAAAAAzkxOAEIAAAABQAAAAExAQAAAAstMTk1ODI4MDYxNQMAAAADMTYwAgAAAAQxMjA2BAAAAAEwBwAAAAg0LzEvMjAyNQgAAAAKMTIvMzEvMjAyNAkAAAABMDun/1fDc90IUB7sb8Nz3QgwQ0lRLk5ZU0U6SUJNLklRX1NUX05PVEVfUkVDRUlWLi40LzEvMjAyNS4uLlVTRC5IAQAAAN62AQADAAAAAAA7p/9Xw3PdCFAe7G/Dc90ILkNJUS5OWVNFOklCTS5JUV9UT1RBTF9SRUNFSVYuLjQvMS8yMDI1Li4uVVNELkgBAAAA3rYBAAIAAAAEODE1NQEIAAAABQAAAAExAQAAAAstMTk1ODI4MDYxNQMAAAADMTYwAgAAAAQxMDAxBAAAAAEwBwAAAAg0LzEvMjAyNQgAAAAKMTIvMzEvMjAyNAkAAAABMDun/1fDc90IUB7sb8Nz3QgrQ0lRLk5ZU0U6SUJNLklRX0lOVkVOVE9SWS4uNC8xLzIwMjUuLi5VU0QuSAEAAADetgEAAgAAAAQxMjg5AQgAAAAFAAAAATEBAAAACy0xOTU4MjgwNjE1AwAAAAMxNjACAAAABDEwNDMEAAAAATAHAAAACDQvMS8yMDI1CAAAAAoxMi8zMS8yMDI0CQAAAAEwO6f/V8Nz3QhQHuxvw3PdCC1DSVEuTllTRTpJQk0uSVFfUFJFUEFJRF9FWFAuLjQvMS8yMDI1Li4uVVNELkgBAAAA3rYBAAIAAAAEMTUxMgEIAAAABQAAAAExAQAAAAstMTk1ODI4MDYxNQMAAAADMTYwAgAAAAQxMjEyBAAAAAEwBwAAAAg0LzEvMjAyNQgAAAAKMTIvMzEvMjAy</t>
  </si>
  <si>
    <t>NAkAAAABMDun/1fDc90IUB7sb8Nz3Qg3Q0lRLk5ZU0U6SUJNLklRX0ZJTl9ESVZfTE9BTlNfQ1VSUkVOVC4uNC8xLzIwMjUuLi5VU0QuSAEAAADetgEAAgAAAAQ2MjU5AQgAAAAFAAAAATEBAAAACy0xOTU4MjgwNjE1AwAAAAMxNjACAAAABDEwMzIEAAAAATAHAAAACDQvMS8yMDI1CAAAAAoxMi8zMS8yMDI0CQAAAAEwO6f/V8Nz3QhQHuxvw3PdCDhDSVEuTllTRTpJQk0uSVFfRklOX0RJVl9BU1NFVFNfQ1VSUkVOVC4uNC8xLzIwMjUuLi5VU0QuSAEAAADetgEAAgAAAAM5MDABCAAAAAUAAAABMQEAAAALLTE5NTgyODA2MTUDAAAAAzE2MAIAAAAEMTAyOQQAAAABMAcAAAAINC8xLzIwMjUIAAAACjEyLzMxLzIwMjQJAAAAATA7p/9Xw3PdCFAe7G/Dc90IMENJUS5OWVNFOklCTS5JUV9MT0FOU19GT1JfU0FMRS4uNC8xLzIwMjUuLi5VU0QuSAEAAADetgEAAwAAAAAAO6f/V8Nz3QhQHuxvw3PdCDhDSVEuTllTRTpJQk0uSVFfREVGX1RBWF9BU1NFVFNfQ1VSUkVOVC4uNC8xLzIwMjUuLi5VU0QuSAEAAADetgEAAwAAAAAAO6f/V8Nz3QhQHuxvw3PdCDFDSVEuTllTRTpJQk0uSVFfUkVTVFJJQ1RFRF9DQVNILi40LzEvMjAyNS4uLlVTRC5IAQAAAN62AQACAAAAAzIxNAEIAAAABQAAAAExAQAAAAstMTk1ODI4MDYxNQMAAAADMTYwAgAAAAQxMTA0BAAAAAEwBwAAAAg0LzEvMjAyNQgAAAAKMTIvMzEvMjAyNAkA</t>
  </si>
  <si>
    <t>AAABMDun/1fDc90IUB7sb8Nz3QgwQ0lRLk5ZU0U6SUJNLklRX09USEVSX0NBX1NVUFBMLi40LzEvMjAyNS4uLlVTRC5IAQAAAN62AQACAAAABDE1NjIBCAAAAAUAAAABMQEAAAALLTE5NTgyODA2MTUDAAAAAzE2MAIAAAAEMTA1NQQAAAABMAcAAAAINC8xLzIwMjUIAAAACjEyLzMxLzIwMjQJAAAAATA7p/9Xw3PdCFAe7G/Dc90IKkNJUS5OWVNFOklCTS5JUV9UT1RBTF9DQS4uNC8xLzIwMjUuLi5VU0QuSAEAAADetgEAAgAAAAUzNDQ4MgEIAAAABQAAAAExAQAAAAstMTk1ODI4MDYxNQMAAAADMTYwAgAAAAQxMDA4BAAAAAEwBwAAAAg0LzEvMjAyNQgAAAAKMTIvMzEvMjAyNAkAAAABMDun/1fDc90IUB7sb8Nz3QgmQ0lRLk5ZU0U6SUJNLklRX0dQUEUuLjQvMS8yMDI1Li4uVVNELkgBAAAA3rYBAAIAAAAFMjA4ODgBCAAAAAUAAAABMQEAAAALLTE5NTgyODA2MTUDAAAAAzE2MAIAAAAEMTE2OQQAAAABMAcAAAAINC8xLzIwMjUIAAAACjEyLzMxLzIwMjQJAAAAATA7p/9Xw3PdCFAe7G/Dc90IJENJUS5OWVNFOklCTS5JUV9BRC4uNC8xLzIwMjUuLi5VU0QuSAEAAADetgEAAgAAAAYtMTE5NTkBCAAAAAUAAAABMQEAAAALLTE5NTgyODA2MTUDAAAAAzE2MAIAAAAEMTA3NQQAAAABMAcAAAAINC8xLzIwMjUIAAAACjEyLzMxLzIwMjQJAAAAATA7p/9Xw3PdCFAe7G/Dc90IJkNJUS5OWVNFOklCTS5JUV9OUFBF</t>
  </si>
  <si>
    <t>Li40LzEvMjAyNS4uLlVTRC5IAQAAAN62AQACAAAABDg5MjkBCAAAAAUAAAABMQEAAAALLTE5NTgyODA2MTUDAAAAAzE2MAIAAAAEMTAwNAQAAAABMAcAAAAINC8xLzIwMjUIAAAACjEyLzMxLzIwMjQJAAAAATA7p/9Xw3PdCFAe7G/Dc90IK0NJUS5OWVNFOklCTS5JUV9MVF9JTlZFU1QuLjQvMS8yMDI1Li4uVVNELkgBAAAA3rYBAAIAAAAEMTY5MQEIAAAABQAAAAExAQAAAAstMTk1ODI4MDYxNQMAAAADMTYwAgAAAAQxMDU0BAAAAAEwBwAAAAg0LzEvMjAyNQgAAAAKMTIvMzEvMjAyNAkAAAABMDun/1fDc90IUB7sb8Nz3QgkQ0lRLk5ZU0U6SUJNLklRX0dXLi40LzEvMjAyNS4uLlVTRC5IAQAAAN62AQACAAAABTYwNzA2AQgAAAAFAAAAATEBAAAACy0xOTU4MjgwNjE1AwAAAAMxNjACAAAABDExNzEEAAAAATAHAAAACDQvMS8yMDI1CAAAAAoxMi8zMS8yMDI0CQAAAAEwO6f/V8Nz3QhQHuxvw3PdCC1DSVEuTllTRTpJQk0uSVFfT1RIRVJfSU5UQU4uLjQvMS8yMDI1Li4uVVNELkgBAAAA3rYBAAIAAAAFMTA2NjABCAAAAAUAAAABMQEAAAALLTE5NTgyODA2MTUDAAAAAzE2MAIAAAAEMTA0MAQAAAABMAcAAAAINC8xLzIwMjUIAAAACjEyLzMxLzIwMjQJAAAAATA7p/9Xw3PdCFAe7G/Dc90IMkNJUS5OWVNFOklCTS5JUV9GSU5fRElWX0xPQU5TX0xULi40LzEvMjAyNS4uLlVTRC5IAQAAAN62AQACAAAABDUz</t>
  </si>
  <si>
    <t>NTMBCAAAAAUAAAABMQEAAAALLTE5NTgyODA2MTUDAAAAAzE2MAIAAAAEMTAzMwQAAAABMAcAAAAINC8xLzIwMjUIAAAACjEyLzMxLzIwMjQJAAAAATA7p/9Xw3PdCFAe7G/Dc90IM0NJUS5OWVNFOklCTS5JUV9GSU5fRElWX0FTU0VUU19MVC4uNC8xLzIwMjUuLi5VU0QuSAEAAADetgEAAwAAAAAAO6f/V8Nz3QhQHuxvw3PdCCdDSVEuTllTRTpJQk0uSVFfQVJfTFQuLjQvMS8yMDI1Li4uVVNELkgBAAAA3rYBAAMAAAAAADun/1fDc90IUB7sb8Nz3QgxQ0lRLk5ZU0U6SUJNLklRX0xPQU5TX1JFQ0VJVl9MVC4uNC8xLzIwMjUuLi5VU0QuSAEAAADetgEAAwAAAAAAO6f/V8Nz3QhQHuxvw3PdCDNDSVEuTllTRTpJQk0uSVFfREVGX1RBWF9BU1NFVFNfTFQuLjQvMS8yMDI1Li4uVVNELkgBAAAA3rYBAAIAAAAENjk3OAEIAAAABQAAAAExAQAAAAstMTk1ODI4MDYxNQMAAAADMTYwAgAAAAQxMDI2BAAAAAEwBwAAAAg0LzEvMjAyNQgAAAAKMTIvMzEvMjAyNAkAAAABMDun/1fDc90IUB7sb8Nz3QgwQ0lRLk5ZU0U6SUJNLklRX0RFRl9DSEFSR0VTX0xULi40LzEvMjAyNS4uLlVTRC5IAQAAAN62AQACAAAAAzc4OAEIAAAABQAAAAExAQAAAAstMTk1ODI4MDYxNQMAAAADMTYwAgAAAAQxMDI1BAAAAAEwBwAAAAg0LzEvMjAyNQgAAAAKMTIvMzEvMjAyNAkAAAABMDun/1fDc90IUB7sb8Nz3QgxQ0lRLk5ZU0U6SUJN</t>
  </si>
  <si>
    <t>LklRX09USEVSX0xUX0FTU0VUUy4uNC8xLzIwMjUuLi5VU0QuSAEAAADetgEAAgAAAAQ3NTg4AQgAAAAFAAAAATEBAAAACy0xOTU4MjgwNjE1AwAAAAMxNjACAAAABDEwNjAEAAAAATAHAAAACDQvMS8yMDI1CAAAAAoxMi8zMS8yMDI0CQAAAAEwO6f/V8Nz3QhQHuxvw3PdCC5DSVEuTllTRTpJQk0uSVFfVE9UQUxfQVNTRVRTLi40LzEvMjAyNS4uLlVTRC5IAQAAAN62AQACAAAABjEzNzE3NQEIAAAABQAAAAExAQAAAAstMTk1ODI4MDYxNQMAAAADMTYwAgAAAAQxMDA3BAAAAAEwBwAAAAg0LzEvMjAyNQgAAAAKMTIvMzEvMjAyNAkAAAABMDun/1fDc90IUB7sb8Nz3QgkQ0lRLk5ZU0U6SUJNLklRX0FQLi40LzEvMjAyNS4uLlVTRC5IAQAAAN62AQACAAAABDQwMzIBCAAAAAUAAAABMQEAAAALLTE5NTgyODA2MTUDAAAAAzE2MAIAAAAEMTAxOAQAAAABMAcAAAAINC8xLzIwMjUIAAAACjEyLzMxLzIwMjQJAAAAATA7p/9Xw3PdCFAe7G/Dc90IJENJUS5OWVNFOklCTS5JUV9BRS4uNC8xLzIwMjUuLi5VU0QuSAEAAADetgEAAgAAAAQ3MDUyAQgAAAAFAAAAATEBAAAACy0xOTU4MjgwNjE1AwAAAAMxNjACAAAABDEwMTYEAAAAATAHAAAACDQvMS8yMDI1CAAAAAoxMi8zMS8yMDI0CQAAAAEwO6f/V8Nz3QhQHuxvw3PdCClDSVEuTllTRTpJQk0uSVFfU1RfREVCVC4uNC8xLzIwMjUuLi5VU0QuSAEAAADetgEAAwAA</t>
  </si>
  <si>
    <t>AAAAO6f/V8Nz3QhQHuxvw3PdCDNDSVEuTllTRTpJQk0uSVFfQ1VSUkVOVF9QT1JUX0RFQlQuLjQvMS8yMDI1Li4uVVNELkgBAAAA3rYBAAIAAAAENDg5MQEIAAAABQAAAAExAQAAAAstMTk1ODI4MDYxNQMAAAADMTYwAgAAAAQxMjk3BAAAAAEwBwAAAAg0LzEvMjAyNQgAAAAKMTIvMzEvMjAyNAkAAAABMDun/1fDc90IUB7sb8Nz3Qg1Q0lRLk5ZU0U6SUJNLklRX0NVUlJFTlRfUE9SVF9MRUFTRVMuLjQvMS8yMDI1Li4uVVNELkgBAAAA3rYBAAIAAAADOTY2AQgAAAAFAAAAATEBAAAACy0xOTU4MjgwNjE1AwAAAAMxNjACAAAABDEwOTAEAAAAATAHAAAACDQvMS8yMDI1CAAAAAoxMi8zMS8yMDI0CQAAAAEwO6f/V8Nz3QhQHuxvw3PdCDZDSVEuTllTRTpJQk0uSVFfRklOX0RJVl9ERUJUX0NVUlJFTlQuLjQvMS8yMDI1Li4uVVNELkgBAAAA3rYBAAMAAAAAADun/1fDc90IUB7sb8Nz3Qg2Q0lRLk5ZU0U6SUJNLklRX0ZJTl9ESVZfTElBQl9DVVJSRU5ULi40LzEvMjAyNS4uLlVTRC5IAQAAAN62AQADAAAAAAA7p/9Xw3PdCFAe7G/Dc90INUNJUS5OWVNFOklCTS5JUV9JTkNfVEFYX1BBWV9DVVJSRU5ULi40LzEvMjAyNS4uLlVTRC5IAQAAAN62AQACAAAABDIwMzMBCAAAAAUAAAABMQEAAAALLTE5NTgyODA2MTUDAAAAAzE2MAIAAAAEMTA5NAQAAAABMAcAAAAINC8xLzIwMjUIAAAACjEyLzMxLzIwMjQJAAAA</t>
  </si>
  <si>
    <t>ATA7p/9Xw3PdCFAe7G/Dc90INENJUS5OWVNFOklCTS5JUV9VTkVBUk5fUkVWX0NVUlJFTlQuLjQvMS8yMDI1Li4uVVNELkgBAAAA3rYBAAIAAAAFMTM5MDcBCAAAAAUAAAABMQEAAAALLTE5NTgyODA2MTUDAAAAAzE2MAIAAAAEMTA3NAQAAAABMAcAAAAINC8xLzIwMjUIAAAACjEyLzMxLzIwMjQJAAAAATA7p/9Xw3PdCFAe7G/Dc90INkNJUS5OWVNFOklCTS5JUV9ERUZfVEFYX0xJQUJfQ1VSUkVOVC4uNC8xLzIwMjUuLi5VU0QuSAEAAADetgEAAwAAAAAAO6f/V8Nz3QhQHuxvw3PdCDBDSVEuTllTRTpJQk0uSVFfT1RIRVJfQ0xfU1VQUEwuLjQvMS8yMDI1Li4uVVNELkgBAAAA3rYBAAIAAAADMjYxAQgAAAAFAAAAATEBAAAACy0xOTU4MjgwNjE1AwAAAAMxNjACAAAABDEwNTcEAAAAATAHAAAACDQvMS8yMDI1CAAAAAoxMi8zMS8yMDI0CQAAAAEwO6f/V8Nz3QhQHuxvw3PdCCpDSVEuTllTRTpJQk0uSVFfVE9UQUxfQ0wuLjQvMS8yMDI1Li4uVVNELkgBAAAA3rYBAAIAAAAFMzMxNDIBCAAAAAUAAAABMQEAAAALLTE5NTgyODA2MTUDAAAAAzE2MAIAAAAEMTAwOQQAAAABMAcAAAAINC8xLzIwMjUIAAAACjEyLzMxLzIwMjQJAAAAATA7p/9Xw3PdCFAe7G/Dc90IKUNJUS5OWVNFOklCTS5JUV9MVF9ERUJULi40LzEvMjAyNS4uLlVTRC5IAQAAAN62AQACAAAABTQ5MDgxAQgAAAAFAAAAATEBAAAACy0xOTU4</t>
  </si>
  <si>
    <t>MjgwNjE1AwAAAAMxNjACAAAABDEwNDkEAAAAATAHAAAACDQvMS8yMDI1CAAAAAoxMi8zMS8yMDI0CQAAAAEwO6f/V8Nz3QhQHuxvw3PdCDJDSVEuTllTRTpJQk0uSVFfTE9OR19URVJNX0xFQVNFUy4uNC8xLzIwMjUuLi5VU0QuSAEAAADetgEAAgAAAAQzNDU4AQgAAAAFAAAAATEBAAAACy0xOTU4MjgwNjE1AwAAAAMxNjACAAAABDExODMEAAAAATAHAAAACDQvMS8yMDI1CAAAAAoxMi8zMS8yMDI0CQAAAAEwO6f/V8Nz3QhQHuxvw3PdCDFDSVEuTllTRTpJQk0uSVFfRklOX0RJVl9ERUJUX0xULi40LzEvMjAyNS4uLlVTRC5IAQAAAN62AQADAAAAAAA7p/9Xw3PdCFAe7G/Dc90IMUNJUS5OWVNFOklCTS5JUV9GSU5fRElWX0xJQUJfTFQuLjQvMS8yMDI1Li4uVVNELkgBAAAA3rYBAAMAAAAAADun/1fDc90IUB7sb8Nz3QgvQ0lRLk5ZU0U6SUJNLklRX1VORUFSTl9SRVZfTFQuLjQvMS8yMDI1Li4uVVNELkgBAAAA3rYBAAIAAAAEMzYyMgEIAAAABQAAAAExAQAAAAstMTk1ODI4MDYxNQMAAAADMTYwAgAAAAQxMjU2BAAAAAEwBwAAAAg0LzEvMjAyNQgAAAAKMTIvMzEvMjAyNAkAAAABMDun/1fDc90IUB7sb8Nz3QgpQ0lRLk5ZU0U6SUJNLklRX1BFTlNJT04uLjQvMS8yMDI1Li4uVVNELkgBAAAA3rYBAAIAAAAEOTQzMgEIAAAABQAAAAExAQAAAAstMTk1ODI4MDYxNQMAAAADMTYwAgAAAAQxMjEzBAAAAAEw</t>
  </si>
  <si>
    <t>BwAAAAg0LzEvMjAyNQgAAAAKMTIvMzEvMjAyNAkAAAABMDun/1fDc90IUB7sb8Nz3QgxQ0lRLk5ZU0U6SUJNLklRX0RFRl9UQVhfTElBQl9MVC4uNC8xLzIwMjUuLi5VU0QuSAEAAADetgEAAgAAAAM4MTUBCAAAAAUAAAABMQEAAAALLTE5NTgyODA2MTUDAAAAAzE2MAIAAAAEMTAyNwQAAAABMAcAAAAINC8xLzIwMjUIAAAACjEyLzMxLzIwMjQJAAAAATA7p/9Xw3PdCFAe7G/Dc90IL0NJUS5OWVNFOklCTS5JUV9PVEhFUl9MSUFCX0xULi40LzEvMjAyNS4uLlVTRC5IAQAAAN62AQACAAAABTEwMjMyAQgAAAAFAAAAATEBAAAACy0xOTU4MjgwNjE1AwAAAAMxNjACAAAABDEwNjIEAAAAATAHAAAACDQvMS8yMDI1CAAAAAoxMi8zMS8yMDI0CQAAAAEwO6f/V8Nz3QhQHuxvw3PdCCxDSVEuTllTRTpJQk0uSVFfVE9UQUxfTElBQi4uNC8xLzIwMjUuLi5VU0QuSAEAAADetgEAAgAAAAYxMDk3ODIBCAAAAAUAAAABMQEAAAALLTE5NTgyODA2MTUDAAAAAzE2MAIAAAAEMTI3NgQAAAABMAcAAAAINC8xLzIwMjUIAAAACjEyLzMxLzIwMjQJAAAAATA7p/9Xw3PdCFAe7G/Dc90ILUNJUS5OWVNFOklCTS5JUV9QUkVGX1JFREVFTS4uNC8xLzIwMjUuLi5VU0QuSAEAAADetgEAAwAAAAAAO6f/V8Nz3QhQHuxvw3PdCDFDSVEuTllTRTpJQk0uSVFfUFJFRl9OT05fUkVERUVNLi40LzEvMjAyNS4uLlVTRC5IAQAAAN62AQAD</t>
  </si>
  <si>
    <t>AAAAAAA7p/9Xw3PdCFAe7G/Dc90ILkNJUS5OWVNFOklCTS5JUV9QUkVGX0NPTlZFUlQuLjQvMS8yMDI1Li4uVVNELkgBAAAA3rYBAAMAAAAAADun/1fDc90IUB7sb8Nz3QgsQ0lRLk5ZU0U6SUJNLklRX1BSRUZfT1RIRVIuLjQvMS8yMDI1Li4uVVNELkgBAAAA3rYBAAMAAAAAADun/1fDc90IUB7sb8Nz3QgtQ0lRLk5ZU0U6SUJNLklRX1BSRUZfRVFVSVRZLi40LzEvMjAyNS4uLlVTRC5IAQAAAN62AQADAAAAAAA7p/9Xw3PdCFAe7G/Dc90IKENJUS5OWVNFOklCTS5JUV9DT01NT04uLjQvMS8yMDI1Li4uVVNELkgBAAAA3rYBAAIAAAAFNjEzODABCAAAAAUAAAABMQEAAAALLTE5NTgyODA2MTUDAAAAAzE2MAIAAAAEMTEwMwQAAAABMAcAAAAINC8xLzIwMjUIAAAACjEyLzMxLzIwMjQJAAAAATA7p/9Xw3PdCFAe7G/Dc90IJkNJUS5OWVNFOklCTS5JUV9BUElDLi40LzEvMjAyNS4uLlVTRC5IAQAAAN62AQADAAAAAAA7p/9Xw3PdCFAe7G/Dc90IJENJUS5OWVNFOklCTS5JUV9SRS4uNC8xLzIwMjUuLi5VU0QuSAEAAADetgEAAgAAAAYxNTExNjMBCAAAAAUAAAABMQEAAAALLTE5NTgyODA2MTUDAAAAAzE2MAIAAAAEMTIyMgQAAAABMAcAAAAINC8xLzIwMjUIAAAACjEyLzMxLzIwMjQJAAAAATA7p/9Xw3PdCFAe7G/Dc90IKkNJUS5OWVNFOklCTS5JUV9UUkVBU1VSWS4uNC8xLzIwMjUuLi5VU0QuSAEAAADe</t>
  </si>
  <si>
    <t>tgEAAgAAAActMTY5OTY4AQgAAAAFAAAAATEBAAAACy0xOTU4MjgwNjE1AwAAAAMxNjACAAAABDEyNDgEAAAAATAHAAAACDQvMS8yMDI1CAAAAAoxMi8zMS8yMDI0CQAAAAEwO6f/V8Nz3QhQHuxvw3PdCC5DSVEuTllTRTpJQk0uSVFfT1RIRVJfRVFVSVRZLi40LzEvMjAyNS4uLlVTRC5IAQAAAN62AQACAAAABi0xNTI2OAEIAAAABQAAAAExAQAAAAstMTk1ODI4MDYxNQMAAAADMTYwAgAAAAQxMDI4BAAAAAEwBwAAAAg0LzEvMjAyNQgAAAAKMTIvMzEvMjAyNAkAAAABMDun/1fDc90IUB7sb8Nz3Qg1Q0lRLk5ZU0U6SUJNLklRX1RPVEFMX0NPTU1PTl9FUVVJVFkuLjQvMS8yMDI1Li4uVVNELkgBAAAA3rYBAAIAAAAFMjczMDcBCAAAAAUAAAABMQEAAAALLTE5NTgyODA2MTUDAAAAAzE2MAIAAAAEMTAwNgQAAAABMAcAAAAINC8xLzIwMjUIAAAACjEyLzMxLzIwMjQJAAAAATA7p/9Xw3PdCFAe7G/Dc90IM0NJUS5OWVNFOklCTS5JUV9NSU5PUklUWV9JTlRFUkVTVC4uNC8xLzIwMjUuLi5VU0QuSAEAAADetgEAAgAAAAI4NgEIAAAABQAAAAExAQAAAAstMTk1ODI4MDYxNQMAAAADMTYwAgAAAAQxMDUyBAAAAAEwBwAAAAg0LzEvMjAyNQgAAAAKMTIvMzEvMjAyNAkAAAABMDun/1fDc90IUB7sb8Nz3QguQ0lRLk5ZU0U6SUJNLklRX1RPVEFMX0VRVUlUWS4uNC8xLzIwMjUuLi5VU0QuSAEAAADetgEAAgAAAAUy</t>
  </si>
  <si>
    <t>NzM5MwEIAAAABQAAAAExAQAAAAstMTk1ODI4MDYxNQMAAAADMTYwAgAAAAQxMjc1BAAAAAEwBwAAAAg0LzEvMjAyNQgAAAAKMTIvMzEvMjAyNAkAAAABMDun/1fDc90IUB7sb8Nz3QgzQ0lRLk5ZU0U6SUJNLklRX1RPVEFMX0xJQUJfRVFVSVRZLi40LzEvMjAyNS4uLlVTRC5IAQAAAN62AQACAAAABjEzNzE3NQEIAAAABQAAAAExAQAAAAstMTk1ODI4MDYxNQMAAAADMTYwAgAAAAQxMDEzBAAAAAEwBwAAAAg0LzEvMjAyNQgAAAAKMTIvMzEvMjAyNAkAAAABMDun/1fDc90IUB7sb8Nz3QgxQ0lRLk5ZU0U6SUJNLklRX1RPVEFMX0NPTU1PTl9FUVVJVFkuLjQvMS8yMDI1Li4uLgEAAADetgEAAgAAAAUyNzMwNwEIAAAABQAAAAExAQAAAAstMTk1ODI4MDYxNQMAAAADMTYwAgAAAAQxMDA2BAAAAAEwBwAAAAg0LzEvMjAyNQgAAAAKMTIvMzEvMjAyNAkAAAABMH8Ho13Dc90IfwejXcNz3QgyQ0lRLk5ZU0U6SUJNLklRX1RPVEFMX0NPTU1PTl9FUVVJVFkuLjQvMS8yMDI1Li4uLkgBAAAA3rYBAAIAAAAFMjczMDcBCAAAAAUAAAABMQEAAAALLTE5NTgyODA2MTUDAAAAAzE2MAIAAAAEMTAwNgQAAAABMAcAAAAINC8xLzIwMjUIAAAACjEyLzMxLzIwMjQJAAAAATB/B6Ndw3PdCH8Ho13Dc90IJUNJUS5OWVNFOklCTS5JUV9SRVYuMjAwMC40LzEvMjAyNS4uLi4BAAAA3rYBAAIAAAAFNjIwNDQBCAAAAAUAAAABMQEA</t>
  </si>
  <si>
    <t>AAALLTE5NTgyODA2MTUDAAAAAzE2MAIAAAADMTEyBAAAAAEwBwAAAAg0LzEvMjAyNQgAAAAKMTIvMzEvMjAyNAkAAAABMH+t2GLDc90IYM1eh8Nz3QgmQ0lRLk5ZU0U6SUJNLklRX1JFVi4yMDAwLjQvMS8yMDI1Li4uLkgBAAAA3rYBAAIAAAAFNjIwNDQBCAAAAAUAAAABMQEAAAALLTE5NTgyODA2MTUDAAAAAzE2MAIAAAADMTEyBAAAAAEwBwAAAAg0LzEvMjAyNQgAAAAKMTIvMzEvMjAyNAkAAAABMH+t2GLDc90IYM1eh8Nz3QghQ0lRLk5ZU0U6SUJNLklRX1JFVi4uNC8xLzIwMjUuLi4uAQAAAN62AQACAAAABTYyMDQ0AQgAAAAFAAAAATEBAAAACy0xOTU4MjgwNjE1AwAAAAMxNjACAAAAAzExMgQAAAABMAcAAAAINC8xLzIwMjUIAAAACjEyLzMxLzIwMjQJAAAAATAJh65kw3PdCAmHrmTDc90IIkNJUS5OWVNFOklCTS5JUV9SRVYuLjQvMS8yMDI1Li4uLkgBAAAA3rYBAAIAAAAFNjIwNDQBCAAAAAUAAAABMQEAAAALLTE5NTgyODA2MTUDAAAAAzE2MAIAAAADMTEyBAAAAAEwBwAAAAg0LzEvMjAyNQgAAAAKMTIvMzEvMjAyNAkAAAABMAmHrmTDc90ICYeuZMNz3Q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</si>
</sst>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7" formatCode="&quot;$&quot;#,##0.00_);\(&quot;$&quot;#,##0.00\)"/>
    <numFmt numFmtId="164" formatCode="0.0%"/>
    <numFmt numFmtId="165" formatCode="0.0\x"/>
    <numFmt numFmtId="166" formatCode="_(#,##0_);_(\(#,##0\);_(&quot; - &quot;??_);_(@_)"/>
    <numFmt numFmtId="167" formatCode="_(#,##0.0_);_(\(#,##0.0\);_(&quot; - &quot;??_);_(@_)"/>
    <numFmt numFmtId="168" formatCode="_(#,##0.00_);_(\(#,##0.00\);_(&quot; - &quot;??_);_(@_)"/>
    <numFmt numFmtId="169" formatCode="&quot;$&quot;#,##0.0_);\(&quot;$&quot;#,##0.0\)"/>
    <numFmt numFmtId="170" formatCode="#,##0.0_);\(#,##0.0\)"/>
    <numFmt numFmtId="171" formatCode="#,##0.000;\(#,##0.000\)"/>
    <numFmt numFmtId="172" formatCode="#,##0.0;\(#,##0.0\)"/>
    <numFmt numFmtId="173" formatCode="0.0;\ \(0.0\)"/>
    <numFmt numFmtId="174" formatCode="0.0;\(0.0\)"/>
    <numFmt numFmtId="175" formatCode="0.0"/>
    <numFmt numFmtId="176" formatCode="m/d/yy"/>
    <numFmt numFmtId="177" formatCode="mm/dd/yy"/>
    <numFmt numFmtId="178" formatCode="0.0%;\(0.0%\)"/>
    <numFmt numFmtId="179" formatCode="0.0\ "/>
    <numFmt numFmtId="180" formatCode="0.0\ ;\ \(0.0\)"/>
    <numFmt numFmtId="181" formatCode="0_);\(0\)"/>
    <numFmt numFmtId="182" formatCode="_(* #,##0.0_);_(* \(#,##0.0\);_(* &quot; - &quot;_);_(@_)"/>
    <numFmt numFmtId="183" formatCode="#,##0;\(#,##0\)"/>
    <numFmt numFmtId="184" formatCode="&quot;&quot;"/>
  </numFmts>
  <fonts count="31" x14ac:knownFonts="1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sz val="24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sz val="10"/>
      <color indexed="17"/>
      <name val="Arial"/>
      <family val="2"/>
    </font>
    <font>
      <b/>
      <sz val="11"/>
      <color theme="0"/>
      <name val="Arial"/>
      <family val="2"/>
      <scheme val="minor"/>
    </font>
    <font>
      <sz val="10"/>
      <name val="Times New Roman"/>
      <family val="1"/>
    </font>
    <font>
      <sz val="10"/>
      <name val="Arial"/>
      <family val="2"/>
      <scheme val="maj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Protection="0">
      <alignment horizontal="left"/>
    </xf>
    <xf numFmtId="171" fontId="6" fillId="0" borderId="0" applyFill="0" applyBorder="0" applyProtection="0">
      <alignment horizontal="right" vertical="top"/>
    </xf>
    <xf numFmtId="14" fontId="6" fillId="0" borderId="0" applyFill="0" applyBorder="0" applyProtection="0">
      <alignment horizontal="left" vertical="top"/>
    </xf>
    <xf numFmtId="172" fontId="6" fillId="0" borderId="0" applyFill="0" applyBorder="0" applyProtection="0">
      <alignment horizontal="left" vertical="top" wrapText="1"/>
    </xf>
    <xf numFmtId="0" fontId="4" fillId="0" borderId="0"/>
    <xf numFmtId="0" fontId="25" fillId="0" borderId="0"/>
  </cellStyleXfs>
  <cellXfs count="249">
    <xf numFmtId="0" fontId="0" fillId="0" borderId="0" xfId="0"/>
    <xf numFmtId="166" fontId="7" fillId="0" borderId="0" xfId="0" applyNumberFormat="1" applyFont="1"/>
    <xf numFmtId="0" fontId="10" fillId="0" borderId="0" xfId="0" applyFont="1"/>
    <xf numFmtId="0" fontId="9" fillId="0" borderId="0" xfId="0" applyFont="1"/>
    <xf numFmtId="0" fontId="10" fillId="0" borderId="0" xfId="0" applyFont="1" applyAlignment="1">
      <alignment horizontal="centerContinuous"/>
    </xf>
    <xf numFmtId="0" fontId="11" fillId="0" borderId="0" xfId="0" applyFont="1"/>
    <xf numFmtId="0" fontId="7" fillId="0" borderId="0" xfId="0" applyFont="1" applyAlignment="1">
      <alignment horizontal="left"/>
    </xf>
    <xf numFmtId="166" fontId="12" fillId="0" borderId="0" xfId="0" applyNumberFormat="1" applyFont="1"/>
    <xf numFmtId="14" fontId="13" fillId="0" borderId="0" xfId="0" applyNumberFormat="1" applyFont="1" applyAlignment="1">
      <alignment horizontal="left"/>
    </xf>
    <xf numFmtId="0" fontId="7" fillId="0" borderId="0" xfId="0" applyFont="1"/>
    <xf numFmtId="0" fontId="13" fillId="0" borderId="0" xfId="0" applyFont="1"/>
    <xf numFmtId="0" fontId="9" fillId="0" borderId="0" xfId="0" applyFont="1" applyAlignment="1">
      <alignment horizontal="right"/>
    </xf>
    <xf numFmtId="181" fontId="9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7" fillId="0" borderId="1" xfId="0" applyFont="1" applyBorder="1" applyAlignment="1">
      <alignment horizontal="centerContinuous"/>
    </xf>
    <xf numFmtId="0" fontId="10" fillId="0" borderId="1" xfId="0" applyFont="1" applyBorder="1" applyAlignment="1">
      <alignment horizontal="centerContinuous"/>
    </xf>
    <xf numFmtId="166" fontId="10" fillId="0" borderId="0" xfId="0" applyNumberFormat="1" applyFont="1"/>
    <xf numFmtId="167" fontId="10" fillId="0" borderId="0" xfId="0" applyNumberFormat="1" applyFont="1"/>
    <xf numFmtId="170" fontId="11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left" indent="1"/>
    </xf>
    <xf numFmtId="170" fontId="15" fillId="0" borderId="3" xfId="0" applyNumberFormat="1" applyFont="1" applyBorder="1" applyAlignment="1">
      <alignment horizontal="right"/>
    </xf>
    <xf numFmtId="170" fontId="15" fillId="0" borderId="0" xfId="0" applyNumberFormat="1" applyFont="1" applyAlignment="1">
      <alignment horizontal="right"/>
    </xf>
    <xf numFmtId="170" fontId="11" fillId="0" borderId="1" xfId="0" applyNumberFormat="1" applyFont="1" applyBorder="1" applyAlignment="1">
      <alignment horizontal="right"/>
    </xf>
    <xf numFmtId="170" fontId="15" fillId="0" borderId="4" xfId="0" applyNumberFormat="1" applyFont="1" applyBorder="1" applyAlignment="1">
      <alignment horizontal="right"/>
    </xf>
    <xf numFmtId="170" fontId="15" fillId="0" borderId="5" xfId="0" applyNumberFormat="1" applyFont="1" applyBorder="1" applyAlignment="1">
      <alignment horizontal="right"/>
    </xf>
    <xf numFmtId="168" fontId="10" fillId="0" borderId="0" xfId="0" applyNumberFormat="1" applyFont="1"/>
    <xf numFmtId="39" fontId="11" fillId="0" borderId="0" xfId="0" applyNumberFormat="1" applyFont="1" applyAlignment="1">
      <alignment horizontal="right"/>
    </xf>
    <xf numFmtId="167" fontId="11" fillId="0" borderId="0" xfId="0" applyNumberFormat="1" applyFont="1" applyAlignment="1">
      <alignment horizontal="right"/>
    </xf>
    <xf numFmtId="0" fontId="16" fillId="0" borderId="0" xfId="1" applyFont="1"/>
    <xf numFmtId="170" fontId="10" fillId="0" borderId="0" xfId="0" applyNumberFormat="1" applyFont="1"/>
    <xf numFmtId="14" fontId="11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1" applyFont="1"/>
    <xf numFmtId="166" fontId="7" fillId="0" borderId="0" xfId="0" applyNumberFormat="1" applyFont="1" applyAlignment="1">
      <alignment horizontal="left"/>
    </xf>
    <xf numFmtId="167" fontId="7" fillId="0" borderId="0" xfId="0" applyNumberFormat="1" applyFont="1"/>
    <xf numFmtId="14" fontId="7" fillId="0" borderId="0" xfId="0" applyNumberFormat="1" applyFont="1"/>
    <xf numFmtId="169" fontId="7" fillId="0" borderId="0" xfId="0" applyNumberFormat="1" applyFont="1"/>
    <xf numFmtId="166" fontId="9" fillId="0" borderId="0" xfId="0" applyNumberFormat="1" applyFont="1"/>
    <xf numFmtId="37" fontId="11" fillId="0" borderId="0" xfId="0" applyNumberFormat="1" applyFont="1" applyAlignment="1">
      <alignment horizontal="right"/>
    </xf>
    <xf numFmtId="0" fontId="10" fillId="0" borderId="1" xfId="0" applyFont="1" applyBorder="1"/>
    <xf numFmtId="0" fontId="10" fillId="0" borderId="0" xfId="0" applyFont="1" applyAlignment="1">
      <alignment horizontal="left"/>
    </xf>
    <xf numFmtId="165" fontId="11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2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70" fontId="10" fillId="0" borderId="0" xfId="0" applyNumberFormat="1" applyFont="1" applyAlignment="1">
      <alignment horizontal="right"/>
    </xf>
    <xf numFmtId="0" fontId="18" fillId="2" borderId="0" xfId="0" applyFont="1" applyFill="1" applyAlignment="1">
      <alignment horizontal="left"/>
    </xf>
    <xf numFmtId="0" fontId="9" fillId="2" borderId="0" xfId="0" applyFont="1" applyFill="1" applyAlignment="1">
      <alignment horizontal="centerContinuous"/>
    </xf>
    <xf numFmtId="0" fontId="9" fillId="2" borderId="0" xfId="0" applyFont="1" applyFill="1"/>
    <xf numFmtId="14" fontId="15" fillId="0" borderId="1" xfId="0" applyNumberFormat="1" applyFont="1" applyBorder="1" applyAlignment="1">
      <alignment horizontal="right"/>
    </xf>
    <xf numFmtId="14" fontId="15" fillId="0" borderId="0" xfId="0" applyNumberFormat="1" applyFont="1" applyAlignment="1">
      <alignment horizontal="right"/>
    </xf>
    <xf numFmtId="1" fontId="19" fillId="0" borderId="6" xfId="0" applyNumberFormat="1" applyFont="1" applyBorder="1" applyAlignment="1">
      <alignment horizontal="center"/>
    </xf>
    <xf numFmtId="0" fontId="20" fillId="0" borderId="0" xfId="0" applyFont="1" applyAlignment="1">
      <alignment horizontal="centerContinuous"/>
    </xf>
    <xf numFmtId="0" fontId="19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20" fillId="0" borderId="0" xfId="0" applyFont="1"/>
    <xf numFmtId="0" fontId="19" fillId="0" borderId="0" xfId="0" applyFont="1"/>
    <xf numFmtId="14" fontId="7" fillId="0" borderId="1" xfId="0" applyNumberFormat="1" applyFont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4" fontId="7" fillId="0" borderId="3" xfId="0" applyNumberFormat="1" applyFont="1" applyBorder="1" applyAlignment="1">
      <alignment horizontal="right"/>
    </xf>
    <xf numFmtId="170" fontId="7" fillId="0" borderId="0" xfId="0" applyNumberFormat="1" applyFont="1" applyAlignment="1">
      <alignment horizontal="right"/>
    </xf>
    <xf numFmtId="169" fontId="10" fillId="0" borderId="0" xfId="0" applyNumberFormat="1" applyFont="1"/>
    <xf numFmtId="164" fontId="10" fillId="0" borderId="1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4" xfId="0" applyNumberFormat="1" applyFont="1" applyBorder="1" applyAlignment="1">
      <alignment horizontal="right"/>
    </xf>
    <xf numFmtId="164" fontId="7" fillId="0" borderId="5" xfId="0" applyNumberFormat="1" applyFont="1" applyBorder="1" applyAlignment="1">
      <alignment horizontal="right"/>
    </xf>
    <xf numFmtId="7" fontId="10" fillId="0" borderId="0" xfId="0" applyNumberFormat="1" applyFont="1"/>
    <xf numFmtId="14" fontId="7" fillId="0" borderId="0" xfId="0" applyNumberFormat="1" applyFont="1" applyAlignment="1">
      <alignment horizontal="center"/>
    </xf>
    <xf numFmtId="166" fontId="10" fillId="0" borderId="1" xfId="0" applyNumberFormat="1" applyFont="1" applyBorder="1"/>
    <xf numFmtId="39" fontId="10" fillId="0" borderId="0" xfId="0" applyNumberFormat="1" applyFont="1"/>
    <xf numFmtId="0" fontId="7" fillId="0" borderId="7" xfId="0" applyFont="1" applyBorder="1"/>
    <xf numFmtId="0" fontId="7" fillId="3" borderId="8" xfId="0" applyFont="1" applyFill="1" applyBorder="1"/>
    <xf numFmtId="0" fontId="7" fillId="3" borderId="5" xfId="0" applyFont="1" applyFill="1" applyBorder="1"/>
    <xf numFmtId="0" fontId="14" fillId="0" borderId="0" xfId="0" applyFont="1"/>
    <xf numFmtId="0" fontId="7" fillId="3" borderId="9" xfId="0" applyFont="1" applyFill="1" applyBorder="1"/>
    <xf numFmtId="0" fontId="7" fillId="3" borderId="0" xfId="0" applyFont="1" applyFill="1"/>
    <xf numFmtId="0" fontId="7" fillId="3" borderId="10" xfId="0" applyFont="1" applyFill="1" applyBorder="1"/>
    <xf numFmtId="0" fontId="7" fillId="3" borderId="1" xfId="0" applyFont="1" applyFill="1" applyBorder="1"/>
    <xf numFmtId="0" fontId="17" fillId="0" borderId="0" xfId="0" applyFont="1" applyAlignment="1">
      <alignment horizontal="left"/>
    </xf>
    <xf numFmtId="165" fontId="10" fillId="0" borderId="0" xfId="0" applyNumberFormat="1" applyFont="1" applyAlignment="1">
      <alignment horizontal="center"/>
    </xf>
    <xf numFmtId="0" fontId="10" fillId="4" borderId="0" xfId="0" applyFont="1" applyFill="1"/>
    <xf numFmtId="0" fontId="16" fillId="0" borderId="0" xfId="0" applyFont="1"/>
    <xf numFmtId="0" fontId="7" fillId="0" borderId="0" xfId="0" applyFont="1" applyAlignment="1">
      <alignment horizontal="center"/>
    </xf>
    <xf numFmtId="10" fontId="7" fillId="0" borderId="1" xfId="0" applyNumberFormat="1" applyFont="1" applyBorder="1" applyAlignment="1">
      <alignment horizontal="centerContinuous"/>
    </xf>
    <xf numFmtId="10" fontId="7" fillId="0" borderId="0" xfId="0" applyNumberFormat="1" applyFont="1"/>
    <xf numFmtId="0" fontId="7" fillId="0" borderId="11" xfId="0" applyFont="1" applyBorder="1" applyAlignment="1">
      <alignment horizontal="centerContinuous"/>
    </xf>
    <xf numFmtId="0" fontId="7" fillId="0" borderId="5" xfId="0" applyFont="1" applyBorder="1"/>
    <xf numFmtId="0" fontId="7" fillId="0" borderId="1" xfId="0" applyFont="1" applyBorder="1" applyAlignment="1">
      <alignment horizontal="center"/>
    </xf>
    <xf numFmtId="14" fontId="19" fillId="0" borderId="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Continuous"/>
    </xf>
    <xf numFmtId="0" fontId="10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Continuous"/>
    </xf>
    <xf numFmtId="0" fontId="11" fillId="0" borderId="0" xfId="0" applyFont="1" applyAlignment="1">
      <alignment horizontal="left"/>
    </xf>
    <xf numFmtId="164" fontId="10" fillId="0" borderId="0" xfId="3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4" fontId="9" fillId="0" borderId="0" xfId="0" applyNumberFormat="1" applyFont="1" applyAlignment="1">
      <alignment horizontal="right"/>
    </xf>
    <xf numFmtId="173" fontId="10" fillId="0" borderId="0" xfId="0" applyNumberFormat="1" applyFont="1" applyAlignment="1">
      <alignment horizontal="right"/>
    </xf>
    <xf numFmtId="174" fontId="10" fillId="0" borderId="0" xfId="0" applyNumberFormat="1" applyFont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7" fillId="3" borderId="5" xfId="0" applyFont="1" applyFill="1" applyBorder="1" applyAlignment="1">
      <alignment horizontal="right"/>
    </xf>
    <xf numFmtId="164" fontId="7" fillId="3" borderId="5" xfId="3" applyNumberFormat="1" applyFont="1" applyFill="1" applyBorder="1" applyAlignment="1">
      <alignment horizontal="right"/>
    </xf>
    <xf numFmtId="170" fontId="7" fillId="3" borderId="5" xfId="0" applyNumberFormat="1" applyFont="1" applyFill="1" applyBorder="1" applyAlignment="1">
      <alignment horizontal="right"/>
    </xf>
    <xf numFmtId="170" fontId="7" fillId="3" borderId="12" xfId="0" applyNumberFormat="1" applyFont="1" applyFill="1" applyBorder="1" applyAlignment="1">
      <alignment horizontal="right"/>
    </xf>
    <xf numFmtId="39" fontId="7" fillId="3" borderId="5" xfId="0" applyNumberFormat="1" applyFont="1" applyFill="1" applyBorder="1" applyAlignment="1">
      <alignment horizontal="right"/>
    </xf>
    <xf numFmtId="39" fontId="7" fillId="3" borderId="12" xfId="0" applyNumberFormat="1" applyFont="1" applyFill="1" applyBorder="1" applyAlignment="1">
      <alignment horizontal="right"/>
    </xf>
    <xf numFmtId="165" fontId="7" fillId="3" borderId="5" xfId="0" applyNumberFormat="1" applyFont="1" applyFill="1" applyBorder="1" applyAlignment="1">
      <alignment horizontal="right"/>
    </xf>
    <xf numFmtId="165" fontId="7" fillId="3" borderId="12" xfId="0" applyNumberFormat="1" applyFont="1" applyFill="1" applyBorder="1" applyAlignment="1">
      <alignment horizontal="right"/>
    </xf>
    <xf numFmtId="4" fontId="7" fillId="3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164" fontId="7" fillId="3" borderId="0" xfId="3" applyNumberFormat="1" applyFont="1" applyFill="1" applyBorder="1" applyAlignment="1">
      <alignment horizontal="right"/>
    </xf>
    <xf numFmtId="170" fontId="7" fillId="3" borderId="0" xfId="0" applyNumberFormat="1" applyFont="1" applyFill="1" applyAlignment="1">
      <alignment horizontal="right"/>
    </xf>
    <xf numFmtId="170" fontId="7" fillId="3" borderId="7" xfId="0" applyNumberFormat="1" applyFont="1" applyFill="1" applyBorder="1" applyAlignment="1">
      <alignment horizontal="right"/>
    </xf>
    <xf numFmtId="39" fontId="7" fillId="3" borderId="0" xfId="0" applyNumberFormat="1" applyFont="1" applyFill="1" applyAlignment="1">
      <alignment horizontal="right"/>
    </xf>
    <xf numFmtId="39" fontId="7" fillId="3" borderId="7" xfId="0" applyNumberFormat="1" applyFont="1" applyFill="1" applyBorder="1" applyAlignment="1">
      <alignment horizontal="right"/>
    </xf>
    <xf numFmtId="4" fontId="7" fillId="3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164" fontId="7" fillId="3" borderId="1" xfId="3" applyNumberFormat="1" applyFont="1" applyFill="1" applyBorder="1" applyAlignment="1">
      <alignment horizontal="right"/>
    </xf>
    <xf numFmtId="170" fontId="7" fillId="3" borderId="1" xfId="0" applyNumberFormat="1" applyFont="1" applyFill="1" applyBorder="1" applyAlignment="1">
      <alignment horizontal="right"/>
    </xf>
    <xf numFmtId="170" fontId="7" fillId="3" borderId="13" xfId="0" applyNumberFormat="1" applyFont="1" applyFill="1" applyBorder="1" applyAlignment="1">
      <alignment horizontal="right"/>
    </xf>
    <xf numFmtId="39" fontId="7" fillId="3" borderId="1" xfId="0" applyNumberFormat="1" applyFont="1" applyFill="1" applyBorder="1" applyAlignment="1">
      <alignment horizontal="right"/>
    </xf>
    <xf numFmtId="39" fontId="7" fillId="3" borderId="13" xfId="0" applyNumberFormat="1" applyFont="1" applyFill="1" applyBorder="1" applyAlignment="1">
      <alignment horizontal="right"/>
    </xf>
    <xf numFmtId="1" fontId="7" fillId="0" borderId="0" xfId="0" applyNumberFormat="1" applyFont="1" applyAlignment="1">
      <alignment horizontal="left"/>
    </xf>
    <xf numFmtId="0" fontId="14" fillId="2" borderId="0" xfId="0" applyFont="1" applyFill="1" applyAlignment="1">
      <alignment horizontal="left"/>
    </xf>
    <xf numFmtId="0" fontId="10" fillId="2" borderId="0" xfId="0" applyFont="1" applyFill="1"/>
    <xf numFmtId="0" fontId="7" fillId="0" borderId="1" xfId="0" applyFont="1" applyBorder="1" applyAlignment="1">
      <alignment horizontal="left"/>
    </xf>
    <xf numFmtId="0" fontId="22" fillId="0" borderId="0" xfId="0" applyFont="1" applyAlignment="1">
      <alignment horizontal="right"/>
    </xf>
    <xf numFmtId="0" fontId="17" fillId="0" borderId="0" xfId="0" applyFont="1"/>
    <xf numFmtId="177" fontId="7" fillId="0" borderId="1" xfId="0" applyNumberFormat="1" applyFont="1" applyBorder="1" applyAlignment="1">
      <alignment horizontal="center"/>
    </xf>
    <xf numFmtId="2" fontId="10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0" fontId="10" fillId="3" borderId="8" xfId="0" applyFont="1" applyFill="1" applyBorder="1"/>
    <xf numFmtId="0" fontId="10" fillId="3" borderId="5" xfId="0" applyFont="1" applyFill="1" applyBorder="1"/>
    <xf numFmtId="2" fontId="10" fillId="3" borderId="5" xfId="0" applyNumberFormat="1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170" fontId="10" fillId="3" borderId="5" xfId="0" applyNumberFormat="1" applyFont="1" applyFill="1" applyBorder="1" applyAlignment="1">
      <alignment horizontal="right"/>
    </xf>
    <xf numFmtId="4" fontId="10" fillId="3" borderId="5" xfId="0" applyNumberFormat="1" applyFont="1" applyFill="1" applyBorder="1" applyAlignment="1">
      <alignment horizontal="right"/>
    </xf>
    <xf numFmtId="4" fontId="10" fillId="3" borderId="12" xfId="0" applyNumberFormat="1" applyFont="1" applyFill="1" applyBorder="1" applyAlignment="1">
      <alignment horizontal="right"/>
    </xf>
    <xf numFmtId="0" fontId="10" fillId="3" borderId="9" xfId="0" applyFont="1" applyFill="1" applyBorder="1"/>
    <xf numFmtId="0" fontId="10" fillId="3" borderId="0" xfId="0" applyFont="1" applyFill="1"/>
    <xf numFmtId="2" fontId="10" fillId="3" borderId="0" xfId="0" applyNumberFormat="1" applyFont="1" applyFill="1" applyAlignment="1">
      <alignment horizontal="right"/>
    </xf>
    <xf numFmtId="0" fontId="10" fillId="3" borderId="0" xfId="0" applyFont="1" applyFill="1" applyAlignment="1">
      <alignment horizontal="right"/>
    </xf>
    <xf numFmtId="170" fontId="10" fillId="3" borderId="0" xfId="0" applyNumberFormat="1" applyFont="1" applyFill="1" applyAlignment="1">
      <alignment horizontal="right"/>
    </xf>
    <xf numFmtId="4" fontId="10" fillId="3" borderId="0" xfId="0" applyNumberFormat="1" applyFont="1" applyFill="1" applyAlignment="1">
      <alignment horizontal="right"/>
    </xf>
    <xf numFmtId="4" fontId="10" fillId="3" borderId="7" xfId="0" applyNumberFormat="1" applyFont="1" applyFill="1" applyBorder="1" applyAlignment="1">
      <alignment horizontal="right"/>
    </xf>
    <xf numFmtId="0" fontId="10" fillId="3" borderId="10" xfId="0" applyFont="1" applyFill="1" applyBorder="1"/>
    <xf numFmtId="2" fontId="10" fillId="3" borderId="1" xfId="0" applyNumberFormat="1" applyFont="1" applyFill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170" fontId="10" fillId="3" borderId="1" xfId="0" applyNumberFormat="1" applyFont="1" applyFill="1" applyBorder="1" applyAlignment="1">
      <alignment horizontal="right"/>
    </xf>
    <xf numFmtId="4" fontId="10" fillId="3" borderId="1" xfId="0" applyNumberFormat="1" applyFont="1" applyFill="1" applyBorder="1" applyAlignment="1">
      <alignment horizontal="right"/>
    </xf>
    <xf numFmtId="4" fontId="10" fillId="3" borderId="13" xfId="0" applyNumberFormat="1" applyFont="1" applyFill="1" applyBorder="1" applyAlignment="1">
      <alignment horizontal="right"/>
    </xf>
    <xf numFmtId="0" fontId="7" fillId="0" borderId="0" xfId="0" applyFont="1" applyAlignment="1">
      <alignment horizontal="centerContinuous"/>
    </xf>
    <xf numFmtId="178" fontId="10" fillId="0" borderId="0" xfId="0" applyNumberFormat="1" applyFont="1" applyAlignment="1">
      <alignment horizontal="right"/>
    </xf>
    <xf numFmtId="165" fontId="10" fillId="3" borderId="5" xfId="0" applyNumberFormat="1" applyFont="1" applyFill="1" applyBorder="1" applyAlignment="1">
      <alignment horizontal="right"/>
    </xf>
    <xf numFmtId="165" fontId="10" fillId="3" borderId="12" xfId="0" applyNumberFormat="1" applyFont="1" applyFill="1" applyBorder="1" applyAlignment="1">
      <alignment horizontal="right"/>
    </xf>
    <xf numFmtId="180" fontId="10" fillId="3" borderId="0" xfId="0" applyNumberFormat="1" applyFont="1" applyFill="1" applyAlignment="1">
      <alignment horizontal="right"/>
    </xf>
    <xf numFmtId="180" fontId="10" fillId="3" borderId="7" xfId="0" applyNumberFormat="1" applyFont="1" applyFill="1" applyBorder="1" applyAlignment="1">
      <alignment horizontal="right"/>
    </xf>
    <xf numFmtId="180" fontId="10" fillId="3" borderId="1" xfId="0" applyNumberFormat="1" applyFont="1" applyFill="1" applyBorder="1" applyAlignment="1">
      <alignment horizontal="right"/>
    </xf>
    <xf numFmtId="180" fontId="10" fillId="3" borderId="13" xfId="0" applyNumberFormat="1" applyFont="1" applyFill="1" applyBorder="1" applyAlignment="1">
      <alignment horizontal="right"/>
    </xf>
    <xf numFmtId="165" fontId="10" fillId="0" borderId="0" xfId="0" applyNumberFormat="1" applyFont="1"/>
    <xf numFmtId="175" fontId="10" fillId="0" borderId="0" xfId="0" applyNumberFormat="1" applyFont="1" applyAlignment="1">
      <alignment horizontal="right"/>
    </xf>
    <xf numFmtId="173" fontId="10" fillId="0" borderId="0" xfId="0" applyNumberFormat="1" applyFont="1"/>
    <xf numFmtId="179" fontId="10" fillId="0" borderId="0" xfId="0" applyNumberFormat="1" applyFont="1" applyAlignment="1">
      <alignment horizontal="right"/>
    </xf>
    <xf numFmtId="170" fontId="10" fillId="3" borderId="5" xfId="0" applyNumberFormat="1" applyFont="1" applyFill="1" applyBorder="1"/>
    <xf numFmtId="175" fontId="10" fillId="3" borderId="5" xfId="0" applyNumberFormat="1" applyFont="1" applyFill="1" applyBorder="1" applyAlignment="1">
      <alignment horizontal="right"/>
    </xf>
    <xf numFmtId="170" fontId="10" fillId="3" borderId="12" xfId="0" applyNumberFormat="1" applyFont="1" applyFill="1" applyBorder="1" applyAlignment="1">
      <alignment horizontal="right"/>
    </xf>
    <xf numFmtId="170" fontId="10" fillId="3" borderId="0" xfId="0" applyNumberFormat="1" applyFont="1" applyFill="1"/>
    <xf numFmtId="175" fontId="10" fillId="3" borderId="0" xfId="0" applyNumberFormat="1" applyFont="1" applyFill="1" applyAlignment="1">
      <alignment horizontal="right"/>
    </xf>
    <xf numFmtId="170" fontId="10" fillId="3" borderId="7" xfId="0" applyNumberFormat="1" applyFont="1" applyFill="1" applyBorder="1" applyAlignment="1">
      <alignment horizontal="right"/>
    </xf>
    <xf numFmtId="175" fontId="10" fillId="3" borderId="1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0" borderId="11" xfId="0" applyFont="1" applyBorder="1"/>
    <xf numFmtId="0" fontId="16" fillId="0" borderId="0" xfId="2" applyFont="1"/>
    <xf numFmtId="176" fontId="7" fillId="0" borderId="1" xfId="0" applyNumberFormat="1" applyFont="1" applyBorder="1" applyAlignment="1">
      <alignment horizontal="center"/>
    </xf>
    <xf numFmtId="0" fontId="14" fillId="2" borderId="0" xfId="0" applyFont="1" applyFill="1"/>
    <xf numFmtId="0" fontId="21" fillId="2" borderId="0" xfId="0" applyFont="1" applyFill="1" applyAlignment="1">
      <alignment horizontal="right"/>
    </xf>
    <xf numFmtId="1" fontId="12" fillId="0" borderId="6" xfId="0" applyNumberFormat="1" applyFont="1" applyBorder="1" applyAlignment="1">
      <alignment horizontal="center"/>
    </xf>
    <xf numFmtId="170" fontId="7" fillId="3" borderId="8" xfId="0" applyNumberFormat="1" applyFont="1" applyFill="1" applyBorder="1" applyAlignment="1">
      <alignment horizontal="right"/>
    </xf>
    <xf numFmtId="170" fontId="7" fillId="3" borderId="9" xfId="0" applyNumberFormat="1" applyFont="1" applyFill="1" applyBorder="1" applyAlignment="1">
      <alignment horizontal="right"/>
    </xf>
    <xf numFmtId="170" fontId="7" fillId="3" borderId="10" xfId="0" applyNumberFormat="1" applyFont="1" applyFill="1" applyBorder="1" applyAlignment="1">
      <alignment horizontal="right"/>
    </xf>
    <xf numFmtId="165" fontId="7" fillId="3" borderId="8" xfId="0" applyNumberFormat="1" applyFont="1" applyFill="1" applyBorder="1" applyAlignment="1">
      <alignment horizontal="right"/>
    </xf>
    <xf numFmtId="0" fontId="9" fillId="5" borderId="14" xfId="0" applyFont="1" applyFill="1" applyBorder="1"/>
    <xf numFmtId="0" fontId="9" fillId="5" borderId="11" xfId="0" applyFont="1" applyFill="1" applyBorder="1"/>
    <xf numFmtId="2" fontId="9" fillId="5" borderId="11" xfId="0" applyNumberFormat="1" applyFont="1" applyFill="1" applyBorder="1" applyAlignment="1">
      <alignment horizontal="right"/>
    </xf>
    <xf numFmtId="0" fontId="9" fillId="5" borderId="11" xfId="0" applyFont="1" applyFill="1" applyBorder="1" applyAlignment="1">
      <alignment horizontal="right"/>
    </xf>
    <xf numFmtId="170" fontId="9" fillId="5" borderId="11" xfId="0" applyNumberFormat="1" applyFont="1" applyFill="1" applyBorder="1" applyAlignment="1">
      <alignment horizontal="right"/>
    </xf>
    <xf numFmtId="4" fontId="9" fillId="5" borderId="11" xfId="0" applyNumberFormat="1" applyFont="1" applyFill="1" applyBorder="1" applyAlignment="1">
      <alignment horizontal="right"/>
    </xf>
    <xf numFmtId="4" fontId="9" fillId="5" borderId="15" xfId="0" applyNumberFormat="1" applyFont="1" applyFill="1" applyBorder="1" applyAlignment="1">
      <alignment horizontal="right"/>
    </xf>
    <xf numFmtId="165" fontId="9" fillId="5" borderId="11" xfId="0" applyNumberFormat="1" applyFont="1" applyFill="1" applyBorder="1" applyAlignment="1">
      <alignment horizontal="right"/>
    </xf>
    <xf numFmtId="165" fontId="9" fillId="5" borderId="15" xfId="0" applyNumberFormat="1" applyFont="1" applyFill="1" applyBorder="1" applyAlignment="1">
      <alignment horizontal="right"/>
    </xf>
    <xf numFmtId="170" fontId="9" fillId="5" borderId="11" xfId="0" applyNumberFormat="1" applyFont="1" applyFill="1" applyBorder="1"/>
    <xf numFmtId="175" fontId="9" fillId="5" borderId="11" xfId="0" applyNumberFormat="1" applyFont="1" applyFill="1" applyBorder="1" applyAlignment="1">
      <alignment horizontal="right"/>
    </xf>
    <xf numFmtId="170" fontId="9" fillId="5" borderId="15" xfId="0" applyNumberFormat="1" applyFont="1" applyFill="1" applyBorder="1" applyAlignment="1">
      <alignment horizontal="right"/>
    </xf>
    <xf numFmtId="0" fontId="5" fillId="0" borderId="0" xfId="1"/>
    <xf numFmtId="0" fontId="5" fillId="0" borderId="0" xfId="0" applyFont="1"/>
    <xf numFmtId="1" fontId="24" fillId="6" borderId="0" xfId="8" applyNumberFormat="1" applyFont="1" applyFill="1"/>
    <xf numFmtId="0" fontId="24" fillId="6" borderId="0" xfId="8" applyFont="1" applyFill="1"/>
    <xf numFmtId="0" fontId="4" fillId="0" borderId="0" xfId="8"/>
    <xf numFmtId="0" fontId="5" fillId="0" borderId="0" xfId="8" applyFont="1" applyAlignment="1">
      <alignment horizontal="left"/>
    </xf>
    <xf numFmtId="0" fontId="5" fillId="0" borderId="0" xfId="8" applyFont="1"/>
    <xf numFmtId="0" fontId="3" fillId="0" borderId="0" xfId="8" applyFont="1"/>
    <xf numFmtId="0" fontId="5" fillId="0" borderId="0" xfId="0" applyFont="1" applyAlignment="1">
      <alignment horizontal="left"/>
    </xf>
    <xf numFmtId="0" fontId="26" fillId="0" borderId="0" xfId="9" applyFont="1"/>
    <xf numFmtId="0" fontId="26" fillId="0" borderId="0" xfId="9" applyFont="1" applyAlignment="1">
      <alignment horizontal="left"/>
    </xf>
    <xf numFmtId="0" fontId="26" fillId="7" borderId="0" xfId="9" applyFont="1" applyFill="1"/>
    <xf numFmtId="1" fontId="26" fillId="0" borderId="0" xfId="9" applyNumberFormat="1" applyFont="1"/>
    <xf numFmtId="0" fontId="5" fillId="0" borderId="2" xfId="0" applyFont="1" applyBorder="1"/>
    <xf numFmtId="49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center"/>
    </xf>
    <xf numFmtId="183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169" fontId="5" fillId="0" borderId="0" xfId="0" applyNumberFormat="1" applyFont="1"/>
    <xf numFmtId="169" fontId="5" fillId="0" borderId="0" xfId="0" applyNumberFormat="1" applyFont="1" applyAlignment="1">
      <alignment horizontal="left"/>
    </xf>
    <xf numFmtId="39" fontId="5" fillId="0" borderId="0" xfId="0" applyNumberFormat="1" applyFont="1"/>
    <xf numFmtId="39" fontId="5" fillId="0" borderId="0" xfId="0" applyNumberFormat="1" applyFont="1" applyAlignment="1">
      <alignment horizontal="left"/>
    </xf>
    <xf numFmtId="7" fontId="5" fillId="0" borderId="0" xfId="0" applyNumberFormat="1" applyFont="1" applyAlignment="1">
      <alignment horizontal="left"/>
    </xf>
    <xf numFmtId="7" fontId="5" fillId="0" borderId="0" xfId="0" applyNumberFormat="1" applyFont="1"/>
    <xf numFmtId="170" fontId="5" fillId="0" borderId="0" xfId="0" applyNumberFormat="1" applyFont="1" applyAlignment="1">
      <alignment horizontal="right"/>
    </xf>
    <xf numFmtId="170" fontId="5" fillId="0" borderId="0" xfId="0" applyNumberFormat="1" applyFont="1"/>
    <xf numFmtId="170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182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left"/>
    </xf>
    <xf numFmtId="0" fontId="5" fillId="0" borderId="0" xfId="9" applyFont="1" applyAlignment="1">
      <alignment horizontal="left"/>
    </xf>
    <xf numFmtId="0" fontId="4" fillId="0" borderId="0" xfId="8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8" fillId="0" borderId="0" xfId="0" applyFont="1"/>
    <xf numFmtId="0" fontId="2" fillId="0" borderId="0" xfId="8" applyFont="1"/>
    <xf numFmtId="0" fontId="30" fillId="0" borderId="0" xfId="0" applyFont="1"/>
    <xf numFmtId="0" fontId="30" fillId="0" borderId="0" xfId="0" applyFont="1" applyAlignment="1">
      <alignment horizontal="right"/>
    </xf>
    <xf numFmtId="181" fontId="30" fillId="0" borderId="0" xfId="0" applyNumberFormat="1" applyFont="1" applyAlignment="1">
      <alignment horizontal="right"/>
    </xf>
    <xf numFmtId="49" fontId="30" fillId="0" borderId="0" xfId="0" applyNumberFormat="1" applyFont="1"/>
    <xf numFmtId="0" fontId="30" fillId="0" borderId="0" xfId="0" applyFont="1" applyAlignment="1">
      <alignment horizontal="left"/>
    </xf>
    <xf numFmtId="49" fontId="30" fillId="0" borderId="0" xfId="0" applyNumberFormat="1" applyFont="1" applyAlignment="1">
      <alignment horizontal="left"/>
    </xf>
    <xf numFmtId="184" fontId="30" fillId="0" borderId="0" xfId="0" applyNumberFormat="1" applyFont="1"/>
    <xf numFmtId="0" fontId="29" fillId="0" borderId="0" xfId="0" applyFont="1"/>
    <xf numFmtId="0" fontId="1" fillId="0" borderId="0" xfId="8" applyFont="1"/>
    <xf numFmtId="184" fontId="5" fillId="0" borderId="0" xfId="0" applyNumberFormat="1" applyFont="1"/>
    <xf numFmtId="49" fontId="5" fillId="0" borderId="0" xfId="0" applyNumberFormat="1" applyFont="1"/>
    <xf numFmtId="0" fontId="16" fillId="0" borderId="0" xfId="1" applyFont="1" applyAlignment="1">
      <alignment horizontal="left" vertical="top" wrapText="1"/>
    </xf>
    <xf numFmtId="2" fontId="23" fillId="0" borderId="0" xfId="0" applyNumberFormat="1" applyFont="1" applyAlignment="1">
      <alignment horizontal="right"/>
    </xf>
  </cellXfs>
  <cellStyles count="10">
    <cellStyle name="Normal" xfId="0" builtinId="0"/>
    <cellStyle name="Normal 2" xfId="9" xr:uid="{00000000-0005-0000-0000-000001000000}"/>
    <cellStyle name="Normal 4" xfId="8" xr:uid="{00000000-0005-0000-0000-000002000000}"/>
    <cellStyle name="Normal_eps-stock_9zdq01_" xfId="1" xr:uid="{00000000-0005-0000-0000-000003000000}"/>
    <cellStyle name="Normal_VF Corp" xfId="2" xr:uid="{00000000-0005-0000-0000-000004000000}"/>
    <cellStyle name="Percent" xfId="3" builtinId="5"/>
    <cellStyle name="Style 21" xfId="4" xr:uid="{00000000-0005-0000-0000-000006000000}"/>
    <cellStyle name="Style 22" xfId="5" xr:uid="{00000000-0005-0000-0000-000007000000}"/>
    <cellStyle name="Style 23" xfId="6" xr:uid="{00000000-0005-0000-0000-000008000000}"/>
    <cellStyle name="Style 24" xfId="7" xr:uid="{00000000-0005-0000-0000-000009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E26D"/>
      <rgbColor rgb="000000FF"/>
      <rgbColor rgb="00009EA6"/>
      <rgbColor rgb="00DFB793"/>
      <rgbColor rgb="001E3086"/>
      <rgbColor rgb="00800000"/>
      <rgbColor rgb="00008000"/>
      <rgbColor rgb="00000080"/>
      <rgbColor rgb="00808000"/>
      <rgbColor rgb="00800080"/>
      <rgbColor rgb="00008080"/>
      <rgbColor rgb="00FFE26D"/>
      <rgbColor rgb="005A5A5A"/>
      <rgbColor rgb="00E31837"/>
      <rgbColor rgb="0000B1B0"/>
      <rgbColor rgb="00919195"/>
      <rgbColor rgb="00B5E1E1"/>
      <rgbColor rgb="00006C67"/>
      <rgbColor rgb="00643CE6"/>
      <rgbColor rgb="00000000"/>
      <rgbColor rgb="007D2364"/>
      <rgbColor rgb="00E31837"/>
      <rgbColor rgb="0000B1B0"/>
      <rgbColor rgb="00919195"/>
      <rgbColor rgb="00B5E1E1"/>
      <rgbColor rgb="00006C67"/>
      <rgbColor rgb="00643CE6"/>
      <rgbColor rgb="00000000"/>
      <rgbColor rgb="007D2364"/>
      <rgbColor rgb="00E1E1E1"/>
      <rgbColor rgb="000059C2"/>
      <rgbColor rgb="00A5BF88"/>
      <rgbColor rgb="00DCDCFF"/>
      <rgbColor rgb="00E41F1F"/>
      <rgbColor rgb="00FF0000"/>
      <rgbColor rgb="0073868B"/>
      <rgbColor rgb="00969696"/>
      <rgbColor rgb="003366FF"/>
      <rgbColor rgb="0033CCCC"/>
      <rgbColor rgb="0099CC00"/>
      <rgbColor rgb="00008C03"/>
      <rgbColor rgb="00FF9900"/>
      <rgbColor rgb="00FF6600"/>
      <rgbColor rgb="00666699"/>
      <rgbColor rgb="00DFDFDF"/>
      <rgbColor rgb="00003366"/>
      <rgbColor rgb="00339966"/>
      <rgbColor rgb="00003300"/>
      <rgbColor rgb="00333300"/>
      <rgbColor rgb="00993300"/>
      <rgbColor rgb="003264AF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16" fmlaLink="'Language Index'!$A$4" fmlaRange="Languages" noThreeD="1" sel="1" val="0"/>
</file>

<file path=xl/ctrlProps/ctrlProp2.xml><?xml version="1.0" encoding="utf-8"?>
<formControlPr xmlns="http://schemas.microsoft.com/office/spreadsheetml/2009/9/main" objectType="Drop" dropStyle="combo" dx="20" fmlaLink="$T$1" fmlaRange="$U$1:$U$8" noThreeD="1" sel="1" val="0"/>
</file>

<file path=xl/ctrlProps/ctrlProp3.xml><?xml version="1.0" encoding="utf-8"?>
<formControlPr xmlns="http://schemas.microsoft.com/office/spreadsheetml/2009/9/main" objectType="Drop" dropStyle="combo" dx="20" fmlaLink="$W$1" fmlaRange="$W$2:$W$3" noThreeD="1" sel="1" val="0"/>
</file>

<file path=xl/ctrlProps/ctrlProp4.xml><?xml version="1.0" encoding="utf-8"?>
<formControlPr xmlns="http://schemas.microsoft.com/office/spreadsheetml/2009/9/main" objectType="Drop" dropStyle="combo" dx="20" fmlaLink="$X$1" fmlaRange="$X$2:$X$3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750793</xdr:colOff>
      <xdr:row>6</xdr:row>
      <xdr:rowOff>33618</xdr:rowOff>
    </xdr:from>
    <xdr:to>
      <xdr:col>15</xdr:col>
      <xdr:colOff>769843</xdr:colOff>
      <xdr:row>7</xdr:row>
      <xdr:rowOff>14568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4528" y="907677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0</xdr:row>
          <xdr:rowOff>7620</xdr:rowOff>
        </xdr:from>
        <xdr:to>
          <xdr:col>9</xdr:col>
          <xdr:colOff>327660</xdr:colOff>
          <xdr:row>1</xdr:row>
          <xdr:rowOff>38100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137160</xdr:colOff>
          <xdr:row>2</xdr:row>
          <xdr:rowOff>22860</xdr:rowOff>
        </xdr:from>
        <xdr:to>
          <xdr:col>2</xdr:col>
          <xdr:colOff>548640</xdr:colOff>
          <xdr:row>2</xdr:row>
          <xdr:rowOff>198120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137160</xdr:colOff>
          <xdr:row>3</xdr:row>
          <xdr:rowOff>22860</xdr:rowOff>
        </xdr:from>
        <xdr:to>
          <xdr:col>2</xdr:col>
          <xdr:colOff>548640</xdr:colOff>
          <xdr:row>4</xdr:row>
          <xdr:rowOff>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</xdr:row>
          <xdr:rowOff>38100</xdr:rowOff>
        </xdr:from>
        <xdr:to>
          <xdr:col>6</xdr:col>
          <xdr:colOff>342900</xdr:colOff>
          <xdr:row>4</xdr:row>
          <xdr:rowOff>22860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728390</xdr:colOff>
      <xdr:row>6</xdr:row>
      <xdr:rowOff>33618</xdr:rowOff>
    </xdr:from>
    <xdr:to>
      <xdr:col>15</xdr:col>
      <xdr:colOff>747441</xdr:colOff>
      <xdr:row>6</xdr:row>
      <xdr:rowOff>395568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9714" y="907677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257738</xdr:colOff>
      <xdr:row>0</xdr:row>
      <xdr:rowOff>44824</xdr:rowOff>
    </xdr:from>
    <xdr:to>
      <xdr:col>30</xdr:col>
      <xdr:colOff>388847</xdr:colOff>
      <xdr:row>1</xdr:row>
      <xdr:rowOff>3362</xdr:rowOff>
    </xdr:to>
    <xdr:pic>
      <xdr:nvPicPr>
        <xdr:cNvPr id="16" name="Picture 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0973" y="44824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52</xdr:col>
      <xdr:colOff>593909</xdr:colOff>
      <xdr:row>0</xdr:row>
      <xdr:rowOff>44824</xdr:rowOff>
    </xdr:from>
    <xdr:to>
      <xdr:col>55</xdr:col>
      <xdr:colOff>41459</xdr:colOff>
      <xdr:row>1</xdr:row>
      <xdr:rowOff>3362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7615" y="44824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80</xdr:col>
      <xdr:colOff>504264</xdr:colOff>
      <xdr:row>0</xdr:row>
      <xdr:rowOff>33618</xdr:rowOff>
    </xdr:from>
    <xdr:to>
      <xdr:col>83</xdr:col>
      <xdr:colOff>164726</xdr:colOff>
      <xdr:row>0</xdr:row>
      <xdr:rowOff>395568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4764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104</xdr:col>
      <xdr:colOff>717176</xdr:colOff>
      <xdr:row>0</xdr:row>
      <xdr:rowOff>33618</xdr:rowOff>
    </xdr:from>
    <xdr:to>
      <xdr:col>106</xdr:col>
      <xdr:colOff>803462</xdr:colOff>
      <xdr:row>0</xdr:row>
      <xdr:rowOff>395568</xdr:rowOff>
    </xdr:to>
    <xdr:pic>
      <xdr:nvPicPr>
        <xdr:cNvPr id="19" name="Picture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69205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128</xdr:col>
      <xdr:colOff>661145</xdr:colOff>
      <xdr:row>0</xdr:row>
      <xdr:rowOff>44824</xdr:rowOff>
    </xdr:from>
    <xdr:to>
      <xdr:col>131</xdr:col>
      <xdr:colOff>19048</xdr:colOff>
      <xdr:row>1</xdr:row>
      <xdr:rowOff>3362</xdr:rowOff>
    </xdr:to>
    <xdr:pic>
      <xdr:nvPicPr>
        <xdr:cNvPr id="20" name="Picture 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48410" y="44824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148</xdr:col>
      <xdr:colOff>627536</xdr:colOff>
      <xdr:row>0</xdr:row>
      <xdr:rowOff>33618</xdr:rowOff>
    </xdr:from>
    <xdr:to>
      <xdr:col>151</xdr:col>
      <xdr:colOff>63880</xdr:colOff>
      <xdr:row>0</xdr:row>
      <xdr:rowOff>395568</xdr:rowOff>
    </xdr:to>
    <xdr:pic>
      <xdr:nvPicPr>
        <xdr:cNvPr id="21" name="Picture 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82801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170</xdr:col>
      <xdr:colOff>11206</xdr:colOff>
      <xdr:row>0</xdr:row>
      <xdr:rowOff>33618</xdr:rowOff>
    </xdr:from>
    <xdr:to>
      <xdr:col>171</xdr:col>
      <xdr:colOff>198345</xdr:colOff>
      <xdr:row>0</xdr:row>
      <xdr:rowOff>395568</xdr:rowOff>
    </xdr:to>
    <xdr:pic>
      <xdr:nvPicPr>
        <xdr:cNvPr id="22" name="Picture 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39588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504270</xdr:colOff>
      <xdr:row>0</xdr:row>
      <xdr:rowOff>33618</xdr:rowOff>
    </xdr:from>
    <xdr:to>
      <xdr:col>25</xdr:col>
      <xdr:colOff>635379</xdr:colOff>
      <xdr:row>0</xdr:row>
      <xdr:rowOff>395568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5976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janam/Desktop/20.02%20Release%20-%20Copy/Key%20Stats/Key%20Stats%20-%20Standard%2020.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ego/AppData/Local/Capital%20IQ/Office%20Plug-in/Templates/+Multi-Language/Financial%20Snapshot%20Tear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 Stats"/>
      <sheetName val="Income Statement"/>
      <sheetName val="Balance Sheet"/>
      <sheetName val="Cash Flow"/>
      <sheetName val="Multiples"/>
      <sheetName val="Capitalization"/>
      <sheetName val="Capital Structure Summary"/>
      <sheetName val="Capital Structure Details"/>
      <sheetName val="Ratios"/>
      <sheetName val="Supplemental"/>
      <sheetName val="Pension-OPE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U6" t="str">
            <v>IQDCS921164068</v>
          </cell>
        </row>
        <row r="7">
          <cell r="U7" t="str">
            <v>IQDCS922008726</v>
          </cell>
        </row>
        <row r="8">
          <cell r="U8" t="str">
            <v>IQDCS921164065</v>
          </cell>
        </row>
        <row r="9">
          <cell r="U9" t="str">
            <v>IQDCS923200891</v>
          </cell>
        </row>
        <row r="10">
          <cell r="U10" t="str">
            <v>IQDCS922584855</v>
          </cell>
        </row>
        <row r="11">
          <cell r="U11" t="str">
            <v>IQDCS920779925</v>
          </cell>
        </row>
        <row r="12">
          <cell r="U12" t="str">
            <v>IQDCS922920408</v>
          </cell>
        </row>
        <row r="13">
          <cell r="U13" t="str">
            <v>IQDCS920779921</v>
          </cell>
        </row>
        <row r="14">
          <cell r="U14" t="str">
            <v>IQDCS920779609</v>
          </cell>
        </row>
        <row r="15">
          <cell r="U15" t="str">
            <v>IQDCS920779615</v>
          </cell>
        </row>
        <row r="16">
          <cell r="U16" t="str">
            <v>IQDCS920779926</v>
          </cell>
        </row>
        <row r="17">
          <cell r="U17" t="str">
            <v>IQDCS922921278</v>
          </cell>
        </row>
        <row r="18">
          <cell r="U18" t="str">
            <v>IQDCS920779614</v>
          </cell>
        </row>
        <row r="19">
          <cell r="U19" t="str">
            <v>IQDCS920779928</v>
          </cell>
        </row>
        <row r="20">
          <cell r="U20" t="str">
            <v>IQDCS922921284</v>
          </cell>
        </row>
        <row r="21">
          <cell r="U21" t="str">
            <v>IQDCS921345359</v>
          </cell>
        </row>
        <row r="22">
          <cell r="U22" t="str">
            <v>IQDCS922920407</v>
          </cell>
        </row>
        <row r="23">
          <cell r="U23" t="str">
            <v>IQDCS920779608</v>
          </cell>
        </row>
        <row r="24">
          <cell r="U24" t="str">
            <v>IQDCS922921285</v>
          </cell>
        </row>
        <row r="25">
          <cell r="U25" t="str">
            <v>IQDCS920779922</v>
          </cell>
        </row>
        <row r="26">
          <cell r="U26" t="str">
            <v>IQDCS922921279</v>
          </cell>
        </row>
        <row r="27">
          <cell r="U27" t="str">
            <v>IQDCS920779620</v>
          </cell>
        </row>
        <row r="28">
          <cell r="U28" t="str">
            <v>IQDCS919289665</v>
          </cell>
        </row>
        <row r="29">
          <cell r="U29" t="str">
            <v>IQDCS920779612</v>
          </cell>
        </row>
        <row r="30">
          <cell r="U30" t="str">
            <v>IQDCS922921287</v>
          </cell>
        </row>
        <row r="35">
          <cell r="U35" t="str">
            <v>IQDCS921164068</v>
          </cell>
        </row>
        <row r="36">
          <cell r="U36" t="str">
            <v>IQDCS922008726</v>
          </cell>
        </row>
        <row r="37">
          <cell r="U37" t="str">
            <v>IQDCS921164065</v>
          </cell>
        </row>
        <row r="38">
          <cell r="U38" t="str">
            <v>IQDCS922031102</v>
          </cell>
        </row>
        <row r="39">
          <cell r="U39" t="str">
            <v>IQDCS922373212</v>
          </cell>
        </row>
        <row r="40">
          <cell r="U40" t="str">
            <v>IQDCS921164072</v>
          </cell>
        </row>
        <row r="41">
          <cell r="U41" t="str">
            <v>IQDCS920779925</v>
          </cell>
        </row>
        <row r="42">
          <cell r="U42" t="str">
            <v>IQDCS920779921</v>
          </cell>
        </row>
        <row r="43">
          <cell r="U43" t="str">
            <v>IQDCS920779609</v>
          </cell>
        </row>
        <row r="44">
          <cell r="U44" t="str">
            <v>IQDCS920779615</v>
          </cell>
        </row>
        <row r="45">
          <cell r="U45" t="str">
            <v>IQDCS920779926</v>
          </cell>
        </row>
        <row r="46">
          <cell r="U46" t="str">
            <v>IQDCS920779614</v>
          </cell>
        </row>
        <row r="47">
          <cell r="U47" t="str">
            <v>IQDCS920779928</v>
          </cell>
        </row>
        <row r="48">
          <cell r="U48" t="str">
            <v>IQDCS920780032</v>
          </cell>
        </row>
        <row r="49">
          <cell r="U49" t="str">
            <v>IQDCS921345359</v>
          </cell>
        </row>
        <row r="50">
          <cell r="U50" t="str">
            <v>IQDCS920779608</v>
          </cell>
        </row>
        <row r="51">
          <cell r="U51" t="str">
            <v>IQDCS920779922</v>
          </cell>
        </row>
        <row r="52">
          <cell r="U52" t="str">
            <v>IQDCS920779620</v>
          </cell>
        </row>
        <row r="53">
          <cell r="U53" t="str">
            <v>IQDCS919289665</v>
          </cell>
        </row>
        <row r="54">
          <cell r="U54" t="str">
            <v>IQDCS920779612</v>
          </cell>
        </row>
        <row r="55">
          <cell r="U55" t="str">
            <v>IQDCS919289795</v>
          </cell>
        </row>
        <row r="56">
          <cell r="U56" t="str">
            <v>IQDCS920779918</v>
          </cell>
        </row>
        <row r="57">
          <cell r="U57" t="str">
            <v>IQDCS920779617</v>
          </cell>
        </row>
        <row r="58">
          <cell r="U58" t="str">
            <v>IQDCS920779919</v>
          </cell>
        </row>
        <row r="59">
          <cell r="U59" t="str">
            <v>IQDCS921164084</v>
          </cell>
        </row>
        <row r="64">
          <cell r="U64" t="str">
            <v>IQDCS921164068</v>
          </cell>
        </row>
        <row r="65">
          <cell r="U65" t="str">
            <v>IQDCS921164072</v>
          </cell>
        </row>
        <row r="66">
          <cell r="U66" t="str">
            <v>IQDCS920779925</v>
          </cell>
        </row>
        <row r="67">
          <cell r="U67" t="str">
            <v>IQDCS920779921</v>
          </cell>
        </row>
        <row r="68">
          <cell r="U68" t="str">
            <v>IQDCS920779609</v>
          </cell>
        </row>
        <row r="69">
          <cell r="U69" t="str">
            <v>IQDCS920779615</v>
          </cell>
        </row>
        <row r="70">
          <cell r="U70" t="str">
            <v>IQDCS920779926</v>
          </cell>
        </row>
        <row r="71">
          <cell r="U71" t="str">
            <v>IQDCS920779614</v>
          </cell>
        </row>
        <row r="72">
          <cell r="U72" t="str">
            <v>IQDCS920779928</v>
          </cell>
        </row>
        <row r="73">
          <cell r="U73" t="str">
            <v>IQDCS920780032</v>
          </cell>
        </row>
        <row r="74">
          <cell r="U74" t="str">
            <v>IQDCS920779608</v>
          </cell>
        </row>
        <row r="75">
          <cell r="U75" t="str">
            <v>IQDCS920779922</v>
          </cell>
        </row>
        <row r="76">
          <cell r="U76" t="str">
            <v>IQDCS920779620</v>
          </cell>
        </row>
        <row r="77">
          <cell r="U77" t="str">
            <v>IQDCS919289665</v>
          </cell>
        </row>
        <row r="78">
          <cell r="U78" t="str">
            <v>IQDCS920779612</v>
          </cell>
        </row>
        <row r="79">
          <cell r="U79" t="str">
            <v>IQDCS919289795</v>
          </cell>
        </row>
        <row r="80">
          <cell r="U80" t="str">
            <v>IQDCS920779918</v>
          </cell>
        </row>
        <row r="81">
          <cell r="U81" t="str">
            <v>IQDCS920779617</v>
          </cell>
        </row>
        <row r="82">
          <cell r="U82" t="str">
            <v>IQDCS920779919</v>
          </cell>
        </row>
        <row r="83">
          <cell r="U83" t="str">
            <v>IQDCS919771151</v>
          </cell>
        </row>
        <row r="84">
          <cell r="U84" t="str">
            <v>IQDCS921164084</v>
          </cell>
        </row>
        <row r="85">
          <cell r="U85" t="str">
            <v>IQDCS921164085</v>
          </cell>
        </row>
        <row r="86">
          <cell r="U86" t="str">
            <v>IQDCS921164070</v>
          </cell>
        </row>
        <row r="87">
          <cell r="U87" t="str">
            <v>IQDCS921164071</v>
          </cell>
        </row>
        <row r="88">
          <cell r="U88" t="str">
            <v>IQDCS916957982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napshot"/>
      <sheetName val="Data"/>
      <sheetName val="Lanugage Index"/>
    </sheetNames>
    <sheetDataSet>
      <sheetData sheetId="0" refreshError="1"/>
      <sheetData sheetId="1">
        <row r="9">
          <cell r="A9">
            <v>43558</v>
          </cell>
          <cell r="B9">
            <v>143.63</v>
          </cell>
          <cell r="C9">
            <v>2.6816499999999999</v>
          </cell>
        </row>
        <row r="10">
          <cell r="A10">
            <v>43559</v>
          </cell>
          <cell r="B10">
            <v>142.78</v>
          </cell>
          <cell r="C10">
            <v>2.7714599999999998</v>
          </cell>
        </row>
        <row r="11">
          <cell r="A11">
            <v>43560</v>
          </cell>
          <cell r="B11">
            <v>143.28</v>
          </cell>
          <cell r="C11">
            <v>2.7319900000000001</v>
          </cell>
        </row>
        <row r="12">
          <cell r="A12">
            <v>43563</v>
          </cell>
          <cell r="B12">
            <v>143.38999999999999</v>
          </cell>
          <cell r="C12">
            <v>2.1182300000000001</v>
          </cell>
        </row>
        <row r="13">
          <cell r="A13">
            <v>43564</v>
          </cell>
          <cell r="B13">
            <v>142.11000000000001</v>
          </cell>
          <cell r="C13">
            <v>3.0384600000000002</v>
          </cell>
        </row>
        <row r="14">
          <cell r="A14">
            <v>43565</v>
          </cell>
          <cell r="B14">
            <v>143.02000000000001</v>
          </cell>
          <cell r="C14">
            <v>2.6783100000000002</v>
          </cell>
        </row>
        <row r="15">
          <cell r="A15">
            <v>43566</v>
          </cell>
          <cell r="B15">
            <v>143.78</v>
          </cell>
          <cell r="C15">
            <v>2.9419900000000001</v>
          </cell>
        </row>
        <row r="16">
          <cell r="A16">
            <v>43567</v>
          </cell>
          <cell r="B16">
            <v>144.35</v>
          </cell>
          <cell r="C16">
            <v>2.8988999999999998</v>
          </cell>
        </row>
        <row r="17">
          <cell r="A17">
            <v>43570</v>
          </cell>
          <cell r="B17">
            <v>143.9</v>
          </cell>
          <cell r="C17">
            <v>3.6031599999999999</v>
          </cell>
        </row>
        <row r="18">
          <cell r="A18">
            <v>43571</v>
          </cell>
          <cell r="B18">
            <v>145.13999999999999</v>
          </cell>
          <cell r="C18">
            <v>6.3016699999999997</v>
          </cell>
        </row>
        <row r="19">
          <cell r="A19">
            <v>43572</v>
          </cell>
          <cell r="B19">
            <v>139.11000000000001</v>
          </cell>
          <cell r="C19">
            <v>12.525690000000001</v>
          </cell>
        </row>
        <row r="20">
          <cell r="A20">
            <v>43573</v>
          </cell>
          <cell r="B20">
            <v>140.33000000000001</v>
          </cell>
          <cell r="C20">
            <v>4.9600200000000001</v>
          </cell>
        </row>
        <row r="21">
          <cell r="A21">
            <v>43577</v>
          </cell>
          <cell r="B21">
            <v>138.88999999999999</v>
          </cell>
          <cell r="C21">
            <v>4.4943299999999997</v>
          </cell>
        </row>
        <row r="22">
          <cell r="A22">
            <v>43578</v>
          </cell>
          <cell r="B22">
            <v>140.44</v>
          </cell>
          <cell r="C22">
            <v>4.4622400000000004</v>
          </cell>
        </row>
        <row r="23">
          <cell r="A23">
            <v>43579</v>
          </cell>
          <cell r="B23">
            <v>139.94999999999999</v>
          </cell>
          <cell r="C23">
            <v>2.7748699999999999</v>
          </cell>
        </row>
        <row r="24">
          <cell r="A24">
            <v>43580</v>
          </cell>
          <cell r="B24">
            <v>138.63</v>
          </cell>
          <cell r="C24">
            <v>2.91011</v>
          </cell>
        </row>
        <row r="25">
          <cell r="A25">
            <v>43581</v>
          </cell>
          <cell r="B25">
            <v>139.44</v>
          </cell>
          <cell r="C25">
            <v>2.3198300000000001</v>
          </cell>
        </row>
        <row r="26">
          <cell r="A26">
            <v>43584</v>
          </cell>
          <cell r="B26">
            <v>139.05000000000001</v>
          </cell>
          <cell r="C26">
            <v>2.9583300000000001</v>
          </cell>
        </row>
        <row r="27">
          <cell r="A27">
            <v>43585</v>
          </cell>
          <cell r="B27">
            <v>140.27000000000001</v>
          </cell>
          <cell r="C27">
            <v>4.6388299999999996</v>
          </cell>
        </row>
        <row r="28">
          <cell r="A28">
            <v>43586</v>
          </cell>
          <cell r="B28">
            <v>140.56</v>
          </cell>
          <cell r="C28">
            <v>3.0536799999999999</v>
          </cell>
        </row>
        <row r="29">
          <cell r="A29">
            <v>43587</v>
          </cell>
          <cell r="B29">
            <v>139.59</v>
          </cell>
          <cell r="C29">
            <v>3.54135</v>
          </cell>
        </row>
        <row r="30">
          <cell r="A30">
            <v>43588</v>
          </cell>
          <cell r="B30">
            <v>140.25</v>
          </cell>
          <cell r="C30">
            <v>2.5800299999999998</v>
          </cell>
        </row>
        <row r="31">
          <cell r="A31">
            <v>43591</v>
          </cell>
          <cell r="B31">
            <v>140.38</v>
          </cell>
          <cell r="C31">
            <v>2.79366</v>
          </cell>
        </row>
        <row r="32">
          <cell r="A32">
            <v>43592</v>
          </cell>
          <cell r="B32">
            <v>137.63999999999999</v>
          </cell>
          <cell r="C32">
            <v>4.7267700000000001</v>
          </cell>
        </row>
        <row r="33">
          <cell r="A33">
            <v>43593</v>
          </cell>
          <cell r="B33">
            <v>138</v>
          </cell>
          <cell r="C33">
            <v>3.8189099999999998</v>
          </cell>
        </row>
        <row r="34">
          <cell r="A34">
            <v>43594</v>
          </cell>
          <cell r="B34">
            <v>135.34</v>
          </cell>
          <cell r="C34">
            <v>4.1929400000000001</v>
          </cell>
        </row>
        <row r="35">
          <cell r="A35">
            <v>43595</v>
          </cell>
          <cell r="B35">
            <v>135.32</v>
          </cell>
          <cell r="C35">
            <v>3.9776899999999999</v>
          </cell>
        </row>
        <row r="36">
          <cell r="A36">
            <v>43598</v>
          </cell>
          <cell r="B36">
            <v>131.41999999999999</v>
          </cell>
          <cell r="C36">
            <v>4.9580200000000003</v>
          </cell>
        </row>
        <row r="37">
          <cell r="A37">
            <v>43599</v>
          </cell>
          <cell r="B37">
            <v>133.31</v>
          </cell>
          <cell r="C37">
            <v>3.28037</v>
          </cell>
        </row>
        <row r="38">
          <cell r="A38">
            <v>43600</v>
          </cell>
          <cell r="B38">
            <v>134.4</v>
          </cell>
          <cell r="C38">
            <v>2.5510100000000002</v>
          </cell>
        </row>
        <row r="39">
          <cell r="A39">
            <v>43601</v>
          </cell>
          <cell r="B39">
            <v>135.88</v>
          </cell>
          <cell r="C39">
            <v>3.0174699999999999</v>
          </cell>
        </row>
        <row r="40">
          <cell r="A40">
            <v>43602</v>
          </cell>
          <cell r="B40">
            <v>134.32</v>
          </cell>
          <cell r="C40">
            <v>2.6191399999999998</v>
          </cell>
        </row>
        <row r="41">
          <cell r="A41">
            <v>43605</v>
          </cell>
          <cell r="B41">
            <v>135.12</v>
          </cell>
          <cell r="C41">
            <v>3.2646500000000001</v>
          </cell>
        </row>
        <row r="42">
          <cell r="A42">
            <v>43606</v>
          </cell>
          <cell r="B42">
            <v>136.44999999999999</v>
          </cell>
          <cell r="C42">
            <v>2.5034999999999998</v>
          </cell>
        </row>
        <row r="43">
          <cell r="A43">
            <v>43607</v>
          </cell>
          <cell r="B43">
            <v>136.35</v>
          </cell>
          <cell r="C43">
            <v>1.84982</v>
          </cell>
        </row>
        <row r="44">
          <cell r="A44">
            <v>43608</v>
          </cell>
          <cell r="B44">
            <v>132.38999999999999</v>
          </cell>
          <cell r="C44">
            <v>5.3434400000000002</v>
          </cell>
        </row>
        <row r="45">
          <cell r="A45">
            <v>43609</v>
          </cell>
          <cell r="B45">
            <v>132.28</v>
          </cell>
          <cell r="C45">
            <v>2.59612</v>
          </cell>
        </row>
        <row r="46">
          <cell r="A46">
            <v>43613</v>
          </cell>
          <cell r="B46">
            <v>130.46</v>
          </cell>
          <cell r="C46">
            <v>4.9091199999999997</v>
          </cell>
        </row>
        <row r="47">
          <cell r="A47">
            <v>43614</v>
          </cell>
          <cell r="B47">
            <v>129.69</v>
          </cell>
          <cell r="C47">
            <v>3.6789800000000001</v>
          </cell>
        </row>
        <row r="48">
          <cell r="A48">
            <v>43615</v>
          </cell>
          <cell r="B48">
            <v>129.57</v>
          </cell>
          <cell r="C48">
            <v>2.7418800000000001</v>
          </cell>
        </row>
        <row r="49">
          <cell r="A49">
            <v>43616</v>
          </cell>
          <cell r="B49">
            <v>126.99</v>
          </cell>
          <cell r="C49">
            <v>3.5393400000000002</v>
          </cell>
        </row>
        <row r="50">
          <cell r="A50">
            <v>43619</v>
          </cell>
          <cell r="B50">
            <v>128.27000000000001</v>
          </cell>
          <cell r="C50">
            <v>4.26708</v>
          </cell>
        </row>
        <row r="51">
          <cell r="A51">
            <v>43620</v>
          </cell>
          <cell r="B51">
            <v>132.69</v>
          </cell>
          <cell r="C51">
            <v>3.9135399999999998</v>
          </cell>
        </row>
        <row r="52">
          <cell r="A52">
            <v>43621</v>
          </cell>
          <cell r="B52">
            <v>131.49</v>
          </cell>
          <cell r="C52">
            <v>3.1615799999999998</v>
          </cell>
        </row>
        <row r="53">
          <cell r="A53">
            <v>43622</v>
          </cell>
          <cell r="B53">
            <v>132.22</v>
          </cell>
          <cell r="C53">
            <v>2.2982499999999999</v>
          </cell>
        </row>
        <row r="54">
          <cell r="A54">
            <v>43623</v>
          </cell>
          <cell r="B54">
            <v>133.31</v>
          </cell>
          <cell r="C54">
            <v>2.5533999999999999</v>
          </cell>
        </row>
        <row r="55">
          <cell r="A55">
            <v>43626</v>
          </cell>
          <cell r="B55">
            <v>134.74</v>
          </cell>
          <cell r="C55">
            <v>2.91133</v>
          </cell>
        </row>
        <row r="56">
          <cell r="A56">
            <v>43627</v>
          </cell>
          <cell r="B56">
            <v>135.94999999999999</v>
          </cell>
          <cell r="C56">
            <v>3.4073500000000001</v>
          </cell>
        </row>
        <row r="57">
          <cell r="A57">
            <v>43628</v>
          </cell>
          <cell r="B57">
            <v>134.87</v>
          </cell>
          <cell r="C57">
            <v>2.25474</v>
          </cell>
        </row>
        <row r="58">
          <cell r="A58">
            <v>43629</v>
          </cell>
          <cell r="B58">
            <v>135.76</v>
          </cell>
          <cell r="C58">
            <v>2.9554200000000002</v>
          </cell>
        </row>
        <row r="59">
          <cell r="A59">
            <v>43630</v>
          </cell>
          <cell r="B59">
            <v>135.15</v>
          </cell>
          <cell r="C59">
            <v>2.1933699999999998</v>
          </cell>
        </row>
        <row r="60">
          <cell r="A60">
            <v>43633</v>
          </cell>
          <cell r="B60">
            <v>134.94999999999999</v>
          </cell>
          <cell r="C60">
            <v>2.1941299999999999</v>
          </cell>
        </row>
        <row r="61">
          <cell r="A61">
            <v>43634</v>
          </cell>
          <cell r="B61">
            <v>136.38</v>
          </cell>
          <cell r="C61">
            <v>2.9146999999999998</v>
          </cell>
        </row>
        <row r="62">
          <cell r="A62">
            <v>43635</v>
          </cell>
          <cell r="B62">
            <v>137.08000000000001</v>
          </cell>
          <cell r="C62">
            <v>2.38252</v>
          </cell>
        </row>
        <row r="63">
          <cell r="A63">
            <v>43636</v>
          </cell>
          <cell r="B63">
            <v>138.85</v>
          </cell>
          <cell r="C63">
            <v>3.0710199999999999</v>
          </cell>
        </row>
        <row r="64">
          <cell r="A64">
            <v>43637</v>
          </cell>
          <cell r="B64">
            <v>139.19999999999999</v>
          </cell>
          <cell r="C64">
            <v>5.2887599999999999</v>
          </cell>
        </row>
        <row r="65">
          <cell r="A65">
            <v>43640</v>
          </cell>
          <cell r="B65">
            <v>139.35</v>
          </cell>
          <cell r="C65">
            <v>2.18614</v>
          </cell>
        </row>
        <row r="66">
          <cell r="A66">
            <v>43641</v>
          </cell>
          <cell r="B66">
            <v>138.36000000000001</v>
          </cell>
          <cell r="C66">
            <v>2.80125</v>
          </cell>
        </row>
        <row r="67">
          <cell r="A67">
            <v>43642</v>
          </cell>
          <cell r="B67">
            <v>138.52000000000001</v>
          </cell>
          <cell r="C67">
            <v>2.28457</v>
          </cell>
        </row>
        <row r="68">
          <cell r="A68">
            <v>43643</v>
          </cell>
          <cell r="B68">
            <v>138.52000000000001</v>
          </cell>
          <cell r="C68">
            <v>2.1498200000000001</v>
          </cell>
        </row>
        <row r="69">
          <cell r="A69">
            <v>43644</v>
          </cell>
          <cell r="B69">
            <v>137.9</v>
          </cell>
          <cell r="C69">
            <v>6.1540400000000002</v>
          </cell>
        </row>
        <row r="70">
          <cell r="A70">
            <v>43647</v>
          </cell>
          <cell r="B70">
            <v>139.88</v>
          </cell>
          <cell r="C70">
            <v>3.3871799999999999</v>
          </cell>
        </row>
        <row r="71">
          <cell r="A71">
            <v>43648</v>
          </cell>
          <cell r="B71">
            <v>140.22</v>
          </cell>
          <cell r="C71">
            <v>2.4100899999999998</v>
          </cell>
        </row>
        <row r="72">
          <cell r="A72">
            <v>43649</v>
          </cell>
          <cell r="B72">
            <v>141.54</v>
          </cell>
          <cell r="C72">
            <v>1.9303600000000001</v>
          </cell>
        </row>
        <row r="73">
          <cell r="A73">
            <v>43651</v>
          </cell>
          <cell r="B73">
            <v>141.38</v>
          </cell>
          <cell r="C73">
            <v>2.1350899999999999</v>
          </cell>
        </row>
        <row r="74">
          <cell r="A74">
            <v>43654</v>
          </cell>
          <cell r="B74">
            <v>140.57</v>
          </cell>
          <cell r="C74">
            <v>2.3954900000000001</v>
          </cell>
        </row>
        <row r="75">
          <cell r="A75">
            <v>43655</v>
          </cell>
          <cell r="B75">
            <v>139.33000000000001</v>
          </cell>
          <cell r="C75">
            <v>3.3652299999999999</v>
          </cell>
        </row>
        <row r="76">
          <cell r="A76">
            <v>43656</v>
          </cell>
          <cell r="B76">
            <v>140.47</v>
          </cell>
          <cell r="C76">
            <v>2.5139300000000002</v>
          </cell>
        </row>
        <row r="77">
          <cell r="A77">
            <v>43657</v>
          </cell>
          <cell r="B77">
            <v>141.24</v>
          </cell>
          <cell r="C77">
            <v>2.1333299999999999</v>
          </cell>
        </row>
        <row r="78">
          <cell r="A78">
            <v>43658</v>
          </cell>
          <cell r="B78">
            <v>142.74</v>
          </cell>
          <cell r="C78">
            <v>2.7862800000000001</v>
          </cell>
        </row>
        <row r="79">
          <cell r="A79">
            <v>43661</v>
          </cell>
          <cell r="B79">
            <v>143.32</v>
          </cell>
          <cell r="C79">
            <v>2.3683100000000001</v>
          </cell>
        </row>
        <row r="80">
          <cell r="A80">
            <v>43662</v>
          </cell>
          <cell r="B80">
            <v>143.53</v>
          </cell>
          <cell r="C80">
            <v>3.4746899999999998</v>
          </cell>
        </row>
        <row r="81">
          <cell r="A81">
            <v>43663</v>
          </cell>
          <cell r="B81">
            <v>143.07</v>
          </cell>
          <cell r="C81">
            <v>6.0642699999999996</v>
          </cell>
        </row>
        <row r="82">
          <cell r="A82">
            <v>43664</v>
          </cell>
          <cell r="B82">
            <v>149.63</v>
          </cell>
          <cell r="C82">
            <v>12.69539</v>
          </cell>
        </row>
        <row r="83">
          <cell r="A83">
            <v>43665</v>
          </cell>
          <cell r="B83">
            <v>149.68</v>
          </cell>
          <cell r="C83">
            <v>7.29068</v>
          </cell>
        </row>
        <row r="84">
          <cell r="A84">
            <v>43668</v>
          </cell>
          <cell r="B84">
            <v>149.74</v>
          </cell>
          <cell r="C84">
            <v>4.0932399999999998</v>
          </cell>
        </row>
        <row r="85">
          <cell r="A85">
            <v>43669</v>
          </cell>
          <cell r="B85">
            <v>150.38</v>
          </cell>
          <cell r="C85">
            <v>3.7422</v>
          </cell>
        </row>
        <row r="86">
          <cell r="A86">
            <v>43670</v>
          </cell>
          <cell r="B86">
            <v>150.03</v>
          </cell>
          <cell r="C86">
            <v>2.9524400000000002</v>
          </cell>
        </row>
        <row r="87">
          <cell r="A87">
            <v>43671</v>
          </cell>
          <cell r="B87">
            <v>150.38999999999999</v>
          </cell>
          <cell r="C87">
            <v>3.1021100000000001</v>
          </cell>
        </row>
        <row r="88">
          <cell r="A88">
            <v>43672</v>
          </cell>
          <cell r="B88">
            <v>151.36000000000001</v>
          </cell>
          <cell r="C88">
            <v>2.90449</v>
          </cell>
        </row>
        <row r="89">
          <cell r="A89">
            <v>43675</v>
          </cell>
          <cell r="B89">
            <v>150.88</v>
          </cell>
          <cell r="C89">
            <v>2.0755300000000001</v>
          </cell>
        </row>
        <row r="90">
          <cell r="A90">
            <v>43676</v>
          </cell>
          <cell r="B90">
            <v>149.77000000000001</v>
          </cell>
          <cell r="C90">
            <v>2.63273</v>
          </cell>
        </row>
        <row r="91">
          <cell r="A91">
            <v>43677</v>
          </cell>
          <cell r="B91">
            <v>148.24</v>
          </cell>
          <cell r="C91">
            <v>3.7229100000000002</v>
          </cell>
        </row>
        <row r="92">
          <cell r="A92">
            <v>43678</v>
          </cell>
          <cell r="B92">
            <v>150.32</v>
          </cell>
          <cell r="C92">
            <v>6.3440099999999999</v>
          </cell>
        </row>
        <row r="93">
          <cell r="A93">
            <v>43679</v>
          </cell>
          <cell r="B93">
            <v>147.25</v>
          </cell>
          <cell r="C93">
            <v>8.1017200000000003</v>
          </cell>
        </row>
        <row r="94">
          <cell r="A94">
            <v>43682</v>
          </cell>
          <cell r="B94">
            <v>140.76</v>
          </cell>
          <cell r="C94">
            <v>7.1148699999999998</v>
          </cell>
        </row>
        <row r="95">
          <cell r="A95">
            <v>43683</v>
          </cell>
          <cell r="B95">
            <v>140.72999999999999</v>
          </cell>
          <cell r="C95">
            <v>5.0706499999999997</v>
          </cell>
        </row>
        <row r="96">
          <cell r="A96">
            <v>43684</v>
          </cell>
          <cell r="B96">
            <v>139.11000000000001</v>
          </cell>
          <cell r="C96">
            <v>5.9318799999999996</v>
          </cell>
        </row>
        <row r="97">
          <cell r="A97">
            <v>43685</v>
          </cell>
          <cell r="B97">
            <v>140.1</v>
          </cell>
          <cell r="C97">
            <v>5.2614400000000003</v>
          </cell>
        </row>
        <row r="98">
          <cell r="A98">
            <v>43686</v>
          </cell>
          <cell r="B98">
            <v>136.13</v>
          </cell>
          <cell r="C98">
            <v>5.2445899999999996</v>
          </cell>
        </row>
        <row r="99">
          <cell r="A99">
            <v>43689</v>
          </cell>
          <cell r="B99">
            <v>134.12</v>
          </cell>
          <cell r="C99">
            <v>4.1936400000000003</v>
          </cell>
        </row>
        <row r="100">
          <cell r="A100">
            <v>43690</v>
          </cell>
          <cell r="B100">
            <v>135.79</v>
          </cell>
          <cell r="C100">
            <v>4.5511699999999999</v>
          </cell>
        </row>
        <row r="101">
          <cell r="A101">
            <v>43691</v>
          </cell>
          <cell r="B101">
            <v>131.25</v>
          </cell>
          <cell r="C101">
            <v>5.11416</v>
          </cell>
        </row>
        <row r="102">
          <cell r="A102">
            <v>43692</v>
          </cell>
          <cell r="B102">
            <v>131.91999999999999</v>
          </cell>
          <cell r="C102">
            <v>3.73895</v>
          </cell>
        </row>
        <row r="103">
          <cell r="A103">
            <v>43693</v>
          </cell>
          <cell r="B103">
            <v>133.76</v>
          </cell>
          <cell r="C103">
            <v>3.0119899999999999</v>
          </cell>
        </row>
        <row r="104">
          <cell r="A104">
            <v>43696</v>
          </cell>
          <cell r="B104">
            <v>135.04</v>
          </cell>
          <cell r="C104">
            <v>3.1654399999999998</v>
          </cell>
        </row>
        <row r="105">
          <cell r="A105">
            <v>43697</v>
          </cell>
          <cell r="B105">
            <v>133</v>
          </cell>
          <cell r="C105">
            <v>3.0189300000000001</v>
          </cell>
        </row>
        <row r="106">
          <cell r="A106">
            <v>43698</v>
          </cell>
          <cell r="B106">
            <v>134.25</v>
          </cell>
          <cell r="C106">
            <v>2.8067700000000002</v>
          </cell>
        </row>
        <row r="107">
          <cell r="A107">
            <v>43699</v>
          </cell>
          <cell r="B107">
            <v>134.32</v>
          </cell>
          <cell r="C107">
            <v>2.6950099999999999</v>
          </cell>
        </row>
        <row r="108">
          <cell r="A108">
            <v>43700</v>
          </cell>
          <cell r="B108">
            <v>129.57</v>
          </cell>
          <cell r="C108">
            <v>4.8187600000000002</v>
          </cell>
        </row>
        <row r="109">
          <cell r="A109">
            <v>43703</v>
          </cell>
          <cell r="B109">
            <v>129.99</v>
          </cell>
          <cell r="C109">
            <v>2.83684</v>
          </cell>
        </row>
        <row r="110">
          <cell r="A110">
            <v>43704</v>
          </cell>
          <cell r="B110">
            <v>131.16999999999999</v>
          </cell>
          <cell r="C110">
            <v>4.7283900000000001</v>
          </cell>
        </row>
        <row r="111">
          <cell r="A111">
            <v>43705</v>
          </cell>
          <cell r="B111">
            <v>132.76</v>
          </cell>
          <cell r="C111">
            <v>2.7203599999999999</v>
          </cell>
        </row>
        <row r="112">
          <cell r="A112">
            <v>43706</v>
          </cell>
          <cell r="B112">
            <v>134.88</v>
          </cell>
          <cell r="C112">
            <v>2.9728400000000001</v>
          </cell>
        </row>
        <row r="113">
          <cell r="A113">
            <v>43707</v>
          </cell>
          <cell r="B113">
            <v>135.53</v>
          </cell>
          <cell r="C113">
            <v>2.9605899999999998</v>
          </cell>
        </row>
        <row r="114">
          <cell r="A114">
            <v>43711</v>
          </cell>
          <cell r="B114">
            <v>134.1</v>
          </cell>
          <cell r="C114">
            <v>2.8282400000000001</v>
          </cell>
        </row>
        <row r="115">
          <cell r="A115">
            <v>43712</v>
          </cell>
          <cell r="B115">
            <v>136.32</v>
          </cell>
          <cell r="C115">
            <v>2.2620800000000001</v>
          </cell>
        </row>
        <row r="116">
          <cell r="A116">
            <v>43713</v>
          </cell>
          <cell r="B116">
            <v>140.97</v>
          </cell>
          <cell r="C116">
            <v>5.0129099999999998</v>
          </cell>
        </row>
        <row r="117">
          <cell r="A117">
            <v>43714</v>
          </cell>
          <cell r="B117">
            <v>140.57</v>
          </cell>
          <cell r="C117">
            <v>2.5771999999999999</v>
          </cell>
        </row>
        <row r="118">
          <cell r="A118">
            <v>43717</v>
          </cell>
          <cell r="B118">
            <v>142.6</v>
          </cell>
          <cell r="C118">
            <v>4.2269399999999999</v>
          </cell>
        </row>
        <row r="119">
          <cell r="A119">
            <v>43718</v>
          </cell>
          <cell r="B119">
            <v>145.05000000000001</v>
          </cell>
          <cell r="C119">
            <v>4.9797399999999996</v>
          </cell>
        </row>
        <row r="120">
          <cell r="A120">
            <v>43719</v>
          </cell>
          <cell r="B120">
            <v>143.6</v>
          </cell>
          <cell r="C120">
            <v>3.8697300000000001</v>
          </cell>
        </row>
        <row r="121">
          <cell r="A121">
            <v>43720</v>
          </cell>
          <cell r="B121">
            <v>143.62</v>
          </cell>
          <cell r="C121">
            <v>2.50543</v>
          </cell>
        </row>
        <row r="122">
          <cell r="A122">
            <v>43721</v>
          </cell>
          <cell r="B122">
            <v>143.66999999999999</v>
          </cell>
          <cell r="C122">
            <v>2.20661</v>
          </cell>
        </row>
        <row r="123">
          <cell r="A123">
            <v>43724</v>
          </cell>
          <cell r="B123">
            <v>142.47999999999999</v>
          </cell>
          <cell r="C123">
            <v>1.9285000000000001</v>
          </cell>
        </row>
        <row r="124">
          <cell r="A124">
            <v>43725</v>
          </cell>
          <cell r="B124">
            <v>142.19999999999999</v>
          </cell>
          <cell r="C124">
            <v>2.94049</v>
          </cell>
        </row>
        <row r="125">
          <cell r="A125">
            <v>43726</v>
          </cell>
          <cell r="B125">
            <v>142.22</v>
          </cell>
          <cell r="C125">
            <v>1.99516</v>
          </cell>
        </row>
        <row r="126">
          <cell r="A126">
            <v>43727</v>
          </cell>
          <cell r="B126">
            <v>142.97</v>
          </cell>
          <cell r="C126">
            <v>3.1820900000000001</v>
          </cell>
        </row>
        <row r="127">
          <cell r="A127">
            <v>43728</v>
          </cell>
          <cell r="B127">
            <v>141.88</v>
          </cell>
          <cell r="C127">
            <v>5.2178800000000001</v>
          </cell>
        </row>
        <row r="128">
          <cell r="A128">
            <v>43731</v>
          </cell>
          <cell r="B128">
            <v>142.07</v>
          </cell>
          <cell r="C128">
            <v>1.85006</v>
          </cell>
        </row>
        <row r="129">
          <cell r="A129">
            <v>43732</v>
          </cell>
          <cell r="B129">
            <v>141.68</v>
          </cell>
          <cell r="C129">
            <v>3.3111700000000002</v>
          </cell>
        </row>
        <row r="130">
          <cell r="A130">
            <v>43733</v>
          </cell>
          <cell r="B130">
            <v>143.16</v>
          </cell>
          <cell r="C130">
            <v>2.5462099999999999</v>
          </cell>
        </row>
        <row r="131">
          <cell r="A131">
            <v>43734</v>
          </cell>
          <cell r="B131">
            <v>143.55000000000001</v>
          </cell>
          <cell r="C131">
            <v>2.31454</v>
          </cell>
        </row>
        <row r="132">
          <cell r="A132">
            <v>43735</v>
          </cell>
          <cell r="B132">
            <v>143.24</v>
          </cell>
          <cell r="C132">
            <v>2.3570799999999998</v>
          </cell>
        </row>
        <row r="133">
          <cell r="A133">
            <v>43738</v>
          </cell>
          <cell r="B133">
            <v>145.41999999999999</v>
          </cell>
          <cell r="C133">
            <v>4.0044300000000002</v>
          </cell>
        </row>
        <row r="134">
          <cell r="A134">
            <v>43739</v>
          </cell>
          <cell r="B134">
            <v>143.66</v>
          </cell>
          <cell r="C134">
            <v>2.9737100000000001</v>
          </cell>
        </row>
        <row r="135">
          <cell r="A135">
            <v>43740</v>
          </cell>
          <cell r="B135">
            <v>141.69</v>
          </cell>
          <cell r="C135">
            <v>3.34728</v>
          </cell>
        </row>
        <row r="136">
          <cell r="A136">
            <v>43741</v>
          </cell>
          <cell r="B136">
            <v>142.02000000000001</v>
          </cell>
          <cell r="C136">
            <v>3.1617199999999999</v>
          </cell>
        </row>
        <row r="137">
          <cell r="A137">
            <v>43742</v>
          </cell>
          <cell r="B137">
            <v>142.99</v>
          </cell>
          <cell r="C137">
            <v>2.4494799999999999</v>
          </cell>
        </row>
        <row r="138">
          <cell r="A138">
            <v>43745</v>
          </cell>
          <cell r="B138">
            <v>141.28</v>
          </cell>
          <cell r="C138">
            <v>2.4887999999999999</v>
          </cell>
        </row>
        <row r="139">
          <cell r="A139">
            <v>43746</v>
          </cell>
          <cell r="B139">
            <v>138.38</v>
          </cell>
          <cell r="C139">
            <v>3.3440799999999999</v>
          </cell>
        </row>
        <row r="140">
          <cell r="A140">
            <v>43747</v>
          </cell>
          <cell r="B140">
            <v>139.66999999999999</v>
          </cell>
          <cell r="C140">
            <v>2.63347</v>
          </cell>
        </row>
        <row r="141">
          <cell r="A141">
            <v>43748</v>
          </cell>
          <cell r="B141">
            <v>141.13</v>
          </cell>
          <cell r="C141">
            <v>2.64669</v>
          </cell>
        </row>
        <row r="142">
          <cell r="A142">
            <v>43749</v>
          </cell>
          <cell r="B142">
            <v>142.76</v>
          </cell>
          <cell r="C142">
            <v>3.0186700000000002</v>
          </cell>
        </row>
        <row r="143">
          <cell r="A143">
            <v>43752</v>
          </cell>
          <cell r="B143">
            <v>142.04</v>
          </cell>
          <cell r="C143">
            <v>2.3256100000000002</v>
          </cell>
        </row>
        <row r="144">
          <cell r="A144">
            <v>43753</v>
          </cell>
          <cell r="B144">
            <v>143</v>
          </cell>
          <cell r="C144">
            <v>3.0470000000000002</v>
          </cell>
        </row>
        <row r="145">
          <cell r="A145">
            <v>43754</v>
          </cell>
          <cell r="B145">
            <v>142.11000000000001</v>
          </cell>
          <cell r="C145">
            <v>5.9157099999999998</v>
          </cell>
        </row>
        <row r="146">
          <cell r="A146">
            <v>43755</v>
          </cell>
          <cell r="B146">
            <v>134.26</v>
          </cell>
          <cell r="C146">
            <v>15.83081</v>
          </cell>
        </row>
        <row r="147">
          <cell r="A147">
            <v>43756</v>
          </cell>
          <cell r="B147">
            <v>134.09</v>
          </cell>
          <cell r="C147">
            <v>7.1783799999999998</v>
          </cell>
        </row>
        <row r="148">
          <cell r="A148">
            <v>43759</v>
          </cell>
          <cell r="B148">
            <v>132.58000000000001</v>
          </cell>
          <cell r="C148">
            <v>6.3729800000000001</v>
          </cell>
        </row>
        <row r="149">
          <cell r="A149">
            <v>43760</v>
          </cell>
          <cell r="B149">
            <v>133.96</v>
          </cell>
          <cell r="C149">
            <v>4.1958000000000002</v>
          </cell>
        </row>
        <row r="150">
          <cell r="A150">
            <v>43761</v>
          </cell>
          <cell r="B150">
            <v>134.38</v>
          </cell>
          <cell r="C150">
            <v>3.6273499999999999</v>
          </cell>
        </row>
        <row r="151">
          <cell r="A151">
            <v>43762</v>
          </cell>
          <cell r="B151">
            <v>134.07</v>
          </cell>
          <cell r="C151">
            <v>2.61931</v>
          </cell>
        </row>
        <row r="152">
          <cell r="A152">
            <v>43763</v>
          </cell>
          <cell r="B152">
            <v>135.44</v>
          </cell>
          <cell r="C152">
            <v>2.5790600000000001</v>
          </cell>
        </row>
        <row r="153">
          <cell r="A153">
            <v>43766</v>
          </cell>
          <cell r="B153">
            <v>135.97</v>
          </cell>
          <cell r="C153">
            <v>3.2261299999999999</v>
          </cell>
        </row>
        <row r="154">
          <cell r="A154">
            <v>43767</v>
          </cell>
          <cell r="B154">
            <v>133.82</v>
          </cell>
          <cell r="C154">
            <v>4.1607200000000004</v>
          </cell>
        </row>
        <row r="155">
          <cell r="A155">
            <v>43768</v>
          </cell>
          <cell r="B155">
            <v>135.25</v>
          </cell>
          <cell r="C155">
            <v>2.25299</v>
          </cell>
        </row>
        <row r="156">
          <cell r="A156">
            <v>43769</v>
          </cell>
          <cell r="B156">
            <v>133.72999999999999</v>
          </cell>
          <cell r="C156">
            <v>3.4121199999999998</v>
          </cell>
        </row>
        <row r="157">
          <cell r="A157">
            <v>43770</v>
          </cell>
          <cell r="B157">
            <v>135.53</v>
          </cell>
          <cell r="C157">
            <v>3.0897899999999998</v>
          </cell>
        </row>
        <row r="158">
          <cell r="A158">
            <v>43773</v>
          </cell>
          <cell r="B158">
            <v>137.66999999999999</v>
          </cell>
          <cell r="C158">
            <v>3.3353899999999999</v>
          </cell>
        </row>
        <row r="159">
          <cell r="A159">
            <v>43774</v>
          </cell>
          <cell r="B159">
            <v>137.88999999999999</v>
          </cell>
          <cell r="C159">
            <v>3.0149599999999999</v>
          </cell>
        </row>
        <row r="160">
          <cell r="A160">
            <v>43775</v>
          </cell>
          <cell r="B160">
            <v>138.78</v>
          </cell>
          <cell r="C160">
            <v>4.47729</v>
          </cell>
        </row>
        <row r="161">
          <cell r="A161">
            <v>43776</v>
          </cell>
          <cell r="B161">
            <v>137.69</v>
          </cell>
          <cell r="C161">
            <v>4.0739099999999997</v>
          </cell>
        </row>
        <row r="162">
          <cell r="A162">
            <v>43777</v>
          </cell>
          <cell r="B162">
            <v>137.61000000000001</v>
          </cell>
          <cell r="C162">
            <v>2.2786</v>
          </cell>
        </row>
        <row r="163">
          <cell r="A163">
            <v>43780</v>
          </cell>
          <cell r="B163">
            <v>135.47</v>
          </cell>
          <cell r="C163">
            <v>2.5687600000000002</v>
          </cell>
        </row>
        <row r="164">
          <cell r="A164">
            <v>43781</v>
          </cell>
          <cell r="B164">
            <v>135.59</v>
          </cell>
          <cell r="C164">
            <v>3.0465399999999998</v>
          </cell>
        </row>
        <row r="165">
          <cell r="A165">
            <v>43782</v>
          </cell>
          <cell r="B165">
            <v>134.47999999999999</v>
          </cell>
          <cell r="C165">
            <v>3.0609199999999999</v>
          </cell>
        </row>
        <row r="166">
          <cell r="A166">
            <v>43783</v>
          </cell>
          <cell r="B166">
            <v>134</v>
          </cell>
          <cell r="C166">
            <v>4.2314699999999998</v>
          </cell>
        </row>
        <row r="167">
          <cell r="A167">
            <v>43784</v>
          </cell>
          <cell r="B167">
            <v>134.4</v>
          </cell>
          <cell r="C167">
            <v>3.2626599999999999</v>
          </cell>
        </row>
        <row r="168">
          <cell r="A168">
            <v>43787</v>
          </cell>
          <cell r="B168">
            <v>134.31</v>
          </cell>
          <cell r="C168">
            <v>3.2108699999999999</v>
          </cell>
        </row>
        <row r="169">
          <cell r="A169">
            <v>43788</v>
          </cell>
          <cell r="B169">
            <v>134.52000000000001</v>
          </cell>
          <cell r="C169">
            <v>2.9950700000000001</v>
          </cell>
        </row>
        <row r="170">
          <cell r="A170">
            <v>43789</v>
          </cell>
          <cell r="B170">
            <v>133.19999999999999</v>
          </cell>
          <cell r="C170">
            <v>4.1401500000000002</v>
          </cell>
        </row>
        <row r="171">
          <cell r="A171">
            <v>43790</v>
          </cell>
          <cell r="B171">
            <v>133.84</v>
          </cell>
          <cell r="C171">
            <v>3.3453400000000002</v>
          </cell>
        </row>
        <row r="172">
          <cell r="A172">
            <v>43791</v>
          </cell>
          <cell r="B172">
            <v>134.34</v>
          </cell>
          <cell r="C172">
            <v>3.2978000000000001</v>
          </cell>
        </row>
        <row r="173">
          <cell r="A173">
            <v>43794</v>
          </cell>
          <cell r="B173">
            <v>135.97</v>
          </cell>
          <cell r="C173">
            <v>2.5901700000000001</v>
          </cell>
        </row>
        <row r="174">
          <cell r="A174">
            <v>43795</v>
          </cell>
          <cell r="B174">
            <v>135.09</v>
          </cell>
          <cell r="C174">
            <v>3.7933400000000002</v>
          </cell>
        </row>
        <row r="175">
          <cell r="A175">
            <v>43796</v>
          </cell>
          <cell r="B175">
            <v>133.77000000000001</v>
          </cell>
          <cell r="C175">
            <v>3.2828300000000001</v>
          </cell>
        </row>
        <row r="176">
          <cell r="A176">
            <v>43798</v>
          </cell>
          <cell r="B176">
            <v>134.44999999999999</v>
          </cell>
          <cell r="C176">
            <v>1.8252600000000001</v>
          </cell>
        </row>
        <row r="177">
          <cell r="A177">
            <v>43801</v>
          </cell>
          <cell r="B177">
            <v>132.91</v>
          </cell>
          <cell r="C177">
            <v>3.0678299999999998</v>
          </cell>
        </row>
        <row r="178">
          <cell r="A178">
            <v>43802</v>
          </cell>
          <cell r="B178">
            <v>132.12</v>
          </cell>
          <cell r="C178">
            <v>3.7110699999999999</v>
          </cell>
        </row>
        <row r="179">
          <cell r="A179">
            <v>43803</v>
          </cell>
          <cell r="B179">
            <v>131.99</v>
          </cell>
          <cell r="C179">
            <v>3.53077</v>
          </cell>
        </row>
        <row r="180">
          <cell r="A180">
            <v>43804</v>
          </cell>
          <cell r="B180">
            <v>131.91</v>
          </cell>
          <cell r="C180">
            <v>3.5985800000000001</v>
          </cell>
        </row>
        <row r="181">
          <cell r="A181">
            <v>43805</v>
          </cell>
          <cell r="B181">
            <v>133.22</v>
          </cell>
          <cell r="C181">
            <v>3.4379900000000001</v>
          </cell>
        </row>
        <row r="182">
          <cell r="A182">
            <v>43808</v>
          </cell>
          <cell r="B182">
            <v>133.91999999999999</v>
          </cell>
          <cell r="C182">
            <v>2.9788000000000001</v>
          </cell>
        </row>
        <row r="183">
          <cell r="A183">
            <v>43809</v>
          </cell>
          <cell r="B183">
            <v>133.91</v>
          </cell>
          <cell r="C183">
            <v>3.4803899999999999</v>
          </cell>
        </row>
        <row r="184">
          <cell r="A184">
            <v>43810</v>
          </cell>
          <cell r="B184">
            <v>133.76</v>
          </cell>
          <cell r="C184">
            <v>3.9533100000000001</v>
          </cell>
        </row>
        <row r="185">
          <cell r="A185">
            <v>43811</v>
          </cell>
          <cell r="B185">
            <v>135.32</v>
          </cell>
          <cell r="C185">
            <v>4.8241899999999998</v>
          </cell>
        </row>
        <row r="186">
          <cell r="A186">
            <v>43812</v>
          </cell>
          <cell r="B186">
            <v>134.21</v>
          </cell>
          <cell r="C186">
            <v>2.5349699999999999</v>
          </cell>
        </row>
        <row r="187">
          <cell r="A187">
            <v>43815</v>
          </cell>
          <cell r="B187">
            <v>134.13</v>
          </cell>
          <cell r="C187">
            <v>3.0493299999999999</v>
          </cell>
        </row>
        <row r="188">
          <cell r="A188">
            <v>43816</v>
          </cell>
          <cell r="B188">
            <v>134.22</v>
          </cell>
          <cell r="C188">
            <v>2.9075500000000001</v>
          </cell>
        </row>
        <row r="189">
          <cell r="A189">
            <v>43817</v>
          </cell>
          <cell r="B189">
            <v>134.41</v>
          </cell>
          <cell r="C189">
            <v>3.1023499999999999</v>
          </cell>
        </row>
        <row r="190">
          <cell r="A190">
            <v>43818</v>
          </cell>
          <cell r="B190">
            <v>134.56</v>
          </cell>
          <cell r="C190">
            <v>3.8667199999999999</v>
          </cell>
        </row>
        <row r="191">
          <cell r="A191">
            <v>43819</v>
          </cell>
          <cell r="B191">
            <v>135.59</v>
          </cell>
          <cell r="C191">
            <v>7.1120700000000001</v>
          </cell>
        </row>
        <row r="192">
          <cell r="A192">
            <v>43822</v>
          </cell>
          <cell r="B192">
            <v>135.55000000000001</v>
          </cell>
          <cell r="C192">
            <v>2.8031700000000002</v>
          </cell>
        </row>
        <row r="193">
          <cell r="A193">
            <v>43823</v>
          </cell>
          <cell r="B193">
            <v>134.97999999999999</v>
          </cell>
          <cell r="C193">
            <v>1.2020900000000001</v>
          </cell>
        </row>
        <row r="194">
          <cell r="A194">
            <v>43825</v>
          </cell>
          <cell r="B194">
            <v>134.91</v>
          </cell>
          <cell r="C194">
            <v>2.1307100000000001</v>
          </cell>
        </row>
        <row r="195">
          <cell r="A195">
            <v>43826</v>
          </cell>
          <cell r="B195">
            <v>135.27000000000001</v>
          </cell>
          <cell r="C195">
            <v>2.75271</v>
          </cell>
        </row>
        <row r="196">
          <cell r="A196">
            <v>43829</v>
          </cell>
          <cell r="B196">
            <v>132.81</v>
          </cell>
          <cell r="C196">
            <v>4.1189400000000003</v>
          </cell>
        </row>
        <row r="197">
          <cell r="A197">
            <v>43830</v>
          </cell>
          <cell r="B197">
            <v>134.04</v>
          </cell>
          <cell r="C197">
            <v>3.7780100000000001</v>
          </cell>
        </row>
        <row r="198">
          <cell r="A198">
            <v>43832</v>
          </cell>
          <cell r="B198">
            <v>135.41999999999999</v>
          </cell>
          <cell r="C198">
            <v>3.1488299999999998</v>
          </cell>
        </row>
        <row r="199">
          <cell r="A199">
            <v>43833</v>
          </cell>
          <cell r="B199">
            <v>134.34</v>
          </cell>
          <cell r="C199">
            <v>2.3736799999999998</v>
          </cell>
        </row>
        <row r="200">
          <cell r="A200">
            <v>43836</v>
          </cell>
          <cell r="B200">
            <v>134.1</v>
          </cell>
          <cell r="C200">
            <v>2.42631</v>
          </cell>
        </row>
        <row r="201">
          <cell r="A201">
            <v>43837</v>
          </cell>
          <cell r="B201">
            <v>134.19</v>
          </cell>
          <cell r="C201">
            <v>3.27597</v>
          </cell>
        </row>
        <row r="202">
          <cell r="A202">
            <v>43838</v>
          </cell>
          <cell r="B202">
            <v>135.31</v>
          </cell>
          <cell r="C202">
            <v>4.3461400000000001</v>
          </cell>
        </row>
        <row r="203">
          <cell r="A203">
            <v>43839</v>
          </cell>
          <cell r="B203">
            <v>136.74</v>
          </cell>
          <cell r="C203">
            <v>3.7328299999999999</v>
          </cell>
        </row>
        <row r="204">
          <cell r="A204">
            <v>43840</v>
          </cell>
          <cell r="B204">
            <v>136.69</v>
          </cell>
          <cell r="C204">
            <v>3.2556400000000001</v>
          </cell>
        </row>
        <row r="205">
          <cell r="A205">
            <v>43843</v>
          </cell>
          <cell r="B205">
            <v>136.6</v>
          </cell>
          <cell r="C205">
            <v>3.5315699999999999</v>
          </cell>
        </row>
        <row r="206">
          <cell r="A206">
            <v>43844</v>
          </cell>
          <cell r="B206">
            <v>135.82</v>
          </cell>
          <cell r="C206">
            <v>3.6834600000000002</v>
          </cell>
        </row>
        <row r="207">
          <cell r="A207">
            <v>43845</v>
          </cell>
          <cell r="B207">
            <v>136.62</v>
          </cell>
          <cell r="C207">
            <v>4.0459500000000004</v>
          </cell>
        </row>
        <row r="208">
          <cell r="A208">
            <v>43846</v>
          </cell>
          <cell r="B208">
            <v>137.97999999999999</v>
          </cell>
          <cell r="C208">
            <v>4.3209099999999996</v>
          </cell>
        </row>
        <row r="209">
          <cell r="A209">
            <v>43847</v>
          </cell>
          <cell r="B209">
            <v>138.31</v>
          </cell>
          <cell r="C209">
            <v>5.6233399999999998</v>
          </cell>
        </row>
        <row r="210">
          <cell r="A210">
            <v>43851</v>
          </cell>
          <cell r="B210">
            <v>139.16999999999999</v>
          </cell>
          <cell r="C210">
            <v>7.2440800000000003</v>
          </cell>
        </row>
        <row r="211">
          <cell r="A211">
            <v>43852</v>
          </cell>
          <cell r="B211">
            <v>143.88999999999999</v>
          </cell>
          <cell r="C211">
            <v>16.47043</v>
          </cell>
        </row>
        <row r="212">
          <cell r="A212">
            <v>43853</v>
          </cell>
          <cell r="B212">
            <v>142.87</v>
          </cell>
          <cell r="C212">
            <v>5.6577900000000003</v>
          </cell>
        </row>
        <row r="213">
          <cell r="A213">
            <v>43854</v>
          </cell>
          <cell r="B213">
            <v>140.56</v>
          </cell>
          <cell r="C213">
            <v>5.58019</v>
          </cell>
        </row>
        <row r="214">
          <cell r="A214">
            <v>43857</v>
          </cell>
          <cell r="B214">
            <v>138.62</v>
          </cell>
          <cell r="C214">
            <v>4.1665599999999996</v>
          </cell>
        </row>
        <row r="215">
          <cell r="A215">
            <v>43858</v>
          </cell>
          <cell r="B215">
            <v>139.55000000000001</v>
          </cell>
          <cell r="C215">
            <v>3.4515600000000002</v>
          </cell>
        </row>
        <row r="216">
          <cell r="A216">
            <v>43859</v>
          </cell>
          <cell r="B216">
            <v>137.69</v>
          </cell>
          <cell r="C216">
            <v>3.05471</v>
          </cell>
        </row>
        <row r="217">
          <cell r="A217">
            <v>43860</v>
          </cell>
          <cell r="B217">
            <v>136.77000000000001</v>
          </cell>
          <cell r="C217">
            <v>5.0579099999999997</v>
          </cell>
        </row>
        <row r="218">
          <cell r="A218">
            <v>43861</v>
          </cell>
          <cell r="B218">
            <v>143.72999999999999</v>
          </cell>
          <cell r="C218">
            <v>18.99456</v>
          </cell>
        </row>
        <row r="219">
          <cell r="A219">
            <v>43864</v>
          </cell>
          <cell r="B219">
            <v>146.27000000000001</v>
          </cell>
          <cell r="C219">
            <v>8.8874999999999993</v>
          </cell>
        </row>
        <row r="220">
          <cell r="A220">
            <v>43865</v>
          </cell>
          <cell r="B220">
            <v>149.11000000000001</v>
          </cell>
          <cell r="C220">
            <v>5.6209699999999998</v>
          </cell>
        </row>
        <row r="221">
          <cell r="A221">
            <v>43866</v>
          </cell>
          <cell r="B221">
            <v>156.33000000000001</v>
          </cell>
          <cell r="C221">
            <v>14.38682</v>
          </cell>
        </row>
        <row r="222">
          <cell r="A222">
            <v>43867</v>
          </cell>
          <cell r="B222">
            <v>156.76</v>
          </cell>
          <cell r="C222">
            <v>8.4005500000000008</v>
          </cell>
        </row>
        <row r="223">
          <cell r="A223">
            <v>43868</v>
          </cell>
          <cell r="B223">
            <v>153.41</v>
          </cell>
          <cell r="C223">
            <v>6.4234299999999998</v>
          </cell>
        </row>
        <row r="224">
          <cell r="A224">
            <v>43871</v>
          </cell>
          <cell r="B224">
            <v>154.43</v>
          </cell>
          <cell r="C224">
            <v>5.2398100000000003</v>
          </cell>
        </row>
        <row r="225">
          <cell r="A225">
            <v>43872</v>
          </cell>
          <cell r="B225">
            <v>153.47999999999999</v>
          </cell>
          <cell r="C225">
            <v>3.8351099999999998</v>
          </cell>
        </row>
        <row r="226">
          <cell r="A226">
            <v>43873</v>
          </cell>
          <cell r="B226">
            <v>155.31</v>
          </cell>
          <cell r="C226">
            <v>4.4380100000000002</v>
          </cell>
        </row>
        <row r="227">
          <cell r="A227">
            <v>43874</v>
          </cell>
          <cell r="B227">
            <v>154.31</v>
          </cell>
          <cell r="C227">
            <v>3.8207</v>
          </cell>
        </row>
        <row r="228">
          <cell r="A228">
            <v>43875</v>
          </cell>
          <cell r="B228">
            <v>150.69999999999999</v>
          </cell>
          <cell r="C228">
            <v>6.09924</v>
          </cell>
        </row>
        <row r="229">
          <cell r="A229">
            <v>43879</v>
          </cell>
          <cell r="B229">
            <v>151.1</v>
          </cell>
          <cell r="C229">
            <v>3.3435100000000002</v>
          </cell>
        </row>
        <row r="230">
          <cell r="A230">
            <v>43880</v>
          </cell>
          <cell r="B230">
            <v>150.86000000000001</v>
          </cell>
          <cell r="C230">
            <v>2.7332800000000002</v>
          </cell>
        </row>
        <row r="231">
          <cell r="A231">
            <v>43881</v>
          </cell>
          <cell r="B231">
            <v>151.22</v>
          </cell>
          <cell r="C231">
            <v>2.8807100000000001</v>
          </cell>
        </row>
        <row r="232">
          <cell r="A232">
            <v>43882</v>
          </cell>
          <cell r="B232">
            <v>149.84</v>
          </cell>
          <cell r="C232">
            <v>3.5372599999999998</v>
          </cell>
        </row>
        <row r="233">
          <cell r="A233">
            <v>43885</v>
          </cell>
          <cell r="B233">
            <v>146.43</v>
          </cell>
          <cell r="C233">
            <v>5.4524100000000004</v>
          </cell>
        </row>
        <row r="234">
          <cell r="A234">
            <v>43886</v>
          </cell>
          <cell r="B234">
            <v>141.71</v>
          </cell>
          <cell r="C234">
            <v>6.2115499999999999</v>
          </cell>
        </row>
        <row r="235">
          <cell r="A235">
            <v>43887</v>
          </cell>
          <cell r="B235">
            <v>139.75</v>
          </cell>
          <cell r="C235">
            <v>5.4095399999999998</v>
          </cell>
        </row>
        <row r="236">
          <cell r="A236">
            <v>43888</v>
          </cell>
          <cell r="B236">
            <v>133.11000000000001</v>
          </cell>
          <cell r="C236">
            <v>8.4211299999999998</v>
          </cell>
        </row>
        <row r="237">
          <cell r="A237">
            <v>43889</v>
          </cell>
          <cell r="B237">
            <v>130.15</v>
          </cell>
          <cell r="C237">
            <v>13.012230000000001</v>
          </cell>
        </row>
        <row r="238">
          <cell r="A238">
            <v>43892</v>
          </cell>
          <cell r="B238">
            <v>134.30000000000001</v>
          </cell>
          <cell r="C238">
            <v>8.5314200000000007</v>
          </cell>
        </row>
        <row r="239">
          <cell r="A239">
            <v>43893</v>
          </cell>
          <cell r="B239">
            <v>128.9</v>
          </cell>
          <cell r="C239">
            <v>7.8960699999999999</v>
          </cell>
        </row>
        <row r="240">
          <cell r="A240">
            <v>43894</v>
          </cell>
          <cell r="B240">
            <v>134.22</v>
          </cell>
          <cell r="C240">
            <v>4.9963699999999998</v>
          </cell>
        </row>
        <row r="241">
          <cell r="A241">
            <v>43895</v>
          </cell>
          <cell r="B241">
            <v>129.55000000000001</v>
          </cell>
          <cell r="C241">
            <v>5.4462299999999999</v>
          </cell>
        </row>
        <row r="242">
          <cell r="A242">
            <v>43896</v>
          </cell>
          <cell r="B242">
            <v>127.73</v>
          </cell>
          <cell r="C242">
            <v>8.1932600000000004</v>
          </cell>
        </row>
        <row r="243">
          <cell r="A243">
            <v>43899</v>
          </cell>
          <cell r="B243">
            <v>117.81</v>
          </cell>
          <cell r="C243">
            <v>10.757490000000001</v>
          </cell>
        </row>
        <row r="244">
          <cell r="A244">
            <v>43900</v>
          </cell>
          <cell r="B244">
            <v>124.77</v>
          </cell>
          <cell r="C244">
            <v>11.410690000000001</v>
          </cell>
        </row>
        <row r="245">
          <cell r="A245">
            <v>43901</v>
          </cell>
          <cell r="B245">
            <v>117.97</v>
          </cell>
          <cell r="C245">
            <v>8.4510400000000008</v>
          </cell>
        </row>
        <row r="246">
          <cell r="A246">
            <v>43902</v>
          </cell>
          <cell r="B246">
            <v>102.81</v>
          </cell>
          <cell r="C246">
            <v>12.51266</v>
          </cell>
        </row>
        <row r="247">
          <cell r="A247">
            <v>43903</v>
          </cell>
          <cell r="B247">
            <v>107.95</v>
          </cell>
          <cell r="C247">
            <v>12.50211</v>
          </cell>
        </row>
        <row r="248">
          <cell r="A248">
            <v>43906</v>
          </cell>
          <cell r="B248">
            <v>99.08</v>
          </cell>
          <cell r="C248">
            <v>10.567959999999999</v>
          </cell>
        </row>
        <row r="249">
          <cell r="A249">
            <v>43907</v>
          </cell>
          <cell r="B249">
            <v>106.65</v>
          </cell>
          <cell r="C249">
            <v>9.2583400000000005</v>
          </cell>
        </row>
        <row r="250">
          <cell r="A250">
            <v>43908</v>
          </cell>
          <cell r="B250">
            <v>103.55</v>
          </cell>
          <cell r="C250">
            <v>8.7724600000000006</v>
          </cell>
        </row>
        <row r="251">
          <cell r="A251">
            <v>43909</v>
          </cell>
          <cell r="B251">
            <v>100.34</v>
          </cell>
          <cell r="C251">
            <v>8.3965200000000006</v>
          </cell>
        </row>
        <row r="252">
          <cell r="A252">
            <v>43910</v>
          </cell>
          <cell r="B252">
            <v>95.39</v>
          </cell>
          <cell r="C252">
            <v>10.54646</v>
          </cell>
        </row>
        <row r="253">
          <cell r="A253">
            <v>43913</v>
          </cell>
          <cell r="B253">
            <v>94.77</v>
          </cell>
          <cell r="C253">
            <v>9.7293900000000004</v>
          </cell>
        </row>
        <row r="254">
          <cell r="A254">
            <v>43914</v>
          </cell>
          <cell r="B254">
            <v>105.48</v>
          </cell>
          <cell r="C254">
            <v>7.9739399999999998</v>
          </cell>
        </row>
        <row r="255">
          <cell r="A255">
            <v>43915</v>
          </cell>
          <cell r="B255">
            <v>105.85</v>
          </cell>
          <cell r="C255">
            <v>8.6540499999999998</v>
          </cell>
        </row>
        <row r="256">
          <cell r="A256">
            <v>43916</v>
          </cell>
          <cell r="B256">
            <v>112.89</v>
          </cell>
          <cell r="C256">
            <v>7.1580500000000002</v>
          </cell>
        </row>
        <row r="257">
          <cell r="A257">
            <v>43917</v>
          </cell>
          <cell r="B257">
            <v>108.03</v>
          </cell>
          <cell r="C257">
            <v>6.4230400000000003</v>
          </cell>
        </row>
        <row r="258">
          <cell r="A258">
            <v>43920</v>
          </cell>
          <cell r="B258">
            <v>112.93</v>
          </cell>
          <cell r="C258">
            <v>5.56454</v>
          </cell>
        </row>
        <row r="259">
          <cell r="A259">
            <v>43921</v>
          </cell>
          <cell r="B259">
            <v>110.93</v>
          </cell>
          <cell r="C259">
            <v>6.3466800000000001</v>
          </cell>
        </row>
        <row r="260">
          <cell r="A260">
            <v>43922</v>
          </cell>
          <cell r="B260">
            <v>105.14</v>
          </cell>
          <cell r="C260">
            <v>6.1129499999999997</v>
          </cell>
        </row>
        <row r="261">
          <cell r="A261">
            <v>43923</v>
          </cell>
          <cell r="B261">
            <v>110</v>
          </cell>
          <cell r="C261">
            <v>6.3286699999999998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S&amp;P Updated">
      <a:dk1>
        <a:srgbClr val="000000"/>
      </a:dk1>
      <a:lt1>
        <a:srgbClr val="FFFFFF"/>
      </a:lt1>
      <a:dk2>
        <a:srgbClr val="5A5A5A"/>
      </a:dk2>
      <a:lt2>
        <a:srgbClr val="DFDFDF"/>
      </a:lt2>
      <a:accent1>
        <a:srgbClr val="E31837"/>
      </a:accent1>
      <a:accent2>
        <a:srgbClr val="00B1B0"/>
      </a:accent2>
      <a:accent3>
        <a:srgbClr val="919195"/>
      </a:accent3>
      <a:accent4>
        <a:srgbClr val="B5E1E1"/>
      </a:accent4>
      <a:accent5>
        <a:srgbClr val="006C67"/>
      </a:accent5>
      <a:accent6>
        <a:srgbClr val="5A3CE6"/>
      </a:accent6>
      <a:hlink>
        <a:srgbClr val="0000FF"/>
      </a:hlink>
      <a:folHlink>
        <a:srgbClr val="800080"/>
      </a:folHlink>
    </a:clrScheme>
    <a:fontScheme name="S&amp;P Capital IQ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AD59-DD15-472B-A679-F98FC0ECBFD6}">
  <dimension ref="A1:IV5"/>
  <sheetViews>
    <sheetView workbookViewId="0"/>
  </sheetViews>
  <sheetFormatPr defaultRowHeight="13.2" x14ac:dyDescent="0.25"/>
  <sheetData>
    <row r="1" spans="1:256" x14ac:dyDescent="0.25">
      <c r="A1">
        <v>1102</v>
      </c>
      <c r="B1" t="s">
        <v>8305</v>
      </c>
      <c r="C1" t="s">
        <v>8306</v>
      </c>
      <c r="D1" t="s">
        <v>8307</v>
      </c>
      <c r="E1" t="s">
        <v>8308</v>
      </c>
      <c r="F1" t="s">
        <v>8309</v>
      </c>
      <c r="G1" t="s">
        <v>8310</v>
      </c>
      <c r="H1" t="s">
        <v>8311</v>
      </c>
      <c r="I1" t="s">
        <v>8312</v>
      </c>
      <c r="J1" t="s">
        <v>8313</v>
      </c>
      <c r="K1" t="s">
        <v>8314</v>
      </c>
      <c r="L1" t="s">
        <v>8315</v>
      </c>
      <c r="M1" t="s">
        <v>8316</v>
      </c>
      <c r="N1" t="s">
        <v>8317</v>
      </c>
      <c r="O1" t="s">
        <v>8318</v>
      </c>
      <c r="P1" t="s">
        <v>8319</v>
      </c>
      <c r="Q1" t="s">
        <v>8320</v>
      </c>
      <c r="R1" t="s">
        <v>8321</v>
      </c>
      <c r="S1" t="s">
        <v>8322</v>
      </c>
      <c r="T1" t="s">
        <v>8323</v>
      </c>
      <c r="U1" t="s">
        <v>8324</v>
      </c>
      <c r="V1" t="s">
        <v>8325</v>
      </c>
      <c r="W1" t="s">
        <v>8326</v>
      </c>
      <c r="X1" t="s">
        <v>8327</v>
      </c>
      <c r="Y1" t="s">
        <v>8328</v>
      </c>
      <c r="Z1" t="s">
        <v>8329</v>
      </c>
      <c r="AA1" t="s">
        <v>8330</v>
      </c>
      <c r="AB1" t="s">
        <v>8331</v>
      </c>
      <c r="AC1" t="s">
        <v>8332</v>
      </c>
      <c r="AD1" t="s">
        <v>8333</v>
      </c>
      <c r="AE1" t="s">
        <v>8334</v>
      </c>
      <c r="AF1" t="s">
        <v>8335</v>
      </c>
      <c r="AG1" t="s">
        <v>8336</v>
      </c>
      <c r="AH1" t="s">
        <v>8337</v>
      </c>
      <c r="AI1" t="s">
        <v>8338</v>
      </c>
      <c r="AJ1" t="s">
        <v>8339</v>
      </c>
      <c r="AK1" t="s">
        <v>8340</v>
      </c>
      <c r="AL1" t="s">
        <v>8341</v>
      </c>
      <c r="AM1" t="s">
        <v>8342</v>
      </c>
      <c r="AN1" t="s">
        <v>8343</v>
      </c>
      <c r="AO1" t="s">
        <v>8344</v>
      </c>
      <c r="AP1" t="s">
        <v>8345</v>
      </c>
      <c r="AQ1" t="s">
        <v>8346</v>
      </c>
      <c r="AR1" t="s">
        <v>8347</v>
      </c>
      <c r="AS1" t="s">
        <v>8348</v>
      </c>
      <c r="AT1" t="s">
        <v>8349</v>
      </c>
      <c r="AU1" t="s">
        <v>8350</v>
      </c>
      <c r="AV1" t="s">
        <v>8351</v>
      </c>
      <c r="AW1" t="s">
        <v>8352</v>
      </c>
      <c r="AX1" t="s">
        <v>8353</v>
      </c>
      <c r="AY1" t="s">
        <v>8354</v>
      </c>
      <c r="AZ1" t="s">
        <v>8355</v>
      </c>
      <c r="BA1" t="s">
        <v>8356</v>
      </c>
      <c r="BB1" t="s">
        <v>8357</v>
      </c>
      <c r="BC1" t="s">
        <v>8358</v>
      </c>
      <c r="BD1" t="s">
        <v>8359</v>
      </c>
      <c r="BE1" t="s">
        <v>8360</v>
      </c>
      <c r="BF1" t="s">
        <v>8361</v>
      </c>
      <c r="BG1" t="s">
        <v>8362</v>
      </c>
      <c r="BH1" t="s">
        <v>8363</v>
      </c>
      <c r="BI1" t="s">
        <v>8364</v>
      </c>
      <c r="BJ1" t="s">
        <v>8365</v>
      </c>
      <c r="BK1" t="s">
        <v>8366</v>
      </c>
      <c r="BL1" t="s">
        <v>8367</v>
      </c>
      <c r="BM1" t="s">
        <v>8368</v>
      </c>
      <c r="BN1" t="s">
        <v>8369</v>
      </c>
      <c r="BO1" t="s">
        <v>8370</v>
      </c>
      <c r="BP1" t="s">
        <v>8371</v>
      </c>
      <c r="BQ1" t="s">
        <v>8372</v>
      </c>
      <c r="BR1" t="s">
        <v>8373</v>
      </c>
      <c r="BS1" t="s">
        <v>8374</v>
      </c>
      <c r="BT1" t="s">
        <v>8375</v>
      </c>
      <c r="BU1" t="s">
        <v>8376</v>
      </c>
      <c r="BV1" t="s">
        <v>8377</v>
      </c>
      <c r="BW1" t="s">
        <v>8378</v>
      </c>
      <c r="BX1" t="s">
        <v>8379</v>
      </c>
      <c r="BY1" t="s">
        <v>8380</v>
      </c>
      <c r="BZ1" t="s">
        <v>8381</v>
      </c>
      <c r="CA1" t="s">
        <v>8382</v>
      </c>
      <c r="CB1" t="s">
        <v>8383</v>
      </c>
      <c r="CC1" t="s">
        <v>8384</v>
      </c>
      <c r="CD1" t="s">
        <v>8385</v>
      </c>
      <c r="CE1" t="s">
        <v>8386</v>
      </c>
      <c r="CF1" t="s">
        <v>8387</v>
      </c>
      <c r="CG1" t="s">
        <v>8388</v>
      </c>
      <c r="CH1" t="s">
        <v>8389</v>
      </c>
      <c r="CI1" t="s">
        <v>8390</v>
      </c>
      <c r="CJ1" t="s">
        <v>8391</v>
      </c>
      <c r="CK1" t="s">
        <v>8392</v>
      </c>
      <c r="CL1" t="s">
        <v>8393</v>
      </c>
      <c r="CM1" t="s">
        <v>8394</v>
      </c>
      <c r="CN1" t="s">
        <v>8395</v>
      </c>
      <c r="CO1" t="s">
        <v>8396</v>
      </c>
      <c r="CP1" t="s">
        <v>8397</v>
      </c>
      <c r="CQ1" t="s">
        <v>8398</v>
      </c>
      <c r="CR1" t="s">
        <v>8399</v>
      </c>
      <c r="CS1" t="s">
        <v>8400</v>
      </c>
      <c r="CT1" t="s">
        <v>8401</v>
      </c>
      <c r="CU1" t="s">
        <v>8402</v>
      </c>
      <c r="CV1" t="s">
        <v>8403</v>
      </c>
      <c r="CW1" t="s">
        <v>8404</v>
      </c>
      <c r="CX1" t="s">
        <v>8405</v>
      </c>
      <c r="CY1" t="s">
        <v>8406</v>
      </c>
      <c r="CZ1" t="s">
        <v>8407</v>
      </c>
      <c r="DA1" t="s">
        <v>8408</v>
      </c>
      <c r="DB1" t="s">
        <v>8409</v>
      </c>
      <c r="DC1" t="s">
        <v>8410</v>
      </c>
      <c r="DD1" t="s">
        <v>8411</v>
      </c>
      <c r="DE1" t="s">
        <v>8412</v>
      </c>
      <c r="DF1" t="s">
        <v>8413</v>
      </c>
      <c r="DG1" t="s">
        <v>8414</v>
      </c>
      <c r="DH1" t="s">
        <v>8415</v>
      </c>
      <c r="DI1" t="s">
        <v>8416</v>
      </c>
      <c r="DJ1" t="s">
        <v>8417</v>
      </c>
      <c r="DK1" t="s">
        <v>8418</v>
      </c>
      <c r="DL1" t="s">
        <v>8419</v>
      </c>
      <c r="DM1" t="s">
        <v>8420</v>
      </c>
      <c r="DN1" t="s">
        <v>8421</v>
      </c>
      <c r="DO1" t="s">
        <v>8422</v>
      </c>
      <c r="DP1" t="s">
        <v>8423</v>
      </c>
      <c r="DQ1" t="s">
        <v>8424</v>
      </c>
      <c r="DR1" t="s">
        <v>8425</v>
      </c>
      <c r="DS1" t="s">
        <v>8426</v>
      </c>
      <c r="DT1" t="s">
        <v>8427</v>
      </c>
      <c r="DU1" t="s">
        <v>8428</v>
      </c>
      <c r="DV1" t="s">
        <v>8429</v>
      </c>
      <c r="DW1" t="s">
        <v>8430</v>
      </c>
      <c r="DX1" t="s">
        <v>8431</v>
      </c>
      <c r="DY1" t="s">
        <v>8432</v>
      </c>
      <c r="DZ1" t="s">
        <v>8433</v>
      </c>
      <c r="EA1" t="s">
        <v>8434</v>
      </c>
      <c r="EB1" t="s">
        <v>8435</v>
      </c>
      <c r="EC1" t="s">
        <v>8436</v>
      </c>
      <c r="ED1" t="s">
        <v>8437</v>
      </c>
      <c r="EE1" t="s">
        <v>8438</v>
      </c>
      <c r="EF1" t="s">
        <v>8439</v>
      </c>
      <c r="EG1" t="s">
        <v>8440</v>
      </c>
      <c r="EH1" t="s">
        <v>8441</v>
      </c>
      <c r="EI1" t="s">
        <v>8442</v>
      </c>
      <c r="EJ1" t="s">
        <v>8443</v>
      </c>
      <c r="EK1" t="s">
        <v>8444</v>
      </c>
      <c r="EL1" t="s">
        <v>8445</v>
      </c>
      <c r="EM1" t="s">
        <v>8446</v>
      </c>
      <c r="EN1" t="s">
        <v>8447</v>
      </c>
      <c r="EO1" t="s">
        <v>8448</v>
      </c>
      <c r="EP1" t="s">
        <v>8449</v>
      </c>
      <c r="EQ1" t="s">
        <v>8450</v>
      </c>
      <c r="ER1" t="s">
        <v>8451</v>
      </c>
      <c r="ES1" t="s">
        <v>8452</v>
      </c>
      <c r="ET1" t="s">
        <v>8453</v>
      </c>
      <c r="EU1" t="s">
        <v>8454</v>
      </c>
      <c r="EV1" t="s">
        <v>8455</v>
      </c>
      <c r="EW1" t="s">
        <v>8456</v>
      </c>
      <c r="EX1" t="s">
        <v>8457</v>
      </c>
      <c r="EY1" t="s">
        <v>8458</v>
      </c>
      <c r="EZ1" t="s">
        <v>8459</v>
      </c>
      <c r="FA1" t="s">
        <v>8460</v>
      </c>
      <c r="FB1" t="s">
        <v>8461</v>
      </c>
      <c r="FC1" t="s">
        <v>8462</v>
      </c>
      <c r="FD1" t="s">
        <v>8463</v>
      </c>
      <c r="FE1" t="s">
        <v>8464</v>
      </c>
      <c r="FF1" t="s">
        <v>8465</v>
      </c>
      <c r="FG1" t="s">
        <v>8466</v>
      </c>
      <c r="FH1" t="s">
        <v>8467</v>
      </c>
      <c r="FI1" t="s">
        <v>8468</v>
      </c>
      <c r="FJ1" t="s">
        <v>8469</v>
      </c>
      <c r="FK1" t="s">
        <v>8470</v>
      </c>
      <c r="FL1" t="s">
        <v>8471</v>
      </c>
      <c r="FM1" t="s">
        <v>8472</v>
      </c>
      <c r="FN1" t="s">
        <v>8473</v>
      </c>
      <c r="FO1" t="s">
        <v>8474</v>
      </c>
      <c r="FP1" t="s">
        <v>8475</v>
      </c>
      <c r="FQ1" t="s">
        <v>8476</v>
      </c>
      <c r="FR1" t="s">
        <v>8477</v>
      </c>
      <c r="FS1" t="s">
        <v>8478</v>
      </c>
      <c r="FT1" t="s">
        <v>8479</v>
      </c>
      <c r="FU1" t="s">
        <v>8480</v>
      </c>
      <c r="FV1" t="s">
        <v>8481</v>
      </c>
      <c r="FW1" t="s">
        <v>8482</v>
      </c>
      <c r="FX1" t="s">
        <v>8483</v>
      </c>
      <c r="FY1" t="s">
        <v>8484</v>
      </c>
      <c r="FZ1" t="s">
        <v>8485</v>
      </c>
      <c r="GA1" t="s">
        <v>8486</v>
      </c>
      <c r="GB1" t="s">
        <v>8487</v>
      </c>
      <c r="GC1" t="s">
        <v>8488</v>
      </c>
      <c r="GD1" t="s">
        <v>8489</v>
      </c>
      <c r="GE1" t="s">
        <v>8490</v>
      </c>
      <c r="GF1" t="s">
        <v>8491</v>
      </c>
      <c r="GG1" t="s">
        <v>8492</v>
      </c>
      <c r="GH1" t="s">
        <v>8493</v>
      </c>
      <c r="GI1" t="s">
        <v>8494</v>
      </c>
      <c r="GJ1" t="s">
        <v>8495</v>
      </c>
      <c r="GK1" t="s">
        <v>8496</v>
      </c>
      <c r="GL1" t="s">
        <v>8497</v>
      </c>
      <c r="GM1" t="s">
        <v>8498</v>
      </c>
      <c r="GN1" t="s">
        <v>8499</v>
      </c>
      <c r="GO1" t="s">
        <v>8500</v>
      </c>
      <c r="GP1" t="s">
        <v>8501</v>
      </c>
      <c r="GQ1" t="s">
        <v>8502</v>
      </c>
      <c r="GR1" t="s">
        <v>8503</v>
      </c>
      <c r="GS1" t="s">
        <v>8504</v>
      </c>
      <c r="GT1" t="s">
        <v>8505</v>
      </c>
      <c r="GU1" t="s">
        <v>8506</v>
      </c>
      <c r="GV1" t="s">
        <v>8507</v>
      </c>
      <c r="GW1" t="s">
        <v>8508</v>
      </c>
      <c r="GX1" t="s">
        <v>8509</v>
      </c>
      <c r="GY1" t="s">
        <v>8510</v>
      </c>
      <c r="GZ1" t="s">
        <v>8511</v>
      </c>
      <c r="HA1" t="s">
        <v>8512</v>
      </c>
      <c r="HB1" t="s">
        <v>8513</v>
      </c>
      <c r="HC1" t="s">
        <v>8514</v>
      </c>
      <c r="HD1" t="s">
        <v>8515</v>
      </c>
      <c r="HE1" t="s">
        <v>8516</v>
      </c>
      <c r="HF1" t="s">
        <v>8517</v>
      </c>
      <c r="HG1" t="s">
        <v>8518</v>
      </c>
      <c r="HH1" t="s">
        <v>8519</v>
      </c>
      <c r="HI1" t="s">
        <v>8520</v>
      </c>
      <c r="HJ1" t="s">
        <v>8521</v>
      </c>
      <c r="HK1" t="s">
        <v>8522</v>
      </c>
      <c r="HL1" t="s">
        <v>8523</v>
      </c>
      <c r="HM1" t="s">
        <v>8524</v>
      </c>
      <c r="HN1" t="s">
        <v>8525</v>
      </c>
      <c r="HO1" t="s">
        <v>8526</v>
      </c>
      <c r="HP1" t="s">
        <v>8527</v>
      </c>
      <c r="HQ1" t="s">
        <v>8528</v>
      </c>
      <c r="HR1" t="s">
        <v>8529</v>
      </c>
      <c r="HS1" t="s">
        <v>8530</v>
      </c>
      <c r="HT1" t="s">
        <v>8531</v>
      </c>
      <c r="HU1" t="s">
        <v>8532</v>
      </c>
      <c r="HV1" t="s">
        <v>8533</v>
      </c>
      <c r="HW1" t="s">
        <v>8534</v>
      </c>
      <c r="HX1" t="s">
        <v>8535</v>
      </c>
      <c r="HY1" t="s">
        <v>8536</v>
      </c>
      <c r="HZ1" t="s">
        <v>8537</v>
      </c>
      <c r="IA1" t="s">
        <v>8538</v>
      </c>
      <c r="IB1" t="s">
        <v>8539</v>
      </c>
      <c r="IC1" t="s">
        <v>8540</v>
      </c>
      <c r="ID1" t="s">
        <v>8541</v>
      </c>
      <c r="IE1" t="s">
        <v>8542</v>
      </c>
      <c r="IF1" t="s">
        <v>8543</v>
      </c>
      <c r="IG1" t="s">
        <v>8544</v>
      </c>
      <c r="IH1" t="s">
        <v>8545</v>
      </c>
      <c r="II1" t="s">
        <v>8546</v>
      </c>
      <c r="IJ1" t="s">
        <v>8547</v>
      </c>
      <c r="IK1" t="s">
        <v>8548</v>
      </c>
      <c r="IL1" t="s">
        <v>8549</v>
      </c>
      <c r="IM1" t="s">
        <v>8550</v>
      </c>
      <c r="IN1" t="s">
        <v>8551</v>
      </c>
      <c r="IO1" t="s">
        <v>8552</v>
      </c>
      <c r="IP1" t="s">
        <v>8553</v>
      </c>
      <c r="IQ1" t="s">
        <v>8554</v>
      </c>
      <c r="IR1" t="s">
        <v>8555</v>
      </c>
      <c r="IS1" t="s">
        <v>8556</v>
      </c>
      <c r="IT1" t="s">
        <v>8557</v>
      </c>
      <c r="IU1" t="s">
        <v>8558</v>
      </c>
      <c r="IV1" t="s">
        <v>8559</v>
      </c>
    </row>
    <row r="2" spans="1:256" x14ac:dyDescent="0.25">
      <c r="A2" t="s">
        <v>8560</v>
      </c>
      <c r="B2" t="s">
        <v>8561</v>
      </c>
      <c r="C2" t="s">
        <v>8562</v>
      </c>
      <c r="D2" t="s">
        <v>8563</v>
      </c>
      <c r="E2" t="s">
        <v>8564</v>
      </c>
      <c r="F2" t="s">
        <v>8565</v>
      </c>
      <c r="G2" t="s">
        <v>8566</v>
      </c>
      <c r="H2" t="s">
        <v>8567</v>
      </c>
      <c r="I2" t="s">
        <v>8568</v>
      </c>
      <c r="J2" t="s">
        <v>8569</v>
      </c>
      <c r="K2" t="s">
        <v>8570</v>
      </c>
      <c r="L2" t="s">
        <v>8571</v>
      </c>
      <c r="M2" t="s">
        <v>8572</v>
      </c>
      <c r="N2" t="s">
        <v>8573</v>
      </c>
      <c r="O2" t="s">
        <v>8574</v>
      </c>
      <c r="P2" t="s">
        <v>8575</v>
      </c>
      <c r="Q2" t="s">
        <v>8576</v>
      </c>
      <c r="R2" t="s">
        <v>8577</v>
      </c>
      <c r="S2" t="s">
        <v>8578</v>
      </c>
      <c r="T2" t="s">
        <v>8579</v>
      </c>
      <c r="U2" t="s">
        <v>8580</v>
      </c>
      <c r="V2" t="s">
        <v>8581</v>
      </c>
      <c r="W2" t="s">
        <v>8582</v>
      </c>
      <c r="X2" t="s">
        <v>8583</v>
      </c>
      <c r="Y2" t="s">
        <v>8584</v>
      </c>
      <c r="Z2" t="s">
        <v>8585</v>
      </c>
      <c r="AA2" t="s">
        <v>8586</v>
      </c>
      <c r="AB2" t="s">
        <v>8587</v>
      </c>
      <c r="AC2" t="s">
        <v>8588</v>
      </c>
      <c r="AD2" t="s">
        <v>8589</v>
      </c>
      <c r="AE2" t="s">
        <v>8590</v>
      </c>
      <c r="AF2" t="s">
        <v>8591</v>
      </c>
      <c r="AG2" t="s">
        <v>8592</v>
      </c>
      <c r="AH2" t="s">
        <v>8593</v>
      </c>
      <c r="AI2" t="s">
        <v>8594</v>
      </c>
      <c r="AJ2" t="s">
        <v>8595</v>
      </c>
      <c r="AK2" t="s">
        <v>8596</v>
      </c>
      <c r="AL2" t="s">
        <v>8597</v>
      </c>
      <c r="AM2" t="s">
        <v>8598</v>
      </c>
      <c r="AN2" t="s">
        <v>8599</v>
      </c>
      <c r="AO2" t="s">
        <v>8600</v>
      </c>
      <c r="AP2" t="s">
        <v>8601</v>
      </c>
      <c r="AQ2" t="s">
        <v>8602</v>
      </c>
      <c r="AR2" t="s">
        <v>8603</v>
      </c>
      <c r="AS2" t="s">
        <v>8604</v>
      </c>
      <c r="AT2" t="s">
        <v>8605</v>
      </c>
      <c r="AU2" t="s">
        <v>8606</v>
      </c>
      <c r="AV2" t="s">
        <v>8607</v>
      </c>
      <c r="AW2" t="s">
        <v>8608</v>
      </c>
      <c r="AX2" t="s">
        <v>8609</v>
      </c>
      <c r="AY2" t="s">
        <v>8610</v>
      </c>
      <c r="AZ2" t="s">
        <v>8611</v>
      </c>
      <c r="BA2" t="s">
        <v>8612</v>
      </c>
      <c r="BB2" t="s">
        <v>8613</v>
      </c>
      <c r="BC2" t="s">
        <v>8614</v>
      </c>
      <c r="BD2" t="s">
        <v>8615</v>
      </c>
      <c r="BE2" t="s">
        <v>8616</v>
      </c>
      <c r="BF2" t="s">
        <v>8617</v>
      </c>
      <c r="BG2" t="s">
        <v>8618</v>
      </c>
      <c r="BH2" t="s">
        <v>8619</v>
      </c>
      <c r="BI2" t="s">
        <v>8620</v>
      </c>
      <c r="BJ2" t="s">
        <v>8621</v>
      </c>
      <c r="BK2" t="s">
        <v>8622</v>
      </c>
      <c r="BL2" t="s">
        <v>8623</v>
      </c>
      <c r="BM2" t="s">
        <v>8624</v>
      </c>
      <c r="BN2" t="s">
        <v>8625</v>
      </c>
      <c r="BO2" t="s">
        <v>8626</v>
      </c>
      <c r="BP2" t="s">
        <v>8627</v>
      </c>
      <c r="BQ2" t="s">
        <v>8628</v>
      </c>
      <c r="BR2" t="s">
        <v>8629</v>
      </c>
      <c r="BS2" t="s">
        <v>8630</v>
      </c>
      <c r="BT2" t="s">
        <v>8631</v>
      </c>
      <c r="BU2" t="s">
        <v>8632</v>
      </c>
      <c r="BV2" t="s">
        <v>8633</v>
      </c>
      <c r="BW2" t="s">
        <v>8634</v>
      </c>
      <c r="BX2" t="s">
        <v>8635</v>
      </c>
      <c r="BY2" t="s">
        <v>8636</v>
      </c>
      <c r="BZ2" t="s">
        <v>8637</v>
      </c>
      <c r="CA2" t="s">
        <v>8638</v>
      </c>
      <c r="CB2" t="s">
        <v>8639</v>
      </c>
      <c r="CC2" t="s">
        <v>8640</v>
      </c>
      <c r="CD2" t="s">
        <v>8641</v>
      </c>
      <c r="CE2" t="s">
        <v>8642</v>
      </c>
      <c r="CF2" t="s">
        <v>8643</v>
      </c>
      <c r="CG2" t="s">
        <v>8644</v>
      </c>
      <c r="CH2" t="s">
        <v>8645</v>
      </c>
      <c r="CI2" t="s">
        <v>8646</v>
      </c>
      <c r="CJ2" t="s">
        <v>8647</v>
      </c>
      <c r="CK2" t="s">
        <v>8648</v>
      </c>
      <c r="CL2" t="s">
        <v>8649</v>
      </c>
      <c r="CM2" t="s">
        <v>8650</v>
      </c>
      <c r="CN2" t="s">
        <v>8651</v>
      </c>
      <c r="CO2" t="s">
        <v>8652</v>
      </c>
      <c r="CP2" t="s">
        <v>8653</v>
      </c>
      <c r="CQ2" t="s">
        <v>8654</v>
      </c>
      <c r="CR2" t="s">
        <v>8655</v>
      </c>
      <c r="CS2" t="s">
        <v>8656</v>
      </c>
      <c r="CT2" t="s">
        <v>8657</v>
      </c>
      <c r="CU2" t="s">
        <v>8658</v>
      </c>
      <c r="CV2" t="s">
        <v>8659</v>
      </c>
      <c r="CW2" t="s">
        <v>8660</v>
      </c>
      <c r="CX2" t="s">
        <v>8661</v>
      </c>
      <c r="CY2" t="s">
        <v>8662</v>
      </c>
      <c r="CZ2" t="s">
        <v>8663</v>
      </c>
      <c r="DA2" t="s">
        <v>8664</v>
      </c>
      <c r="DB2" t="s">
        <v>8665</v>
      </c>
      <c r="DC2" t="s">
        <v>8666</v>
      </c>
      <c r="DD2" t="s">
        <v>8667</v>
      </c>
      <c r="DE2" t="s">
        <v>8668</v>
      </c>
      <c r="DF2" t="s">
        <v>8669</v>
      </c>
      <c r="DG2" t="s">
        <v>8670</v>
      </c>
      <c r="DH2" t="s">
        <v>8671</v>
      </c>
      <c r="DI2" t="s">
        <v>8672</v>
      </c>
      <c r="DJ2" t="s">
        <v>8673</v>
      </c>
      <c r="DK2" t="s">
        <v>8674</v>
      </c>
      <c r="DL2" t="s">
        <v>8675</v>
      </c>
      <c r="DM2" t="s">
        <v>8676</v>
      </c>
      <c r="DN2" t="s">
        <v>8677</v>
      </c>
      <c r="DO2" t="s">
        <v>8678</v>
      </c>
      <c r="DP2" t="s">
        <v>8679</v>
      </c>
      <c r="DQ2" t="s">
        <v>8680</v>
      </c>
      <c r="DR2" t="s">
        <v>8681</v>
      </c>
      <c r="DS2" t="s">
        <v>8682</v>
      </c>
      <c r="DT2" t="s">
        <v>8683</v>
      </c>
      <c r="DU2" t="s">
        <v>8684</v>
      </c>
      <c r="DV2" t="s">
        <v>8685</v>
      </c>
      <c r="DW2" t="s">
        <v>8686</v>
      </c>
      <c r="DX2" t="s">
        <v>8687</v>
      </c>
      <c r="DY2" t="s">
        <v>8688</v>
      </c>
      <c r="DZ2" t="s">
        <v>8689</v>
      </c>
      <c r="EA2" t="s">
        <v>8690</v>
      </c>
      <c r="EB2" t="s">
        <v>8691</v>
      </c>
      <c r="EC2" t="s">
        <v>8692</v>
      </c>
      <c r="ED2" t="s">
        <v>8693</v>
      </c>
      <c r="EE2" t="s">
        <v>8694</v>
      </c>
      <c r="EF2" t="s">
        <v>8695</v>
      </c>
      <c r="EG2" t="s">
        <v>8696</v>
      </c>
      <c r="EH2" t="s">
        <v>8697</v>
      </c>
      <c r="EI2" t="s">
        <v>8698</v>
      </c>
      <c r="EJ2" t="s">
        <v>8699</v>
      </c>
      <c r="EK2" t="s">
        <v>8700</v>
      </c>
      <c r="EL2" t="s">
        <v>8701</v>
      </c>
      <c r="EM2" t="s">
        <v>8702</v>
      </c>
      <c r="EN2" t="s">
        <v>8703</v>
      </c>
      <c r="EO2" t="s">
        <v>8704</v>
      </c>
      <c r="EP2" t="s">
        <v>8705</v>
      </c>
      <c r="EQ2" t="s">
        <v>8706</v>
      </c>
      <c r="ER2" t="s">
        <v>8707</v>
      </c>
      <c r="ES2" t="s">
        <v>8708</v>
      </c>
      <c r="ET2" t="s">
        <v>8709</v>
      </c>
      <c r="EU2" t="s">
        <v>8710</v>
      </c>
      <c r="EV2" t="s">
        <v>8711</v>
      </c>
      <c r="EW2" t="s">
        <v>8712</v>
      </c>
      <c r="EX2" t="s">
        <v>8713</v>
      </c>
      <c r="EY2" t="s">
        <v>8714</v>
      </c>
      <c r="EZ2" t="s">
        <v>8715</v>
      </c>
      <c r="FA2" t="s">
        <v>8716</v>
      </c>
      <c r="FB2" t="s">
        <v>8717</v>
      </c>
      <c r="FC2" t="s">
        <v>8718</v>
      </c>
      <c r="FD2" t="s">
        <v>8719</v>
      </c>
      <c r="FE2" t="s">
        <v>8720</v>
      </c>
      <c r="FF2" t="s">
        <v>8721</v>
      </c>
      <c r="FG2" t="s">
        <v>8722</v>
      </c>
      <c r="FH2" t="s">
        <v>8723</v>
      </c>
      <c r="FI2" t="s">
        <v>8724</v>
      </c>
      <c r="FJ2" t="s">
        <v>8725</v>
      </c>
      <c r="FK2" t="s">
        <v>8726</v>
      </c>
      <c r="FL2" t="s">
        <v>8727</v>
      </c>
      <c r="FM2" t="s">
        <v>8728</v>
      </c>
      <c r="FN2" t="s">
        <v>8729</v>
      </c>
      <c r="FO2" t="s">
        <v>8730</v>
      </c>
      <c r="FP2" t="s">
        <v>8731</v>
      </c>
      <c r="FQ2" t="s">
        <v>8732</v>
      </c>
      <c r="FR2" t="s">
        <v>8733</v>
      </c>
      <c r="FS2" t="s">
        <v>8734</v>
      </c>
      <c r="FT2" t="s">
        <v>8735</v>
      </c>
      <c r="FU2" t="s">
        <v>8736</v>
      </c>
      <c r="FV2" t="s">
        <v>8737</v>
      </c>
      <c r="FW2" t="s">
        <v>8738</v>
      </c>
      <c r="FX2" t="s">
        <v>8739</v>
      </c>
      <c r="FY2" t="s">
        <v>8740</v>
      </c>
      <c r="FZ2" t="s">
        <v>8741</v>
      </c>
      <c r="GA2" t="s">
        <v>8742</v>
      </c>
      <c r="GB2" t="s">
        <v>8743</v>
      </c>
      <c r="GC2" t="s">
        <v>8744</v>
      </c>
      <c r="GD2" t="s">
        <v>8745</v>
      </c>
      <c r="GE2" t="s">
        <v>8746</v>
      </c>
      <c r="GF2" t="s">
        <v>8747</v>
      </c>
      <c r="GG2" t="s">
        <v>8748</v>
      </c>
      <c r="GH2" t="s">
        <v>8749</v>
      </c>
      <c r="GI2" t="s">
        <v>8750</v>
      </c>
      <c r="GJ2" t="s">
        <v>8751</v>
      </c>
      <c r="GK2" t="s">
        <v>8752</v>
      </c>
      <c r="GL2" t="s">
        <v>8753</v>
      </c>
      <c r="GM2" t="s">
        <v>8754</v>
      </c>
      <c r="GN2" t="s">
        <v>8755</v>
      </c>
      <c r="GO2" t="s">
        <v>8756</v>
      </c>
      <c r="GP2" t="s">
        <v>8757</v>
      </c>
      <c r="GQ2" t="s">
        <v>8758</v>
      </c>
      <c r="GR2" t="s">
        <v>8759</v>
      </c>
      <c r="GS2" t="s">
        <v>8760</v>
      </c>
      <c r="GT2" t="s">
        <v>8761</v>
      </c>
      <c r="GU2" t="s">
        <v>8762</v>
      </c>
      <c r="GV2" t="s">
        <v>8763</v>
      </c>
      <c r="GW2" t="s">
        <v>8764</v>
      </c>
      <c r="GX2" t="s">
        <v>8765</v>
      </c>
      <c r="GY2" t="s">
        <v>8766</v>
      </c>
      <c r="GZ2" t="s">
        <v>8767</v>
      </c>
      <c r="HA2" t="s">
        <v>8768</v>
      </c>
      <c r="HB2" t="s">
        <v>8769</v>
      </c>
      <c r="HC2" t="s">
        <v>8770</v>
      </c>
      <c r="HD2" t="s">
        <v>8771</v>
      </c>
      <c r="HE2" t="s">
        <v>8772</v>
      </c>
      <c r="HF2" t="s">
        <v>8773</v>
      </c>
      <c r="HG2" t="s">
        <v>8774</v>
      </c>
      <c r="HH2" t="s">
        <v>8775</v>
      </c>
      <c r="HI2" t="s">
        <v>8776</v>
      </c>
      <c r="HJ2" t="s">
        <v>8777</v>
      </c>
      <c r="HK2" t="s">
        <v>8778</v>
      </c>
      <c r="HL2" t="s">
        <v>8779</v>
      </c>
      <c r="HM2" t="s">
        <v>8780</v>
      </c>
      <c r="HN2" t="s">
        <v>8781</v>
      </c>
      <c r="HO2" t="s">
        <v>8782</v>
      </c>
      <c r="HP2" t="s">
        <v>8783</v>
      </c>
      <c r="HQ2" t="s">
        <v>8784</v>
      </c>
      <c r="HR2" t="s">
        <v>8785</v>
      </c>
      <c r="HS2" t="s">
        <v>8786</v>
      </c>
      <c r="HT2" t="s">
        <v>8787</v>
      </c>
      <c r="HU2" t="s">
        <v>8788</v>
      </c>
      <c r="HV2" t="s">
        <v>8789</v>
      </c>
      <c r="HW2" t="s">
        <v>8790</v>
      </c>
      <c r="HX2" t="s">
        <v>8791</v>
      </c>
      <c r="HY2" t="s">
        <v>8792</v>
      </c>
      <c r="HZ2" t="s">
        <v>8793</v>
      </c>
      <c r="IA2" t="s">
        <v>8794</v>
      </c>
      <c r="IB2" t="s">
        <v>8795</v>
      </c>
      <c r="IC2" t="s">
        <v>8796</v>
      </c>
      <c r="ID2" t="s">
        <v>8797</v>
      </c>
      <c r="IE2" t="s">
        <v>8798</v>
      </c>
      <c r="IF2" t="s">
        <v>8799</v>
      </c>
      <c r="IG2" t="s">
        <v>8800</v>
      </c>
      <c r="IH2" t="s">
        <v>8801</v>
      </c>
      <c r="II2" t="s">
        <v>8802</v>
      </c>
      <c r="IJ2" t="s">
        <v>8803</v>
      </c>
      <c r="IK2" t="s">
        <v>8804</v>
      </c>
      <c r="IL2" t="s">
        <v>8805</v>
      </c>
      <c r="IM2" t="s">
        <v>8806</v>
      </c>
      <c r="IN2" t="s">
        <v>8807</v>
      </c>
      <c r="IO2" t="s">
        <v>8808</v>
      </c>
      <c r="IP2" t="s">
        <v>8809</v>
      </c>
      <c r="IQ2" t="s">
        <v>8810</v>
      </c>
      <c r="IR2" t="s">
        <v>8811</v>
      </c>
      <c r="IS2" t="s">
        <v>8812</v>
      </c>
      <c r="IT2" t="s">
        <v>8813</v>
      </c>
      <c r="IU2" t="s">
        <v>8814</v>
      </c>
      <c r="IV2" t="s">
        <v>8815</v>
      </c>
    </row>
    <row r="3" spans="1:256" x14ac:dyDescent="0.25">
      <c r="A3" t="s">
        <v>8816</v>
      </c>
      <c r="B3" t="s">
        <v>8817</v>
      </c>
      <c r="C3" t="s">
        <v>8818</v>
      </c>
      <c r="D3" t="s">
        <v>8819</v>
      </c>
      <c r="E3" t="s">
        <v>8820</v>
      </c>
      <c r="F3" t="s">
        <v>8821</v>
      </c>
      <c r="G3" t="s">
        <v>8822</v>
      </c>
      <c r="H3" t="s">
        <v>8823</v>
      </c>
      <c r="I3" t="s">
        <v>8824</v>
      </c>
      <c r="J3" t="s">
        <v>8825</v>
      </c>
      <c r="K3" t="s">
        <v>8826</v>
      </c>
      <c r="L3" t="s">
        <v>8827</v>
      </c>
      <c r="M3" t="s">
        <v>8828</v>
      </c>
      <c r="N3" t="s">
        <v>8829</v>
      </c>
      <c r="O3" t="s">
        <v>8830</v>
      </c>
      <c r="P3" t="s">
        <v>8831</v>
      </c>
      <c r="Q3" t="s">
        <v>8832</v>
      </c>
      <c r="R3" t="s">
        <v>8833</v>
      </c>
      <c r="S3" t="s">
        <v>8834</v>
      </c>
      <c r="T3" t="s">
        <v>8835</v>
      </c>
      <c r="U3" t="s">
        <v>8836</v>
      </c>
      <c r="V3" t="s">
        <v>8837</v>
      </c>
      <c r="W3" t="s">
        <v>8838</v>
      </c>
      <c r="X3" t="s">
        <v>8839</v>
      </c>
      <c r="Y3" t="s">
        <v>8840</v>
      </c>
      <c r="Z3" t="s">
        <v>8841</v>
      </c>
      <c r="AA3" t="s">
        <v>8842</v>
      </c>
      <c r="AB3" t="s">
        <v>8843</v>
      </c>
      <c r="AC3" t="s">
        <v>8844</v>
      </c>
      <c r="AD3" t="s">
        <v>8845</v>
      </c>
      <c r="AE3" t="s">
        <v>8846</v>
      </c>
      <c r="AF3" t="s">
        <v>8847</v>
      </c>
      <c r="AG3" t="s">
        <v>8848</v>
      </c>
      <c r="AH3" t="s">
        <v>8849</v>
      </c>
      <c r="AI3" t="s">
        <v>8850</v>
      </c>
      <c r="AJ3" t="s">
        <v>8851</v>
      </c>
      <c r="AK3" t="s">
        <v>8852</v>
      </c>
      <c r="AL3" t="s">
        <v>8853</v>
      </c>
      <c r="AM3" t="s">
        <v>8854</v>
      </c>
      <c r="AN3" t="s">
        <v>8855</v>
      </c>
      <c r="AO3" t="s">
        <v>8856</v>
      </c>
      <c r="AP3" t="s">
        <v>8857</v>
      </c>
      <c r="AQ3" t="s">
        <v>8858</v>
      </c>
      <c r="AR3" t="s">
        <v>8859</v>
      </c>
      <c r="AS3" t="s">
        <v>8860</v>
      </c>
      <c r="AT3" t="s">
        <v>8861</v>
      </c>
      <c r="AU3" t="s">
        <v>8862</v>
      </c>
      <c r="AV3" t="s">
        <v>8863</v>
      </c>
      <c r="AW3" t="s">
        <v>8864</v>
      </c>
      <c r="AX3" t="s">
        <v>8865</v>
      </c>
      <c r="AY3" t="s">
        <v>8866</v>
      </c>
      <c r="AZ3" t="s">
        <v>8867</v>
      </c>
      <c r="BA3" t="s">
        <v>8868</v>
      </c>
      <c r="BB3" t="s">
        <v>8869</v>
      </c>
      <c r="BC3" t="s">
        <v>8870</v>
      </c>
      <c r="BD3" t="s">
        <v>8871</v>
      </c>
      <c r="BE3" t="s">
        <v>8872</v>
      </c>
      <c r="BF3" t="s">
        <v>8873</v>
      </c>
      <c r="BG3" t="s">
        <v>8874</v>
      </c>
      <c r="BH3" t="s">
        <v>8875</v>
      </c>
      <c r="BI3" t="s">
        <v>8876</v>
      </c>
      <c r="BJ3" t="s">
        <v>8877</v>
      </c>
      <c r="BK3" t="s">
        <v>8878</v>
      </c>
      <c r="BL3" t="s">
        <v>8879</v>
      </c>
      <c r="BM3" t="s">
        <v>8880</v>
      </c>
      <c r="BN3" t="s">
        <v>8881</v>
      </c>
      <c r="BO3" t="s">
        <v>8882</v>
      </c>
      <c r="BP3" t="s">
        <v>8883</v>
      </c>
      <c r="BQ3" t="s">
        <v>8884</v>
      </c>
      <c r="BR3" t="s">
        <v>8885</v>
      </c>
      <c r="BS3" t="s">
        <v>8886</v>
      </c>
      <c r="BT3" t="s">
        <v>8887</v>
      </c>
      <c r="BU3" t="s">
        <v>8888</v>
      </c>
      <c r="BV3" t="s">
        <v>8889</v>
      </c>
      <c r="BW3" t="s">
        <v>8890</v>
      </c>
      <c r="BX3" t="s">
        <v>8891</v>
      </c>
      <c r="BY3" t="s">
        <v>8892</v>
      </c>
      <c r="BZ3" t="s">
        <v>8893</v>
      </c>
      <c r="CA3" t="s">
        <v>8894</v>
      </c>
      <c r="CB3" t="s">
        <v>8895</v>
      </c>
      <c r="CC3" t="s">
        <v>8896</v>
      </c>
      <c r="CD3" t="s">
        <v>8897</v>
      </c>
      <c r="CE3" t="s">
        <v>8898</v>
      </c>
      <c r="CF3" t="s">
        <v>8899</v>
      </c>
      <c r="CG3" t="s">
        <v>8900</v>
      </c>
      <c r="CH3" t="s">
        <v>8901</v>
      </c>
      <c r="CI3" t="s">
        <v>8902</v>
      </c>
      <c r="CJ3" t="s">
        <v>8903</v>
      </c>
      <c r="CK3" t="s">
        <v>8904</v>
      </c>
      <c r="CL3" t="s">
        <v>8905</v>
      </c>
      <c r="CM3" t="s">
        <v>8906</v>
      </c>
      <c r="CN3" t="s">
        <v>8907</v>
      </c>
      <c r="CO3" t="s">
        <v>8908</v>
      </c>
      <c r="CP3" t="s">
        <v>8909</v>
      </c>
      <c r="CQ3" t="s">
        <v>8910</v>
      </c>
      <c r="CR3" t="s">
        <v>8911</v>
      </c>
      <c r="CS3" t="s">
        <v>8912</v>
      </c>
      <c r="CT3" t="s">
        <v>8913</v>
      </c>
      <c r="CU3" t="s">
        <v>8914</v>
      </c>
      <c r="CV3" t="s">
        <v>8915</v>
      </c>
      <c r="CW3" t="s">
        <v>8916</v>
      </c>
      <c r="CX3" t="s">
        <v>8917</v>
      </c>
      <c r="CY3" t="s">
        <v>8918</v>
      </c>
      <c r="CZ3" t="s">
        <v>8919</v>
      </c>
      <c r="DA3" t="s">
        <v>8920</v>
      </c>
      <c r="DB3" t="s">
        <v>8921</v>
      </c>
      <c r="DC3" t="s">
        <v>8922</v>
      </c>
      <c r="DD3" t="s">
        <v>8923</v>
      </c>
      <c r="DE3" t="s">
        <v>8924</v>
      </c>
      <c r="DF3" t="s">
        <v>8925</v>
      </c>
      <c r="DG3" t="s">
        <v>8926</v>
      </c>
      <c r="DH3" t="s">
        <v>8927</v>
      </c>
      <c r="DI3" t="s">
        <v>8928</v>
      </c>
      <c r="DJ3" t="s">
        <v>8929</v>
      </c>
      <c r="DK3" t="s">
        <v>8930</v>
      </c>
      <c r="DL3" t="s">
        <v>8931</v>
      </c>
      <c r="DM3" t="s">
        <v>8932</v>
      </c>
      <c r="DN3" t="s">
        <v>8933</v>
      </c>
      <c r="DO3" t="s">
        <v>8934</v>
      </c>
      <c r="DP3" t="s">
        <v>8935</v>
      </c>
      <c r="DQ3" t="s">
        <v>8936</v>
      </c>
      <c r="DR3" t="s">
        <v>8937</v>
      </c>
      <c r="DS3" t="s">
        <v>8938</v>
      </c>
      <c r="DT3" t="s">
        <v>8939</v>
      </c>
      <c r="DU3" t="s">
        <v>8940</v>
      </c>
      <c r="DV3" t="s">
        <v>8941</v>
      </c>
      <c r="DW3" t="s">
        <v>8942</v>
      </c>
      <c r="DX3" t="s">
        <v>8943</v>
      </c>
      <c r="DY3" t="s">
        <v>8944</v>
      </c>
      <c r="DZ3" t="s">
        <v>8945</v>
      </c>
      <c r="EA3" t="s">
        <v>8946</v>
      </c>
      <c r="EB3" t="s">
        <v>8947</v>
      </c>
      <c r="EC3" t="s">
        <v>8948</v>
      </c>
      <c r="ED3" t="s">
        <v>8949</v>
      </c>
      <c r="EE3" t="s">
        <v>8950</v>
      </c>
      <c r="EF3" t="s">
        <v>8951</v>
      </c>
      <c r="EG3" t="s">
        <v>8952</v>
      </c>
      <c r="EH3" t="s">
        <v>8953</v>
      </c>
      <c r="EI3" t="s">
        <v>8954</v>
      </c>
      <c r="EJ3" t="s">
        <v>8955</v>
      </c>
      <c r="EK3" t="s">
        <v>8956</v>
      </c>
      <c r="EL3" t="s">
        <v>8957</v>
      </c>
      <c r="EM3" t="s">
        <v>8958</v>
      </c>
      <c r="EN3" t="s">
        <v>8959</v>
      </c>
      <c r="EO3" t="s">
        <v>8960</v>
      </c>
      <c r="EP3" t="s">
        <v>8961</v>
      </c>
      <c r="EQ3" t="s">
        <v>8962</v>
      </c>
      <c r="ER3" t="s">
        <v>8963</v>
      </c>
      <c r="ES3" t="s">
        <v>8964</v>
      </c>
      <c r="ET3" t="s">
        <v>8965</v>
      </c>
      <c r="EU3" t="s">
        <v>8966</v>
      </c>
      <c r="EV3" t="s">
        <v>8967</v>
      </c>
      <c r="EW3" t="s">
        <v>8968</v>
      </c>
      <c r="EX3" t="s">
        <v>8969</v>
      </c>
      <c r="EY3" t="s">
        <v>8970</v>
      </c>
      <c r="EZ3" t="s">
        <v>8971</v>
      </c>
      <c r="FA3" t="s">
        <v>8972</v>
      </c>
      <c r="FB3" t="s">
        <v>8973</v>
      </c>
      <c r="FC3" t="s">
        <v>8974</v>
      </c>
      <c r="FD3" t="s">
        <v>8975</v>
      </c>
      <c r="FE3" t="s">
        <v>8976</v>
      </c>
      <c r="FF3" t="s">
        <v>8977</v>
      </c>
      <c r="FG3" t="s">
        <v>8978</v>
      </c>
      <c r="FH3" t="s">
        <v>8979</v>
      </c>
      <c r="FI3" t="s">
        <v>8980</v>
      </c>
      <c r="FJ3" t="s">
        <v>8981</v>
      </c>
      <c r="FK3" t="s">
        <v>8982</v>
      </c>
      <c r="FL3" t="s">
        <v>8983</v>
      </c>
      <c r="FM3" t="s">
        <v>8984</v>
      </c>
      <c r="FN3" t="s">
        <v>8985</v>
      </c>
      <c r="FO3" t="s">
        <v>8986</v>
      </c>
      <c r="FP3" t="s">
        <v>8987</v>
      </c>
      <c r="FQ3" t="s">
        <v>8988</v>
      </c>
      <c r="FR3" t="s">
        <v>8989</v>
      </c>
      <c r="FS3" t="s">
        <v>8990</v>
      </c>
      <c r="FT3" t="s">
        <v>8991</v>
      </c>
      <c r="FU3" t="s">
        <v>8992</v>
      </c>
      <c r="FV3" t="s">
        <v>8993</v>
      </c>
      <c r="FW3" t="s">
        <v>8994</v>
      </c>
      <c r="FX3" t="s">
        <v>8995</v>
      </c>
      <c r="FY3" t="s">
        <v>8996</v>
      </c>
      <c r="FZ3" t="s">
        <v>8997</v>
      </c>
      <c r="GA3" t="s">
        <v>8998</v>
      </c>
      <c r="GB3" t="s">
        <v>8999</v>
      </c>
      <c r="GC3" t="s">
        <v>9000</v>
      </c>
      <c r="GD3" t="s">
        <v>9001</v>
      </c>
      <c r="GE3" t="s">
        <v>9002</v>
      </c>
      <c r="GF3" t="s">
        <v>9003</v>
      </c>
      <c r="GG3" t="s">
        <v>9004</v>
      </c>
      <c r="GH3" t="s">
        <v>9005</v>
      </c>
      <c r="GI3" t="s">
        <v>9006</v>
      </c>
      <c r="GJ3" t="s">
        <v>9007</v>
      </c>
      <c r="GK3" t="s">
        <v>9008</v>
      </c>
      <c r="GL3" t="s">
        <v>9009</v>
      </c>
      <c r="GM3" t="s">
        <v>9010</v>
      </c>
      <c r="GN3" t="s">
        <v>9011</v>
      </c>
      <c r="GO3" t="s">
        <v>9012</v>
      </c>
      <c r="GP3" t="s">
        <v>9013</v>
      </c>
      <c r="GQ3" t="s">
        <v>9014</v>
      </c>
      <c r="GR3" t="s">
        <v>9015</v>
      </c>
      <c r="GS3" t="s">
        <v>9016</v>
      </c>
      <c r="GT3" t="s">
        <v>9017</v>
      </c>
      <c r="GU3" t="s">
        <v>9018</v>
      </c>
      <c r="GV3" t="s">
        <v>9019</v>
      </c>
      <c r="GW3" t="s">
        <v>9020</v>
      </c>
      <c r="GX3" t="s">
        <v>9021</v>
      </c>
      <c r="GY3" t="s">
        <v>9022</v>
      </c>
      <c r="GZ3" t="s">
        <v>9023</v>
      </c>
      <c r="HA3" t="s">
        <v>9024</v>
      </c>
      <c r="HB3" t="s">
        <v>9025</v>
      </c>
      <c r="HC3" t="s">
        <v>9026</v>
      </c>
      <c r="HD3" t="s">
        <v>9027</v>
      </c>
      <c r="HE3" t="s">
        <v>9028</v>
      </c>
      <c r="HF3" t="s">
        <v>9029</v>
      </c>
      <c r="HG3" t="s">
        <v>9030</v>
      </c>
      <c r="HH3" t="s">
        <v>9031</v>
      </c>
      <c r="HI3" t="s">
        <v>9032</v>
      </c>
      <c r="HJ3" t="s">
        <v>9033</v>
      </c>
      <c r="HK3" t="s">
        <v>9034</v>
      </c>
      <c r="HL3" t="s">
        <v>9035</v>
      </c>
      <c r="HM3" t="s">
        <v>9036</v>
      </c>
      <c r="HN3" t="s">
        <v>9037</v>
      </c>
      <c r="HO3" t="s">
        <v>9038</v>
      </c>
      <c r="HP3" t="s">
        <v>9039</v>
      </c>
      <c r="HQ3" t="s">
        <v>9040</v>
      </c>
      <c r="HR3" t="s">
        <v>9041</v>
      </c>
      <c r="HS3" t="s">
        <v>9042</v>
      </c>
      <c r="HT3" t="s">
        <v>9043</v>
      </c>
      <c r="HU3" t="s">
        <v>9044</v>
      </c>
      <c r="HV3" t="s">
        <v>9045</v>
      </c>
      <c r="HW3" t="s">
        <v>9046</v>
      </c>
      <c r="HX3" t="s">
        <v>9047</v>
      </c>
      <c r="HY3" t="s">
        <v>9048</v>
      </c>
      <c r="HZ3" t="s">
        <v>9049</v>
      </c>
      <c r="IA3" t="s">
        <v>9050</v>
      </c>
      <c r="IB3" t="s">
        <v>9051</v>
      </c>
      <c r="IC3" t="s">
        <v>9052</v>
      </c>
      <c r="ID3" t="s">
        <v>9053</v>
      </c>
      <c r="IE3" t="s">
        <v>9054</v>
      </c>
      <c r="IF3" t="s">
        <v>9055</v>
      </c>
      <c r="IG3" t="s">
        <v>9056</v>
      </c>
      <c r="IH3" t="s">
        <v>9057</v>
      </c>
      <c r="II3" t="s">
        <v>9058</v>
      </c>
      <c r="IJ3" t="s">
        <v>9059</v>
      </c>
      <c r="IK3" t="s">
        <v>9060</v>
      </c>
      <c r="IL3" t="s">
        <v>9061</v>
      </c>
      <c r="IM3" t="s">
        <v>9062</v>
      </c>
      <c r="IN3" t="s">
        <v>9063</v>
      </c>
      <c r="IO3" t="s">
        <v>9064</v>
      </c>
      <c r="IP3" t="s">
        <v>9065</v>
      </c>
      <c r="IQ3" t="s">
        <v>9066</v>
      </c>
      <c r="IR3" t="s">
        <v>9067</v>
      </c>
      <c r="IS3" t="s">
        <v>9068</v>
      </c>
      <c r="IT3" t="s">
        <v>9069</v>
      </c>
      <c r="IU3" t="s">
        <v>9070</v>
      </c>
      <c r="IV3" t="s">
        <v>9071</v>
      </c>
    </row>
    <row r="4" spans="1:256" x14ac:dyDescent="0.25">
      <c r="A4" t="s">
        <v>9072</v>
      </c>
      <c r="B4" t="s">
        <v>9073</v>
      </c>
      <c r="C4" t="s">
        <v>9074</v>
      </c>
      <c r="D4" t="s">
        <v>9075</v>
      </c>
      <c r="E4" t="s">
        <v>9076</v>
      </c>
      <c r="F4" t="s">
        <v>9077</v>
      </c>
      <c r="G4" t="s">
        <v>9078</v>
      </c>
      <c r="H4" t="s">
        <v>9079</v>
      </c>
      <c r="I4" t="s">
        <v>9080</v>
      </c>
      <c r="J4" t="s">
        <v>9081</v>
      </c>
      <c r="K4" t="s">
        <v>9082</v>
      </c>
      <c r="L4" t="s">
        <v>9083</v>
      </c>
      <c r="M4" t="s">
        <v>9084</v>
      </c>
      <c r="N4" t="s">
        <v>9085</v>
      </c>
      <c r="O4" t="s">
        <v>9086</v>
      </c>
      <c r="P4" t="s">
        <v>9087</v>
      </c>
      <c r="Q4" t="s">
        <v>9088</v>
      </c>
      <c r="R4" t="s">
        <v>9089</v>
      </c>
      <c r="S4" t="s">
        <v>9090</v>
      </c>
      <c r="T4" t="s">
        <v>9091</v>
      </c>
      <c r="U4" t="s">
        <v>9092</v>
      </c>
      <c r="V4" t="s">
        <v>9093</v>
      </c>
      <c r="W4" t="s">
        <v>9094</v>
      </c>
      <c r="X4" t="s">
        <v>9095</v>
      </c>
      <c r="Y4" t="s">
        <v>9096</v>
      </c>
      <c r="Z4" t="s">
        <v>9097</v>
      </c>
      <c r="AA4" t="s">
        <v>9098</v>
      </c>
      <c r="AB4" t="s">
        <v>9099</v>
      </c>
      <c r="AC4" t="s">
        <v>9100</v>
      </c>
      <c r="AD4" t="s">
        <v>9101</v>
      </c>
      <c r="AE4" t="s">
        <v>9102</v>
      </c>
      <c r="AF4" t="s">
        <v>9103</v>
      </c>
      <c r="AG4" t="s">
        <v>9104</v>
      </c>
      <c r="AH4" t="s">
        <v>9105</v>
      </c>
      <c r="AI4" t="s">
        <v>9106</v>
      </c>
      <c r="AJ4" t="s">
        <v>9107</v>
      </c>
      <c r="AK4" t="s">
        <v>9108</v>
      </c>
      <c r="AL4" t="s">
        <v>9109</v>
      </c>
      <c r="AM4" t="s">
        <v>9110</v>
      </c>
      <c r="AN4" t="s">
        <v>9111</v>
      </c>
      <c r="AO4" t="s">
        <v>9112</v>
      </c>
      <c r="AP4" t="s">
        <v>9113</v>
      </c>
      <c r="AQ4" t="s">
        <v>9114</v>
      </c>
      <c r="AR4" t="s">
        <v>9115</v>
      </c>
      <c r="AS4" t="s">
        <v>9116</v>
      </c>
      <c r="AT4" t="s">
        <v>9117</v>
      </c>
      <c r="AU4" t="s">
        <v>9118</v>
      </c>
      <c r="AV4" t="s">
        <v>9119</v>
      </c>
      <c r="AW4" t="s">
        <v>9120</v>
      </c>
      <c r="AX4" t="s">
        <v>9121</v>
      </c>
      <c r="AY4" t="s">
        <v>9122</v>
      </c>
      <c r="AZ4" t="s">
        <v>9123</v>
      </c>
      <c r="BA4" t="s">
        <v>9124</v>
      </c>
      <c r="BB4" t="s">
        <v>9125</v>
      </c>
      <c r="BC4" t="s">
        <v>9126</v>
      </c>
      <c r="BD4" t="s">
        <v>9127</v>
      </c>
      <c r="BE4" t="s">
        <v>9128</v>
      </c>
      <c r="BF4" t="s">
        <v>9129</v>
      </c>
      <c r="BG4" t="s">
        <v>9130</v>
      </c>
      <c r="BH4" t="s">
        <v>9131</v>
      </c>
      <c r="BI4" t="s">
        <v>9132</v>
      </c>
      <c r="BJ4" t="s">
        <v>9133</v>
      </c>
      <c r="BK4" t="s">
        <v>9134</v>
      </c>
      <c r="BL4" t="s">
        <v>9135</v>
      </c>
      <c r="BM4" t="s">
        <v>9136</v>
      </c>
      <c r="BN4" t="s">
        <v>9137</v>
      </c>
      <c r="BO4" t="s">
        <v>9138</v>
      </c>
      <c r="BP4" t="s">
        <v>9139</v>
      </c>
      <c r="BQ4" t="s">
        <v>9140</v>
      </c>
      <c r="BR4" t="s">
        <v>9141</v>
      </c>
      <c r="BS4" t="s">
        <v>9142</v>
      </c>
      <c r="BT4" t="s">
        <v>9143</v>
      </c>
      <c r="BU4" t="s">
        <v>9144</v>
      </c>
      <c r="BV4" t="s">
        <v>9145</v>
      </c>
      <c r="BW4" t="s">
        <v>9146</v>
      </c>
      <c r="BX4" t="s">
        <v>9147</v>
      </c>
      <c r="BY4" t="s">
        <v>9148</v>
      </c>
      <c r="BZ4" t="s">
        <v>9149</v>
      </c>
      <c r="CA4" t="s">
        <v>9150</v>
      </c>
      <c r="CB4" t="s">
        <v>9151</v>
      </c>
      <c r="CC4" t="s">
        <v>9152</v>
      </c>
      <c r="CD4" t="s">
        <v>9153</v>
      </c>
      <c r="CE4" t="s">
        <v>9154</v>
      </c>
      <c r="CF4" t="s">
        <v>9155</v>
      </c>
      <c r="CG4" t="s">
        <v>9156</v>
      </c>
      <c r="CH4" t="s">
        <v>9157</v>
      </c>
      <c r="CI4" t="s">
        <v>9158</v>
      </c>
      <c r="CJ4" t="s">
        <v>9159</v>
      </c>
      <c r="CK4" t="s">
        <v>9160</v>
      </c>
      <c r="CL4" t="s">
        <v>9161</v>
      </c>
      <c r="CM4" t="s">
        <v>9162</v>
      </c>
      <c r="CN4" t="s">
        <v>9163</v>
      </c>
      <c r="CO4" t="s">
        <v>9164</v>
      </c>
      <c r="CP4" t="s">
        <v>9165</v>
      </c>
      <c r="CQ4" t="s">
        <v>9166</v>
      </c>
      <c r="CR4" t="s">
        <v>9167</v>
      </c>
      <c r="CS4" t="s">
        <v>9168</v>
      </c>
      <c r="CT4" t="s">
        <v>9169</v>
      </c>
      <c r="CU4" t="s">
        <v>9170</v>
      </c>
      <c r="CV4" t="s">
        <v>9171</v>
      </c>
      <c r="CW4" t="s">
        <v>9172</v>
      </c>
      <c r="CX4" t="s">
        <v>9173</v>
      </c>
      <c r="CY4" t="s">
        <v>9174</v>
      </c>
      <c r="CZ4" t="s">
        <v>9175</v>
      </c>
      <c r="DA4" t="s">
        <v>9176</v>
      </c>
      <c r="DB4" t="s">
        <v>9177</v>
      </c>
      <c r="DC4" t="s">
        <v>9178</v>
      </c>
      <c r="DD4" t="s">
        <v>9179</v>
      </c>
      <c r="DE4" t="s">
        <v>9180</v>
      </c>
      <c r="DF4" t="s">
        <v>9181</v>
      </c>
      <c r="DG4" t="s">
        <v>9182</v>
      </c>
      <c r="DH4" t="s">
        <v>9183</v>
      </c>
      <c r="DI4" t="s">
        <v>9184</v>
      </c>
      <c r="DJ4" t="s">
        <v>9185</v>
      </c>
      <c r="DK4" t="s">
        <v>9186</v>
      </c>
      <c r="DL4" t="s">
        <v>9187</v>
      </c>
      <c r="DM4" t="s">
        <v>9188</v>
      </c>
      <c r="DN4" t="s">
        <v>9189</v>
      </c>
      <c r="DO4" t="s">
        <v>9190</v>
      </c>
      <c r="DP4" t="s">
        <v>9191</v>
      </c>
      <c r="DQ4" t="s">
        <v>9192</v>
      </c>
      <c r="DR4" t="s">
        <v>9193</v>
      </c>
      <c r="DS4" t="s">
        <v>9194</v>
      </c>
      <c r="DT4" t="s">
        <v>9195</v>
      </c>
      <c r="DU4" t="s">
        <v>9196</v>
      </c>
      <c r="DV4" t="s">
        <v>9197</v>
      </c>
      <c r="DW4" t="s">
        <v>9198</v>
      </c>
      <c r="DX4" t="s">
        <v>9199</v>
      </c>
      <c r="DY4" t="s">
        <v>9200</v>
      </c>
      <c r="DZ4" t="s">
        <v>9201</v>
      </c>
      <c r="EA4" t="s">
        <v>9202</v>
      </c>
      <c r="EB4" t="s">
        <v>9203</v>
      </c>
      <c r="EC4" t="s">
        <v>9204</v>
      </c>
      <c r="ED4" t="s">
        <v>9205</v>
      </c>
      <c r="EE4" t="s">
        <v>9206</v>
      </c>
      <c r="EF4" t="s">
        <v>9207</v>
      </c>
      <c r="EG4" t="s">
        <v>9208</v>
      </c>
      <c r="EH4" t="s">
        <v>9209</v>
      </c>
      <c r="EI4" t="s">
        <v>9210</v>
      </c>
      <c r="EJ4" t="s">
        <v>9211</v>
      </c>
      <c r="EK4" t="s">
        <v>9212</v>
      </c>
      <c r="EL4" t="s">
        <v>9213</v>
      </c>
      <c r="EM4" t="s">
        <v>9214</v>
      </c>
      <c r="EN4" t="s">
        <v>9215</v>
      </c>
      <c r="EO4" t="s">
        <v>9216</v>
      </c>
      <c r="EP4" t="s">
        <v>9217</v>
      </c>
      <c r="EQ4" t="s">
        <v>9218</v>
      </c>
      <c r="ER4" t="s">
        <v>9219</v>
      </c>
      <c r="ES4" t="s">
        <v>9220</v>
      </c>
      <c r="ET4" t="s">
        <v>9221</v>
      </c>
      <c r="EU4" t="s">
        <v>9222</v>
      </c>
      <c r="EV4" t="s">
        <v>9223</v>
      </c>
      <c r="EW4" t="s">
        <v>9224</v>
      </c>
      <c r="EX4" t="s">
        <v>9225</v>
      </c>
      <c r="EY4" t="s">
        <v>9226</v>
      </c>
      <c r="EZ4" t="s">
        <v>9227</v>
      </c>
      <c r="FA4" t="s">
        <v>9228</v>
      </c>
      <c r="FB4" t="s">
        <v>9229</v>
      </c>
      <c r="FC4" t="s">
        <v>9230</v>
      </c>
      <c r="FD4" t="s">
        <v>9231</v>
      </c>
      <c r="FE4" t="s">
        <v>9232</v>
      </c>
      <c r="FF4" t="s">
        <v>9233</v>
      </c>
      <c r="FG4" t="s">
        <v>9234</v>
      </c>
      <c r="FH4" t="s">
        <v>9235</v>
      </c>
      <c r="FI4" t="s">
        <v>9236</v>
      </c>
      <c r="FJ4" t="s">
        <v>9237</v>
      </c>
      <c r="FK4" t="s">
        <v>9238</v>
      </c>
      <c r="FL4" t="s">
        <v>9239</v>
      </c>
      <c r="FM4" t="s">
        <v>9240</v>
      </c>
      <c r="FN4" t="s">
        <v>9241</v>
      </c>
      <c r="FO4" t="s">
        <v>9242</v>
      </c>
      <c r="FP4" t="s">
        <v>9243</v>
      </c>
      <c r="FQ4" t="s">
        <v>9244</v>
      </c>
      <c r="FR4" t="s">
        <v>9245</v>
      </c>
      <c r="FS4" t="s">
        <v>9246</v>
      </c>
      <c r="FT4" t="s">
        <v>9247</v>
      </c>
      <c r="FU4" t="s">
        <v>9248</v>
      </c>
      <c r="FV4" t="s">
        <v>9249</v>
      </c>
      <c r="FW4" t="s">
        <v>9250</v>
      </c>
      <c r="FX4" t="s">
        <v>9251</v>
      </c>
      <c r="FY4" t="s">
        <v>9252</v>
      </c>
      <c r="FZ4" t="s">
        <v>9253</v>
      </c>
      <c r="GA4" t="s">
        <v>9254</v>
      </c>
      <c r="GB4" t="s">
        <v>9255</v>
      </c>
      <c r="GC4" t="s">
        <v>9256</v>
      </c>
      <c r="GD4" t="s">
        <v>9257</v>
      </c>
      <c r="GE4" t="s">
        <v>9258</v>
      </c>
      <c r="GF4" t="s">
        <v>9259</v>
      </c>
      <c r="GG4" t="s">
        <v>9260</v>
      </c>
      <c r="GH4" t="s">
        <v>9261</v>
      </c>
      <c r="GI4" t="s">
        <v>9262</v>
      </c>
      <c r="GJ4" t="s">
        <v>9263</v>
      </c>
      <c r="GK4" t="s">
        <v>9264</v>
      </c>
      <c r="GL4" t="s">
        <v>9265</v>
      </c>
      <c r="GM4" t="s">
        <v>9266</v>
      </c>
      <c r="GN4" t="s">
        <v>9267</v>
      </c>
      <c r="GO4" t="s">
        <v>9268</v>
      </c>
      <c r="GP4" t="s">
        <v>9269</v>
      </c>
      <c r="GQ4" t="s">
        <v>9270</v>
      </c>
      <c r="GR4" t="s">
        <v>9271</v>
      </c>
      <c r="GS4" t="s">
        <v>9272</v>
      </c>
      <c r="GT4" t="s">
        <v>9273</v>
      </c>
      <c r="GU4" t="s">
        <v>9274</v>
      </c>
      <c r="GV4" t="s">
        <v>9275</v>
      </c>
      <c r="GW4" t="s">
        <v>9276</v>
      </c>
      <c r="GX4" t="s">
        <v>9277</v>
      </c>
      <c r="GY4" t="s">
        <v>9278</v>
      </c>
      <c r="GZ4" t="s">
        <v>9279</v>
      </c>
      <c r="HA4" t="s">
        <v>9280</v>
      </c>
      <c r="HB4" t="s">
        <v>9281</v>
      </c>
      <c r="HC4" t="s">
        <v>9282</v>
      </c>
      <c r="HD4" t="s">
        <v>9283</v>
      </c>
      <c r="HE4" t="s">
        <v>9284</v>
      </c>
      <c r="HF4" t="s">
        <v>9285</v>
      </c>
      <c r="HG4" t="s">
        <v>9286</v>
      </c>
      <c r="HH4" t="s">
        <v>9287</v>
      </c>
      <c r="HI4" t="s">
        <v>9288</v>
      </c>
      <c r="HJ4" t="s">
        <v>9289</v>
      </c>
      <c r="HK4" t="s">
        <v>9290</v>
      </c>
      <c r="HL4" t="s">
        <v>9291</v>
      </c>
      <c r="HM4" t="s">
        <v>9292</v>
      </c>
      <c r="HN4" t="s">
        <v>9293</v>
      </c>
      <c r="HO4" t="s">
        <v>9294</v>
      </c>
      <c r="HP4" t="s">
        <v>9295</v>
      </c>
      <c r="HQ4" t="s">
        <v>9296</v>
      </c>
      <c r="HR4" t="s">
        <v>9297</v>
      </c>
      <c r="HS4" t="s">
        <v>9298</v>
      </c>
      <c r="HT4" t="s">
        <v>9299</v>
      </c>
      <c r="HU4" t="s">
        <v>9300</v>
      </c>
      <c r="HV4" t="s">
        <v>9301</v>
      </c>
      <c r="HW4" t="s">
        <v>9302</v>
      </c>
      <c r="HX4" t="s">
        <v>9303</v>
      </c>
      <c r="HY4" t="s">
        <v>9304</v>
      </c>
      <c r="HZ4" t="s">
        <v>9305</v>
      </c>
      <c r="IA4" t="s">
        <v>9306</v>
      </c>
      <c r="IB4" t="s">
        <v>9307</v>
      </c>
      <c r="IC4" t="s">
        <v>9308</v>
      </c>
      <c r="ID4" t="s">
        <v>9309</v>
      </c>
      <c r="IE4" t="s">
        <v>9310</v>
      </c>
      <c r="IF4" t="s">
        <v>9311</v>
      </c>
      <c r="IG4" t="s">
        <v>9312</v>
      </c>
      <c r="IH4" t="s">
        <v>9313</v>
      </c>
      <c r="II4" t="s">
        <v>9314</v>
      </c>
      <c r="IJ4" t="s">
        <v>9315</v>
      </c>
      <c r="IK4" t="s">
        <v>9316</v>
      </c>
      <c r="IL4" t="s">
        <v>9317</v>
      </c>
      <c r="IM4" t="s">
        <v>9318</v>
      </c>
      <c r="IN4" t="s">
        <v>9319</v>
      </c>
      <c r="IO4" t="s">
        <v>9320</v>
      </c>
      <c r="IP4" t="s">
        <v>9321</v>
      </c>
      <c r="IQ4" t="s">
        <v>9322</v>
      </c>
      <c r="IR4" t="s">
        <v>9323</v>
      </c>
      <c r="IS4" t="s">
        <v>9324</v>
      </c>
      <c r="IT4" t="s">
        <v>9325</v>
      </c>
      <c r="IU4" t="s">
        <v>9326</v>
      </c>
      <c r="IV4" t="s">
        <v>9327</v>
      </c>
    </row>
    <row r="5" spans="1:256" x14ac:dyDescent="0.25">
      <c r="A5" t="s">
        <v>9328</v>
      </c>
      <c r="B5" t="s">
        <v>9329</v>
      </c>
      <c r="C5" t="s">
        <v>9330</v>
      </c>
      <c r="D5" t="s">
        <v>9331</v>
      </c>
      <c r="E5" t="s">
        <v>9332</v>
      </c>
      <c r="F5" t="s">
        <v>9333</v>
      </c>
      <c r="G5" t="s">
        <v>9334</v>
      </c>
      <c r="H5" t="s">
        <v>9335</v>
      </c>
      <c r="I5" t="s">
        <v>9336</v>
      </c>
      <c r="J5" t="s">
        <v>9337</v>
      </c>
      <c r="K5" t="s">
        <v>9338</v>
      </c>
      <c r="L5" t="s">
        <v>9339</v>
      </c>
      <c r="M5" t="s">
        <v>9340</v>
      </c>
      <c r="N5" t="s">
        <v>9341</v>
      </c>
      <c r="O5" t="s">
        <v>9342</v>
      </c>
      <c r="P5" t="s">
        <v>9343</v>
      </c>
      <c r="Q5" t="s">
        <v>9344</v>
      </c>
      <c r="R5" t="s">
        <v>9345</v>
      </c>
      <c r="S5" t="s">
        <v>9346</v>
      </c>
      <c r="T5" t="s">
        <v>9347</v>
      </c>
      <c r="U5" t="s">
        <v>9348</v>
      </c>
      <c r="V5" t="s">
        <v>9349</v>
      </c>
      <c r="W5" t="s">
        <v>9350</v>
      </c>
      <c r="X5" t="s">
        <v>9351</v>
      </c>
      <c r="Y5" t="s">
        <v>9352</v>
      </c>
      <c r="Z5" t="s">
        <v>9353</v>
      </c>
      <c r="AA5" t="s">
        <v>9354</v>
      </c>
      <c r="AB5" t="s">
        <v>9355</v>
      </c>
      <c r="AC5" t="s">
        <v>9356</v>
      </c>
      <c r="AD5" t="s">
        <v>9357</v>
      </c>
      <c r="AE5" t="s">
        <v>9358</v>
      </c>
      <c r="AF5" t="s">
        <v>9359</v>
      </c>
      <c r="AG5" t="s">
        <v>9360</v>
      </c>
      <c r="AH5" t="s">
        <v>9361</v>
      </c>
      <c r="AI5" t="s">
        <v>9362</v>
      </c>
      <c r="AJ5" t="s">
        <v>9363</v>
      </c>
      <c r="AK5" t="s">
        <v>9364</v>
      </c>
      <c r="AL5" t="s">
        <v>9365</v>
      </c>
      <c r="AM5" t="s">
        <v>9366</v>
      </c>
      <c r="AN5" t="s">
        <v>9367</v>
      </c>
      <c r="AO5" t="s">
        <v>9368</v>
      </c>
      <c r="AP5" t="s">
        <v>9369</v>
      </c>
      <c r="AQ5" t="s">
        <v>9370</v>
      </c>
      <c r="AR5" t="s">
        <v>9371</v>
      </c>
      <c r="AS5" t="s">
        <v>9372</v>
      </c>
      <c r="AT5" t="s">
        <v>9373</v>
      </c>
      <c r="AU5" t="s">
        <v>9374</v>
      </c>
      <c r="AV5" t="s">
        <v>9375</v>
      </c>
      <c r="AW5" t="s">
        <v>9376</v>
      </c>
      <c r="AX5" t="s">
        <v>9377</v>
      </c>
      <c r="AY5" t="s">
        <v>9378</v>
      </c>
      <c r="AZ5" t="s">
        <v>9379</v>
      </c>
      <c r="BA5" t="s">
        <v>9380</v>
      </c>
      <c r="BB5" t="s">
        <v>9381</v>
      </c>
      <c r="BC5" t="s">
        <v>9382</v>
      </c>
      <c r="BD5" t="s">
        <v>9383</v>
      </c>
      <c r="BE5" t="s">
        <v>9384</v>
      </c>
      <c r="BF5" t="s">
        <v>9385</v>
      </c>
      <c r="BG5" t="s">
        <v>9386</v>
      </c>
      <c r="BH5" t="s">
        <v>9387</v>
      </c>
      <c r="BI5" t="s">
        <v>9388</v>
      </c>
      <c r="BJ5" t="s">
        <v>9389</v>
      </c>
      <c r="BK5" t="s">
        <v>9390</v>
      </c>
      <c r="BL5" t="s">
        <v>9391</v>
      </c>
      <c r="BM5" t="s">
        <v>9392</v>
      </c>
      <c r="BN5" t="s">
        <v>9393</v>
      </c>
      <c r="BO5" t="s">
        <v>9394</v>
      </c>
      <c r="BP5" t="s">
        <v>9395</v>
      </c>
      <c r="BQ5" t="s">
        <v>9396</v>
      </c>
      <c r="BR5" t="s">
        <v>9397</v>
      </c>
      <c r="BS5" t="s">
        <v>9398</v>
      </c>
      <c r="BT5" t="s">
        <v>9399</v>
      </c>
      <c r="BU5" t="s">
        <v>9400</v>
      </c>
      <c r="BV5" t="s">
        <v>9401</v>
      </c>
      <c r="BW5" t="s">
        <v>9402</v>
      </c>
      <c r="BX5" t="s">
        <v>9403</v>
      </c>
      <c r="BY5" t="s">
        <v>9404</v>
      </c>
      <c r="BZ5" t="s">
        <v>9405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BZ348"/>
  <sheetViews>
    <sheetView showGridLines="0" tabSelected="1" zoomScaleNormal="90" zoomScaleSheetLayoutView="100" workbookViewId="0">
      <pane xSplit="3" ySplit="7" topLeftCell="D338" activePane="bottomRight" state="frozen"/>
      <selection activeCell="F51" sqref="F51"/>
      <selection pane="topRight" activeCell="F51" sqref="F51"/>
      <selection pane="bottomLeft" activeCell="F51" sqref="F51"/>
      <selection pane="bottomRight" activeCell="A332" sqref="A332:XFD332"/>
    </sheetView>
  </sheetViews>
  <sheetFormatPr defaultColWidth="9.109375" defaultRowHeight="13.2" x14ac:dyDescent="0.25"/>
  <cols>
    <col min="1" max="1" width="26.5546875" customWidth="1"/>
    <col min="2" max="2" width="10.44140625" bestFit="1" customWidth="1"/>
    <col min="3" max="3" width="13" customWidth="1"/>
    <col min="4" max="14" width="11.6640625" customWidth="1"/>
    <col min="15" max="15" width="1.6640625" style="243" customWidth="1"/>
    <col min="16" max="16" width="11.6640625" style="243" customWidth="1"/>
    <col min="17" max="17" width="3.88671875" style="243" customWidth="1"/>
    <col min="18" max="20" width="9.109375" style="243"/>
    <col min="21" max="21" width="15" style="243" customWidth="1"/>
    <col min="22" max="30" width="9.109375" style="243"/>
    <col min="31" max="33" width="9.109375" style="243" customWidth="1"/>
    <col min="34" max="76" width="9.109375" style="243"/>
    <col min="77" max="16384" width="9.109375" style="198"/>
  </cols>
  <sheetData>
    <row r="1" spans="1:78" s="243" customFormat="1" ht="13.8" thickBot="1" x14ac:dyDescent="0.3">
      <c r="A1"/>
      <c r="B1" s="2"/>
      <c r="C1"/>
      <c r="D1" s="2"/>
      <c r="E1" s="2"/>
      <c r="F1" s="5"/>
      <c r="G1" s="2"/>
      <c r="H1" s="31" t="s">
        <v>843</v>
      </c>
      <c r="I1" s="2"/>
      <c r="J1" s="2"/>
      <c r="K1" s="2"/>
      <c r="L1" s="2"/>
      <c r="M1" s="2"/>
      <c r="N1" s="2"/>
      <c r="O1" s="2"/>
      <c r="P1" s="2"/>
      <c r="Q1" s="198"/>
      <c r="R1" s="198"/>
      <c r="S1" s="242" t="str">
        <f>'Language Index'!A25</f>
        <v>Left</v>
      </c>
      <c r="T1" s="239">
        <v>1</v>
      </c>
      <c r="U1" s="240" t="str">
        <f>'Language Index'!A16</f>
        <v>Fiscal Year</v>
      </c>
      <c r="V1" s="240">
        <f>IQ_FY</f>
        <v>1000</v>
      </c>
      <c r="W1" s="240">
        <v>1</v>
      </c>
      <c r="X1" s="240">
        <v>1</v>
      </c>
      <c r="Y1" s="236"/>
      <c r="Z1" s="236" t="str">
        <f>INDEX($W$2:$W$3,$W$1)</f>
        <v>Right</v>
      </c>
      <c r="AA1" s="245">
        <f>_xll.ciqfunctions.udf.CIQ("1802","iq_ev_over_ltm_ebitda")</f>
        <v>10.517709999999999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8"/>
      <c r="AW1" s="198"/>
      <c r="AX1" s="198"/>
      <c r="AY1" s="198"/>
      <c r="AZ1" s="198"/>
      <c r="BA1" s="198"/>
      <c r="BB1" s="198"/>
      <c r="BC1" s="198"/>
      <c r="BD1" s="198"/>
      <c r="BE1" s="198"/>
      <c r="BF1" s="198"/>
      <c r="BG1" s="198"/>
      <c r="BH1" s="198"/>
      <c r="BI1" s="198"/>
      <c r="BJ1" s="198"/>
      <c r="BK1" s="198"/>
      <c r="BL1" s="198"/>
      <c r="BM1" s="198"/>
      <c r="BN1" s="198"/>
      <c r="BO1" s="198"/>
      <c r="BP1" s="198"/>
      <c r="BQ1" s="198"/>
      <c r="BR1" s="198"/>
      <c r="BS1" s="198"/>
      <c r="BT1" s="198"/>
      <c r="BU1" s="198"/>
      <c r="BV1" s="198"/>
      <c r="BW1" s="198"/>
      <c r="BX1" s="198"/>
      <c r="BY1" s="198"/>
      <c r="BZ1" s="198"/>
    </row>
    <row r="2" spans="1:78" s="243" customFormat="1" x14ac:dyDescent="0.25">
      <c r="A2" s="6" t="str">
        <f>'Language Index'!A8</f>
        <v>Ticker</v>
      </c>
      <c r="B2" s="7"/>
      <c r="C2" s="180" t="s">
        <v>47</v>
      </c>
      <c r="D2" s="4"/>
      <c r="E2" s="6" t="str">
        <f>'Language Index'!A11</f>
        <v>Date</v>
      </c>
      <c r="F2" s="8">
        <v>45748</v>
      </c>
      <c r="G2" s="2"/>
      <c r="H2" s="2"/>
      <c r="I2" s="2"/>
      <c r="J2" s="2"/>
      <c r="K2" s="2"/>
      <c r="L2" s="2"/>
      <c r="M2" s="2"/>
      <c r="N2" s="2"/>
      <c r="O2" s="2"/>
      <c r="P2" s="2"/>
      <c r="Q2" s="198"/>
      <c r="R2" s="198"/>
      <c r="S2" s="198"/>
      <c r="T2" s="236" t="str">
        <f>INDEX($U$1:$U$8,$T$1)</f>
        <v>Fiscal Year</v>
      </c>
      <c r="U2" s="240" t="str">
        <f>'Language Index'!A17</f>
        <v>Fiscal Quarter</v>
      </c>
      <c r="V2" s="240">
        <f>IQ_FQ</f>
        <v>500</v>
      </c>
      <c r="W2" s="240" t="str">
        <f>'Language Index'!A24</f>
        <v>Right</v>
      </c>
      <c r="X2" s="240" t="str">
        <f>'Language Index'!A26</f>
        <v>Historical</v>
      </c>
      <c r="Y2" s="236"/>
      <c r="Z2" s="236" t="str">
        <f>INDEX($X$2:$X$3,$X$1)</f>
        <v>Historical</v>
      </c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  <c r="AX2" s="198"/>
      <c r="AY2" s="198"/>
      <c r="AZ2" s="198"/>
      <c r="BA2" s="198"/>
      <c r="BB2" s="198"/>
      <c r="BC2" s="198"/>
      <c r="BD2" s="198"/>
      <c r="BE2" s="198"/>
      <c r="BF2" s="198"/>
      <c r="BG2" s="198"/>
      <c r="BH2" s="198"/>
      <c r="BI2" s="198"/>
      <c r="BJ2" s="198"/>
      <c r="BK2" s="198"/>
      <c r="BL2" s="198"/>
      <c r="BM2" s="198"/>
      <c r="BN2" s="198"/>
      <c r="BO2" s="198"/>
      <c r="BP2" s="198"/>
      <c r="BQ2" s="198"/>
      <c r="BR2" s="198"/>
      <c r="BS2" s="198"/>
      <c r="BT2" s="198"/>
      <c r="BU2" s="198"/>
      <c r="BV2" s="198"/>
      <c r="BW2" s="198"/>
      <c r="BX2" s="198"/>
      <c r="BY2" s="198"/>
      <c r="BZ2" s="198"/>
    </row>
    <row r="3" spans="1:78" s="243" customFormat="1" ht="16.5" customHeight="1" x14ac:dyDescent="0.25">
      <c r="A3" s="9" t="str">
        <f>'Language Index'!A9</f>
        <v>Time Period</v>
      </c>
      <c r="B3" s="2"/>
      <c r="C3"/>
      <c r="D3" s="9"/>
      <c r="E3" s="9" t="str">
        <f>'Language Index'!A12</f>
        <v>Currency</v>
      </c>
      <c r="F3" s="10" t="s">
        <v>674</v>
      </c>
      <c r="G3" s="3" t="str">
        <f>$F$3</f>
        <v>USD</v>
      </c>
      <c r="H3" s="2"/>
      <c r="I3" s="2"/>
      <c r="J3" s="2"/>
      <c r="K3" s="2"/>
      <c r="L3" s="2"/>
      <c r="M3" s="2"/>
      <c r="N3" s="2"/>
      <c r="O3" s="2"/>
      <c r="P3" s="2"/>
      <c r="Q3" s="198"/>
      <c r="R3" s="198"/>
      <c r="S3" s="198"/>
      <c r="T3" s="246"/>
      <c r="U3" s="240" t="str">
        <f>'Language Index'!A18</f>
        <v>Year to Date</v>
      </c>
      <c r="V3" s="240">
        <f>IQ_YTD</f>
        <v>3000</v>
      </c>
      <c r="W3" s="240" t="str">
        <f>'Language Index'!A25</f>
        <v>Left</v>
      </c>
      <c r="X3" s="240" t="str">
        <f>'Language Index'!A27</f>
        <v>Current</v>
      </c>
      <c r="Y3" s="236"/>
      <c r="Z3" s="236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198"/>
      <c r="BI3" s="198"/>
      <c r="BJ3" s="198"/>
      <c r="BK3" s="198"/>
      <c r="BL3" s="198"/>
      <c r="BM3" s="198"/>
      <c r="BN3" s="198"/>
      <c r="BO3" s="198"/>
      <c r="BP3" s="198"/>
      <c r="BQ3" s="198"/>
      <c r="BR3" s="198"/>
      <c r="BS3" s="198"/>
      <c r="BT3" s="198"/>
      <c r="BU3" s="198"/>
      <c r="BV3" s="198"/>
      <c r="BW3" s="198"/>
      <c r="BX3" s="198"/>
      <c r="BY3" s="198"/>
      <c r="BZ3" s="198"/>
    </row>
    <row r="4" spans="1:78" s="243" customFormat="1" ht="15.75" customHeight="1" x14ac:dyDescent="0.25">
      <c r="A4" s="9" t="str">
        <f>'Language Index'!A10</f>
        <v>Most Recent on the:</v>
      </c>
      <c r="B4" s="9"/>
      <c r="C4"/>
      <c r="D4" s="9"/>
      <c r="E4" s="9" t="str">
        <f>'Language Index'!A13</f>
        <v>Conversion</v>
      </c>
      <c r="F4"/>
      <c r="G4" s="236" t="str">
        <f>IF($X$1=1,"H","C")</f>
        <v>H</v>
      </c>
      <c r="H4" s="2"/>
      <c r="I4" s="2"/>
      <c r="J4" s="2"/>
      <c r="K4" s="2"/>
      <c r="L4" s="2"/>
      <c r="M4" s="2"/>
      <c r="N4" s="2"/>
      <c r="O4" s="2"/>
      <c r="P4" s="2"/>
      <c r="Q4" s="198"/>
      <c r="R4" s="198"/>
      <c r="S4" s="198"/>
      <c r="T4" s="246"/>
      <c r="U4" s="240" t="str">
        <f>'Language Index'!A19</f>
        <v>Last Twelve Months</v>
      </c>
      <c r="V4" s="240">
        <f>IQ_LTM</f>
        <v>2000</v>
      </c>
      <c r="W4" s="205"/>
      <c r="X4" s="205"/>
      <c r="Y4" s="198"/>
      <c r="Z4" s="198"/>
      <c r="AA4" s="198"/>
      <c r="AB4" s="198"/>
      <c r="AC4" s="198"/>
      <c r="AD4" s="198"/>
      <c r="AE4" s="198"/>
      <c r="AF4" s="198"/>
      <c r="AG4" s="198"/>
      <c r="AH4" s="198"/>
      <c r="AI4" s="198"/>
      <c r="AJ4" s="198"/>
      <c r="AK4" s="198"/>
      <c r="AL4" s="198"/>
      <c r="AM4" s="198"/>
      <c r="AN4" s="198"/>
      <c r="AO4" s="198"/>
      <c r="AP4" s="198"/>
      <c r="AQ4" s="198"/>
      <c r="AR4" s="198"/>
      <c r="AS4" s="198"/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8"/>
      <c r="BE4" s="198"/>
      <c r="BF4" s="198"/>
      <c r="BG4" s="198"/>
      <c r="BH4" s="198"/>
      <c r="BI4" s="198"/>
      <c r="BJ4" s="198"/>
      <c r="BK4" s="198"/>
      <c r="BL4" s="198"/>
      <c r="BM4" s="198"/>
      <c r="BN4" s="198"/>
      <c r="BO4" s="198"/>
      <c r="BP4" s="198"/>
      <c r="BQ4" s="198"/>
      <c r="BR4" s="198"/>
      <c r="BS4" s="198"/>
      <c r="BT4" s="198"/>
      <c r="BU4" s="198"/>
      <c r="BV4" s="198"/>
      <c r="BW4" s="198"/>
      <c r="BX4" s="198"/>
      <c r="BY4" s="198"/>
      <c r="BZ4" s="198"/>
    </row>
    <row r="5" spans="1:78" s="243" customFormat="1" x14ac:dyDescent="0.25">
      <c r="A5" s="9"/>
      <c r="B5" s="9"/>
      <c r="C5" s="2"/>
      <c r="D5" s="9"/>
      <c r="E5" s="9"/>
      <c r="F5" s="2"/>
      <c r="G5" s="9"/>
      <c r="H5" s="10"/>
      <c r="I5" s="2"/>
      <c r="J5" s="2"/>
      <c r="K5" s="2"/>
      <c r="L5" s="2"/>
      <c r="M5" s="2"/>
      <c r="N5" s="2"/>
      <c r="O5" s="2"/>
      <c r="P5" s="2"/>
      <c r="Q5" s="198"/>
      <c r="R5" s="198"/>
      <c r="S5" s="198"/>
      <c r="T5" s="246"/>
      <c r="U5" s="240" t="str">
        <f>'Language Index'!A20</f>
        <v>Calendar Year</v>
      </c>
      <c r="V5" s="240">
        <f>IQ_CY</f>
        <v>10000</v>
      </c>
      <c r="W5" s="205"/>
      <c r="X5" s="205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8"/>
      <c r="BY5" s="198"/>
      <c r="BZ5" s="198"/>
    </row>
    <row r="6" spans="1:78" s="243" customFormat="1" x14ac:dyDescent="0.25">
      <c r="A6" s="3"/>
      <c r="B6" s="3"/>
      <c r="C6" s="3"/>
      <c r="D6" s="236">
        <f>IF(Z1=$S$1,VLOOKUP(T2,$U$1:$V$8,2, FALSE),E6-1)</f>
        <v>990</v>
      </c>
      <c r="E6" s="236">
        <f>IF($Z$1=$S$1,D6-1,F6-1)</f>
        <v>991</v>
      </c>
      <c r="F6" s="236">
        <f>IF($Z$1=$S$1,E6-1,G6-1)</f>
        <v>992</v>
      </c>
      <c r="G6" s="236">
        <f>IF($Z$1=$S$1,F6-1,H6-1)</f>
        <v>993</v>
      </c>
      <c r="H6" s="236">
        <f>IF($Z$1=$S$1,G6-1,I6-1)</f>
        <v>994</v>
      </c>
      <c r="I6" s="236">
        <f>IF($Z$1=$S$1,H6-1,J6-1)</f>
        <v>995</v>
      </c>
      <c r="J6" s="236">
        <f>IF($Z$1=$S$1,I6-1,K6-1)</f>
        <v>996</v>
      </c>
      <c r="K6" s="236">
        <f>IF($Z$1=$S$1,J6-1,L6-1)</f>
        <v>997</v>
      </c>
      <c r="L6" s="236">
        <f>IF($Z$1=$S$1,K6-1,M6-1)</f>
        <v>998</v>
      </c>
      <c r="M6" s="236">
        <f>IF($Z$1=$S$1,L6-1,N6-1)</f>
        <v>999</v>
      </c>
      <c r="N6" s="237">
        <f>IF($Z$1=$S$1,M6-1,VLOOKUP($T$2,$U$1:$V$8,2,FALSE))</f>
        <v>1000</v>
      </c>
      <c r="O6" s="236"/>
      <c r="P6" s="238">
        <f>V4</f>
        <v>2000</v>
      </c>
      <c r="Q6" s="198"/>
      <c r="R6" s="198"/>
      <c r="S6" s="198"/>
      <c r="T6" s="198"/>
      <c r="U6" s="240" t="str">
        <f>'Language Index'!A21</f>
        <v>Calendar Quarter</v>
      </c>
      <c r="V6" s="240">
        <f>IQ_CQ</f>
        <v>5000</v>
      </c>
      <c r="W6" s="205"/>
      <c r="X6" s="205"/>
      <c r="Y6" s="198"/>
      <c r="Z6" s="198"/>
      <c r="AA6" s="198"/>
      <c r="AB6" s="198"/>
      <c r="AC6" s="198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198"/>
      <c r="AU6" s="198"/>
      <c r="AV6" s="198"/>
      <c r="AW6" s="198"/>
      <c r="AX6" s="198"/>
      <c r="AY6" s="198"/>
      <c r="AZ6" s="198"/>
      <c r="BA6" s="198"/>
      <c r="BB6" s="198"/>
      <c r="BC6" s="198"/>
      <c r="BD6" s="198"/>
      <c r="BE6" s="198"/>
      <c r="BF6" s="198"/>
      <c r="BG6" s="198"/>
      <c r="BH6" s="198"/>
      <c r="BI6" s="198"/>
      <c r="BJ6" s="198"/>
      <c r="BK6" s="198"/>
      <c r="BL6" s="198"/>
      <c r="BM6" s="198"/>
      <c r="BN6" s="198"/>
      <c r="BO6" s="198"/>
      <c r="BP6" s="198"/>
      <c r="BQ6" s="198"/>
      <c r="BR6" s="198"/>
      <c r="BS6" s="198"/>
      <c r="BT6" s="198"/>
      <c r="BU6" s="198"/>
      <c r="BV6" s="198"/>
      <c r="BW6" s="198"/>
      <c r="BX6" s="198"/>
      <c r="BY6" s="198"/>
      <c r="BZ6" s="198"/>
    </row>
    <row r="7" spans="1:78" s="243" customFormat="1" ht="30" x14ac:dyDescent="0.5">
      <c r="A7" s="47" t="str">
        <f>UPPER(_xll.ciqfunctions.udf.CIQ($C$2,"IQ_COMPANY_NAME_LONG"))</f>
        <v>INTERNATIONAL BUSINESS MACHINES CORPORATION (NYSE:IBM)</v>
      </c>
      <c r="B7" s="48"/>
      <c r="C7" s="48"/>
      <c r="D7" s="49"/>
      <c r="E7" s="49"/>
      <c r="F7" s="49"/>
      <c r="G7" s="49"/>
      <c r="H7" s="49"/>
      <c r="I7" s="49"/>
      <c r="J7" s="49"/>
      <c r="K7" s="49"/>
      <c r="L7" s="49"/>
      <c r="M7" s="48"/>
      <c r="N7" s="48"/>
      <c r="O7" s="48"/>
      <c r="P7" s="48"/>
      <c r="Q7" s="198"/>
      <c r="R7" s="198"/>
      <c r="S7" s="198"/>
      <c r="T7" s="198"/>
      <c r="U7" s="240" t="str">
        <f>'Language Index'!A22</f>
        <v>Fiscal Half</v>
      </c>
      <c r="V7" s="241">
        <f>IQ_FH</f>
        <v>100000</v>
      </c>
      <c r="W7" s="205"/>
      <c r="X7" s="205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  <c r="BS7" s="198"/>
      <c r="BT7" s="198"/>
      <c r="BU7" s="198"/>
      <c r="BV7" s="198"/>
      <c r="BW7" s="198"/>
      <c r="BX7" s="198"/>
      <c r="BY7" s="198"/>
      <c r="BZ7" s="198"/>
    </row>
    <row r="8" spans="1:78" x14ac:dyDescent="0.25">
      <c r="A8" s="13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4"/>
      <c r="N8" s="4"/>
      <c r="O8" s="4"/>
      <c r="P8" s="4"/>
      <c r="Q8" s="198"/>
      <c r="R8" s="198"/>
      <c r="S8" s="198"/>
      <c r="T8" s="198"/>
      <c r="U8" s="240" t="str">
        <f>'Language Index'!A23</f>
        <v>Calendar Half</v>
      </c>
      <c r="V8" s="241">
        <f>IQ_CH</f>
        <v>110000</v>
      </c>
      <c r="W8" s="205"/>
      <c r="X8" s="205"/>
      <c r="Y8" s="198"/>
      <c r="Z8" s="198"/>
      <c r="AA8" s="198"/>
      <c r="AB8" s="198"/>
      <c r="AC8" s="198"/>
      <c r="AD8" s="198"/>
      <c r="AE8" s="198"/>
      <c r="AF8" s="205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  <c r="BB8" s="198"/>
      <c r="BC8" s="198"/>
      <c r="BD8" s="198"/>
      <c r="BE8" s="198"/>
      <c r="BF8" s="198"/>
      <c r="BG8" s="198"/>
      <c r="BH8" s="198"/>
      <c r="BI8" s="198"/>
      <c r="BJ8" s="198"/>
      <c r="BK8" s="198"/>
      <c r="BL8" s="198"/>
      <c r="BM8" s="198"/>
      <c r="BN8" s="198"/>
      <c r="BO8" s="198"/>
      <c r="BP8" s="198"/>
      <c r="BQ8" s="198"/>
      <c r="BR8" s="198"/>
      <c r="BS8" s="198"/>
      <c r="BT8" s="198"/>
      <c r="BU8" s="198"/>
      <c r="BV8" s="198"/>
      <c r="BW8" s="198"/>
      <c r="BX8" s="198"/>
    </row>
    <row r="9" spans="1:78" ht="13.8" thickBot="1" x14ac:dyDescent="0.3">
      <c r="A9" s="9" t="str">
        <f>UPPER('Language Index'!A28)&amp;" - "&amp;IF($F$3='Language Index'!$A$159,_xll.ciqfunctions.udf.CIQ($C$2,"IQ_FILING_CURRENCY",,$F$2 ),IF($F$3='Language Index'!$A$867,_xll.ciqfunctions.udf.CIQ($C$2,"IQ_TRADING_CURRENCY",$F$2 ),Ccy))&amp;" "&amp;UPPER('Language Index'!A32)</f>
        <v>INCOME STATEMENT - USD IN MILLIONS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4"/>
      <c r="N9" s="14"/>
      <c r="O9" s="198"/>
      <c r="P9" s="198"/>
      <c r="Q9" s="198"/>
      <c r="R9" s="198"/>
      <c r="S9" s="198"/>
      <c r="T9" s="205"/>
      <c r="U9" s="205"/>
      <c r="V9" s="205"/>
      <c r="W9" s="198"/>
      <c r="X9" s="198"/>
      <c r="Y9" s="198"/>
      <c r="Z9" s="198"/>
      <c r="AA9" s="198"/>
      <c r="AB9" s="198"/>
      <c r="AC9" s="9"/>
      <c r="AD9" s="6"/>
      <c r="AE9" s="9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  <c r="BS9" s="198"/>
      <c r="BT9" s="198"/>
      <c r="BU9" s="198"/>
      <c r="BV9" s="198"/>
      <c r="BW9" s="198"/>
      <c r="BX9" s="198"/>
    </row>
    <row r="10" spans="1:78" ht="13.8" thickTop="1" x14ac:dyDescent="0.25">
      <c r="A10" s="9" t="str">
        <f>'Language Index'!A265</f>
        <v>Period Date</v>
      </c>
      <c r="B10" s="50">
        <f>_xll.ciqfunctions.udf.CIQ($C$2, "IQ_PERIODDATE",D$6,$F$2)</f>
        <v>42004</v>
      </c>
      <c r="C10" s="50">
        <f>_xll.ciqfunctions.udf.CIQ($C$2, "IQ_PERIODDATE",E$6,$F$2)</f>
        <v>42369</v>
      </c>
      <c r="D10" s="50">
        <f>_xll.ciqfunctions.udf.CIQ($C$2, "IQ_PERIODDATE",F$6,$F$2)</f>
        <v>42735</v>
      </c>
      <c r="E10" s="50">
        <f>_xll.ciqfunctions.udf.CIQ($C$2, "IQ_PERIODDATE",G$6,$F$2)</f>
        <v>43100</v>
      </c>
      <c r="F10" s="50">
        <f>_xll.ciqfunctions.udf.CIQ($C$2, "IQ_PERIODDATE",H$6,$F$2)</f>
        <v>43465</v>
      </c>
      <c r="G10" s="50">
        <f>_xll.ciqfunctions.udf.CIQ($C$2, "IQ_PERIODDATE",I$6,$F$2)</f>
        <v>43830</v>
      </c>
      <c r="H10" s="50">
        <f>_xll.ciqfunctions.udf.CIQ($C$2, "IQ_PERIODDATE",J$6,$F$2)</f>
        <v>44196</v>
      </c>
      <c r="I10" s="50">
        <f>_xll.ciqfunctions.udf.CIQ($C$2, "IQ_PERIODDATE",K$6,$F$2)</f>
        <v>44561</v>
      </c>
      <c r="J10" s="50">
        <f>_xll.ciqfunctions.udf.CIQ($C$2, "IQ_PERIODDATE",L$6,$F$2)</f>
        <v>44926</v>
      </c>
      <c r="K10" s="50">
        <f>_xll.ciqfunctions.udf.CIQ($C$2, "IQ_PERIODDATE",M$6,$F$2)</f>
        <v>45291</v>
      </c>
      <c r="L10" s="50">
        <f>_xll.ciqfunctions.udf.CIQ($C$2, "IQ_PERIODDATE",N$6,$F$2)</f>
        <v>45657</v>
      </c>
      <c r="M10" s="51"/>
      <c r="N10" s="50">
        <f>_xll.ciqfunctions.udf.CIQ($C$2, "IQ_PERIODDATE",P$6,$F$2)</f>
        <v>45657</v>
      </c>
      <c r="O10" s="198"/>
      <c r="P10" s="198"/>
      <c r="Q10" s="198"/>
      <c r="R10" s="198"/>
      <c r="S10" s="198"/>
      <c r="T10" s="205"/>
      <c r="U10" s="205"/>
      <c r="V10" s="205"/>
      <c r="W10" s="198"/>
      <c r="X10" s="198"/>
      <c r="Y10" s="198"/>
      <c r="Z10" s="198"/>
      <c r="AA10" s="198"/>
      <c r="AB10" s="198"/>
      <c r="AC10" s="210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  <c r="BB10" s="198"/>
      <c r="BC10" s="198"/>
      <c r="BD10" s="198"/>
      <c r="BE10" s="198"/>
      <c r="BF10" s="198"/>
      <c r="BG10" s="198"/>
      <c r="BH10" s="198"/>
      <c r="BI10" s="198"/>
      <c r="BJ10" s="198"/>
      <c r="BK10" s="198"/>
      <c r="BL10" s="198"/>
      <c r="BM10" s="198"/>
      <c r="BN10" s="198"/>
      <c r="BO10" s="198"/>
      <c r="BP10" s="198"/>
      <c r="BQ10" s="198"/>
      <c r="BR10" s="198"/>
      <c r="BS10" s="198"/>
      <c r="BT10" s="198"/>
      <c r="BU10" s="198"/>
      <c r="BV10" s="198"/>
      <c r="BW10" s="198"/>
      <c r="BX10" s="198"/>
    </row>
    <row r="11" spans="1:78" x14ac:dyDescent="0.25">
      <c r="A11" s="2" t="str">
        <f>'Language Index'!A33</f>
        <v>Revenues</v>
      </c>
      <c r="B11" s="44">
        <f>_xll.ciqfunctions.udf.CIQ($C$2, "IQ_REV",D$6,$F$2,,,Ccy,Conv)</f>
        <v>90736</v>
      </c>
      <c r="C11" s="44">
        <f>_xll.ciqfunctions.udf.CIQ($C$2, "IQ_REV",E$6,$F$2,,,Ccy,Conv)</f>
        <v>79878</v>
      </c>
      <c r="D11" s="248">
        <f>_xll.ciqfunctions.udf.CIQ($C$2, "IQ_REV",F$6,$F$2,,,Ccy,Conv)</f>
        <v>78210</v>
      </c>
      <c r="E11" s="44">
        <f>_xll.ciqfunctions.udf.CIQ($C$2, "IQ_REV",G$6,$F$2,,,Ccy,Conv)</f>
        <v>77424</v>
      </c>
      <c r="F11" s="44">
        <f>_xll.ciqfunctions.udf.CIQ($C$2, "IQ_REV",H$6,$F$2,,,Ccy,Conv)</f>
        <v>77992</v>
      </c>
      <c r="G11" s="44">
        <f>_xll.ciqfunctions.udf.CIQ($C$2, "IQ_REV",I$6,$F$2,,,Ccy,Conv)</f>
        <v>56498</v>
      </c>
      <c r="H11" s="44">
        <f>_xll.ciqfunctions.udf.CIQ($C$2, "IQ_REV",J$6,$F$2,,,Ccy,Conv)</f>
        <v>54195</v>
      </c>
      <c r="I11" s="44">
        <f>_xll.ciqfunctions.udf.CIQ($C$2, "IQ_REV",K$6,$F$2,,,Ccy,Conv)</f>
        <v>56571</v>
      </c>
      <c r="J11" s="44">
        <f>_xll.ciqfunctions.udf.CIQ($C$2, "IQ_REV",L$6,$F$2,,,Ccy,Conv)</f>
        <v>59879</v>
      </c>
      <c r="K11" s="44">
        <f>_xll.ciqfunctions.udf.CIQ($C$2, "IQ_REV",M$6,$F$2,,,Ccy,Conv)</f>
        <v>61123</v>
      </c>
      <c r="L11" s="44">
        <f>_xll.ciqfunctions.udf.CIQ($C$2, "IQ_REV",N$6,$F$2,,,Ccy,Conv)</f>
        <v>62044</v>
      </c>
      <c r="M11" s="44"/>
      <c r="N11" s="44">
        <f>_xll.ciqfunctions.udf.CIQ($C$2, "IQ_REV",P$6,$F$2,,,Ccy,Conv)</f>
        <v>62044</v>
      </c>
      <c r="O11" s="198"/>
      <c r="P11" s="198"/>
      <c r="Q11" s="198"/>
      <c r="R11" s="198"/>
      <c r="S11" s="198"/>
      <c r="T11" s="205"/>
      <c r="U11" s="205"/>
      <c r="V11" s="205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98"/>
      <c r="BC11" s="198"/>
      <c r="BD11" s="198"/>
      <c r="BE11" s="198"/>
      <c r="BF11" s="198"/>
      <c r="BG11" s="198"/>
      <c r="BH11" s="198"/>
      <c r="BI11" s="198"/>
      <c r="BJ11" s="198"/>
      <c r="BK11" s="198"/>
      <c r="BL11" s="198"/>
      <c r="BM11" s="198"/>
      <c r="BN11" s="198"/>
      <c r="BO11" s="198"/>
      <c r="BP11" s="198"/>
      <c r="BQ11" s="198"/>
      <c r="BR11" s="198"/>
      <c r="BS11" s="198"/>
      <c r="BT11" s="198"/>
      <c r="BU11" s="198"/>
      <c r="BV11" s="198"/>
      <c r="BW11" s="198"/>
      <c r="BX11" s="198"/>
    </row>
    <row r="12" spans="1:78" x14ac:dyDescent="0.25">
      <c r="A12" s="2" t="str">
        <f>'Language Index'!A34</f>
        <v>Finance Div. Revenues</v>
      </c>
      <c r="B12" s="18">
        <f>_xll.ciqfunctions.udf.CIQ($C$2,"IQ_FIN_DIV_REV",D$6,$F$2,,,Ccy,Conv)</f>
        <v>2057</v>
      </c>
      <c r="C12" s="18">
        <f>_xll.ciqfunctions.udf.CIQ($C$2,"IQ_FIN_DIV_REV",E$6,$F$2,,,Ccy,Conv)</f>
        <v>1864</v>
      </c>
      <c r="D12" s="18">
        <f>_xll.ciqfunctions.udf.CIQ($C$2,"IQ_FIN_DIV_REV",F$6,$F$2,,,Ccy,Conv)</f>
        <v>1710</v>
      </c>
      <c r="E12" s="18">
        <f>_xll.ciqfunctions.udf.CIQ($C$2,"IQ_FIN_DIV_REV",G$6,$F$2,,,Ccy,Conv)</f>
        <v>1715</v>
      </c>
      <c r="F12" s="18">
        <f>_xll.ciqfunctions.udf.CIQ($C$2,"IQ_FIN_DIV_REV",H$6,$F$2,,,Ccy,Conv)</f>
        <v>1599</v>
      </c>
      <c r="G12" s="18">
        <f>_xll.ciqfunctions.udf.CIQ($C$2,"IQ_FIN_DIV_REV",I$6,$F$2,,,Ccy,Conv)</f>
        <v>1216</v>
      </c>
      <c r="H12" s="18">
        <f>_xll.ciqfunctions.udf.CIQ($C$2,"IQ_FIN_DIV_REV",J$6,$F$2,,,Ccy,Conv)</f>
        <v>984</v>
      </c>
      <c r="I12" s="18">
        <f>_xll.ciqfunctions.udf.CIQ($C$2,"IQ_FIN_DIV_REV",K$6,$F$2,,,Ccy,Conv)</f>
        <v>780</v>
      </c>
      <c r="J12" s="18">
        <f>_xll.ciqfunctions.udf.CIQ($C$2,"IQ_FIN_DIV_REV",L$6,$F$2,,,Ccy,Conv)</f>
        <v>651</v>
      </c>
      <c r="K12" s="18">
        <f>_xll.ciqfunctions.udf.CIQ($C$2,"IQ_FIN_DIV_REV",M$6,$F$2,,,Ccy,Conv)</f>
        <v>737</v>
      </c>
      <c r="L12" s="18">
        <f>_xll.ciqfunctions.udf.CIQ($C$2,"IQ_FIN_DIV_REV",N$6,$F$2,,,Ccy,Conv)</f>
        <v>709</v>
      </c>
      <c r="M12" s="18"/>
      <c r="N12" s="18">
        <f>_xll.ciqfunctions.udf.CIQ($C$2,"IQ_FIN_DIV_REV",P$6,$F$2,,,Ccy,Conv)</f>
        <v>709</v>
      </c>
      <c r="O12" s="198"/>
      <c r="P12" s="198"/>
      <c r="Q12" s="198"/>
      <c r="R12" s="198"/>
      <c r="S12" s="198"/>
      <c r="T12" s="205"/>
      <c r="U12" s="205"/>
      <c r="V12" s="205"/>
      <c r="W12" s="198"/>
      <c r="X12" s="198"/>
      <c r="Y12" s="198"/>
      <c r="Z12" s="198"/>
      <c r="AA12" s="198"/>
      <c r="AB12" s="198"/>
      <c r="AC12" s="198"/>
      <c r="AD12" s="198"/>
      <c r="AE12" s="198"/>
      <c r="AF12" s="19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198"/>
      <c r="AS12" s="198"/>
      <c r="AT12" s="198"/>
      <c r="AU12" s="198"/>
      <c r="AV12" s="198"/>
      <c r="AW12" s="198"/>
      <c r="AX12" s="198"/>
      <c r="AY12" s="198"/>
      <c r="AZ12" s="198"/>
      <c r="BA12" s="198"/>
      <c r="BB12" s="198"/>
      <c r="BC12" s="198"/>
      <c r="BD12" s="198"/>
      <c r="BE12" s="198"/>
      <c r="BF12" s="198"/>
      <c r="BG12" s="198"/>
      <c r="BH12" s="198"/>
      <c r="BI12" s="198"/>
      <c r="BJ12" s="198"/>
      <c r="BK12" s="198"/>
      <c r="BL12" s="198"/>
      <c r="BM12" s="198"/>
      <c r="BN12" s="198"/>
      <c r="BO12" s="198"/>
      <c r="BP12" s="198"/>
      <c r="BQ12" s="198"/>
      <c r="BR12" s="198"/>
      <c r="BS12" s="198"/>
      <c r="BT12" s="198"/>
      <c r="BU12" s="198"/>
      <c r="BV12" s="198"/>
      <c r="BW12" s="198"/>
      <c r="BX12" s="198"/>
    </row>
    <row r="13" spans="1:78" x14ac:dyDescent="0.25">
      <c r="A13" s="2" t="str">
        <f>'Language Index'!A35</f>
        <v>Insurance Div. Revenues</v>
      </c>
      <c r="B13" s="18">
        <f>_xll.ciqfunctions.udf.CIQ($C$2, "IQ_INS_DIV_REV",D$6,$F$2,,,Ccy,Conv)</f>
        <v>0</v>
      </c>
      <c r="C13" s="18">
        <f>_xll.ciqfunctions.udf.CIQ($C$2, "IQ_INS_DIV_REV",E$6,$F$2,,,Ccy,Conv)</f>
        <v>0</v>
      </c>
      <c r="D13" s="18">
        <f>_xll.ciqfunctions.udf.CIQ($C$2, "IQ_INS_DIV_REV",F$6,$F$2,,,Ccy,Conv)</f>
        <v>0</v>
      </c>
      <c r="E13" s="18">
        <f>_xll.ciqfunctions.udf.CIQ($C$2, "IQ_INS_DIV_REV",G$6,$F$2,,,Ccy,Conv)</f>
        <v>0</v>
      </c>
      <c r="F13" s="18">
        <f>_xll.ciqfunctions.udf.CIQ($C$2, "IQ_INS_DIV_REV",H$6,$F$2,,,Ccy,Conv)</f>
        <v>0</v>
      </c>
      <c r="G13" s="18">
        <f>_xll.ciqfunctions.udf.CIQ($C$2, "IQ_INS_DIV_REV",I$6,$F$2,,,Ccy,Conv)</f>
        <v>0</v>
      </c>
      <c r="H13" s="18">
        <f>_xll.ciqfunctions.udf.CIQ($C$2, "IQ_INS_DIV_REV",J$6,$F$2,,,Ccy,Conv)</f>
        <v>0</v>
      </c>
      <c r="I13" s="18">
        <f>_xll.ciqfunctions.udf.CIQ($C$2, "IQ_INS_DIV_REV",K$6,$F$2,,,Ccy,Conv)</f>
        <v>0</v>
      </c>
      <c r="J13" s="18">
        <f>_xll.ciqfunctions.udf.CIQ($C$2, "IQ_INS_DIV_REV",L$6,$F$2,,,Ccy,Conv)</f>
        <v>0</v>
      </c>
      <c r="K13" s="18">
        <f>_xll.ciqfunctions.udf.CIQ($C$2, "IQ_INS_DIV_REV",M$6,$F$2,,,Ccy,Conv)</f>
        <v>0</v>
      </c>
      <c r="L13" s="18">
        <f>_xll.ciqfunctions.udf.CIQ($C$2, "IQ_INS_DIV_REV",N$6,$F$2,,,Ccy,Conv)</f>
        <v>0</v>
      </c>
      <c r="M13" s="18"/>
      <c r="N13" s="18">
        <f>_xll.ciqfunctions.udf.CIQ($C$2, "IQ_INS_DIV_REV",P$6,$F$2,,,Ccy,Conv)</f>
        <v>0</v>
      </c>
      <c r="O13" s="198"/>
      <c r="P13" s="198"/>
      <c r="Q13" s="198"/>
      <c r="R13" s="198"/>
      <c r="S13" s="198"/>
      <c r="T13" s="205"/>
      <c r="U13" s="211"/>
      <c r="V13" s="211"/>
      <c r="W13" s="212"/>
      <c r="X13" s="212"/>
      <c r="Y13" s="213"/>
      <c r="Z13" s="214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  <c r="BS13" s="198"/>
      <c r="BT13" s="198"/>
      <c r="BU13" s="198"/>
      <c r="BV13" s="198"/>
      <c r="BW13" s="198"/>
      <c r="BX13" s="198"/>
    </row>
    <row r="14" spans="1:78" x14ac:dyDescent="0.25">
      <c r="A14" s="2" t="str">
        <f>'Language Index'!A36</f>
        <v>Gain/(Loss) on Sale Of Assets (Rev)</v>
      </c>
      <c r="B14" s="18">
        <f>_xll.ciqfunctions.udf.CIQ($C$2, "IQ_GAIN_ASSETS_REV",D$6,$F$2,,,Ccy,Conv)</f>
        <v>0</v>
      </c>
      <c r="C14" s="18">
        <f>_xll.ciqfunctions.udf.CIQ($C$2, "IQ_GAIN_ASSETS_REV",E$6,$F$2,,,Ccy,Conv)</f>
        <v>0</v>
      </c>
      <c r="D14" s="18">
        <f>_xll.ciqfunctions.udf.CIQ($C$2, "IQ_GAIN_ASSETS_REV",F$6,$F$2,,,Ccy,Conv)</f>
        <v>0</v>
      </c>
      <c r="E14" s="18">
        <f>_xll.ciqfunctions.udf.CIQ($C$2, "IQ_GAIN_ASSETS_REV",G$6,$F$2,,,Ccy,Conv)</f>
        <v>0</v>
      </c>
      <c r="F14" s="18">
        <f>_xll.ciqfunctions.udf.CIQ($C$2, "IQ_GAIN_ASSETS_REV",H$6,$F$2,,,Ccy,Conv)</f>
        <v>0</v>
      </c>
      <c r="G14" s="18">
        <f>_xll.ciqfunctions.udf.CIQ($C$2, "IQ_GAIN_ASSETS_REV",I$6,$F$2,,,Ccy,Conv)</f>
        <v>0</v>
      </c>
      <c r="H14" s="18">
        <f>_xll.ciqfunctions.udf.CIQ($C$2, "IQ_GAIN_ASSETS_REV",J$6,$F$2,,,Ccy,Conv)</f>
        <v>0</v>
      </c>
      <c r="I14" s="18">
        <f>_xll.ciqfunctions.udf.CIQ($C$2, "IQ_GAIN_ASSETS_REV",K$6,$F$2,,,Ccy,Conv)</f>
        <v>0</v>
      </c>
      <c r="J14" s="18">
        <f>_xll.ciqfunctions.udf.CIQ($C$2, "IQ_GAIN_ASSETS_REV",L$6,$F$2,,,Ccy,Conv)</f>
        <v>0</v>
      </c>
      <c r="K14" s="18">
        <f>_xll.ciqfunctions.udf.CIQ($C$2, "IQ_GAIN_ASSETS_REV",M$6,$F$2,,,Ccy,Conv)</f>
        <v>0</v>
      </c>
      <c r="L14" s="18">
        <f>_xll.ciqfunctions.udf.CIQ($C$2, "IQ_GAIN_ASSETS_REV",N$6,$F$2,,,Ccy,Conv)</f>
        <v>0</v>
      </c>
      <c r="M14" s="18"/>
      <c r="N14" s="18">
        <f>_xll.ciqfunctions.udf.CIQ($C$2, "IQ_GAIN_ASSETS_REV",P$6,$F$2,,,Ccy,Conv)</f>
        <v>0</v>
      </c>
      <c r="O14" s="198"/>
      <c r="P14" s="198"/>
      <c r="Q14" s="198"/>
      <c r="R14" s="198"/>
      <c r="S14" s="198"/>
      <c r="T14" s="205"/>
      <c r="U14" s="211"/>
      <c r="V14" s="211"/>
      <c r="W14" s="212"/>
      <c r="X14" s="212"/>
      <c r="Y14" s="213"/>
      <c r="Z14" s="214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98"/>
      <c r="AS14" s="198"/>
      <c r="AT14" s="198"/>
      <c r="AU14" s="198"/>
      <c r="AV14" s="198"/>
      <c r="AW14" s="198"/>
      <c r="AX14" s="198"/>
      <c r="AY14" s="198"/>
      <c r="AZ14" s="198"/>
      <c r="BA14" s="198"/>
      <c r="BB14" s="198"/>
      <c r="BC14" s="198"/>
      <c r="BD14" s="198"/>
      <c r="BE14" s="198"/>
      <c r="BF14" s="198"/>
      <c r="BG14" s="198"/>
      <c r="BH14" s="198"/>
      <c r="BI14" s="198"/>
      <c r="BJ14" s="198"/>
      <c r="BK14" s="198"/>
      <c r="BL14" s="198"/>
      <c r="BM14" s="198"/>
      <c r="BN14" s="198"/>
      <c r="BO14" s="198"/>
      <c r="BP14" s="198"/>
      <c r="BQ14" s="198"/>
      <c r="BR14" s="198"/>
      <c r="BS14" s="198"/>
      <c r="BT14" s="198"/>
      <c r="BU14" s="198"/>
      <c r="BV14" s="198"/>
      <c r="BW14" s="198"/>
      <c r="BX14" s="198"/>
    </row>
    <row r="15" spans="1:78" x14ac:dyDescent="0.25">
      <c r="A15" s="2" t="str">
        <f>'Language Index'!A37</f>
        <v>Gain/(Loss) on Sale Of Invest.(Rev)</v>
      </c>
      <c r="B15" s="18">
        <f>_xll.ciqfunctions.udf.CIQ($C$2, "IQ_GAIN_INVEST_REV",D$6,$F$2,,,Ccy,Conv)</f>
        <v>0</v>
      </c>
      <c r="C15" s="18">
        <f>_xll.ciqfunctions.udf.CIQ($C$2, "IQ_GAIN_INVEST_REV",E$6,$F$2,,,Ccy,Conv)</f>
        <v>0</v>
      </c>
      <c r="D15" s="18">
        <f>_xll.ciqfunctions.udf.CIQ($C$2, "IQ_GAIN_INVEST_REV",F$6,$F$2,,,Ccy,Conv)</f>
        <v>0</v>
      </c>
      <c r="E15" s="18">
        <f>_xll.ciqfunctions.udf.CIQ($C$2, "IQ_GAIN_INVEST_REV",G$6,$F$2,,,Ccy,Conv)</f>
        <v>0</v>
      </c>
      <c r="F15" s="18">
        <f>_xll.ciqfunctions.udf.CIQ($C$2, "IQ_GAIN_INVEST_REV",H$6,$F$2,,,Ccy,Conv)</f>
        <v>0</v>
      </c>
      <c r="G15" s="18">
        <f>_xll.ciqfunctions.udf.CIQ($C$2, "IQ_GAIN_INVEST_REV",I$6,$F$2,,,Ccy,Conv)</f>
        <v>0</v>
      </c>
      <c r="H15" s="18">
        <f>_xll.ciqfunctions.udf.CIQ($C$2, "IQ_GAIN_INVEST_REV",J$6,$F$2,,,Ccy,Conv)</f>
        <v>0</v>
      </c>
      <c r="I15" s="18">
        <f>_xll.ciqfunctions.udf.CIQ($C$2, "IQ_GAIN_INVEST_REV",K$6,$F$2,,,Ccy,Conv)</f>
        <v>0</v>
      </c>
      <c r="J15" s="18">
        <f>_xll.ciqfunctions.udf.CIQ($C$2, "IQ_GAIN_INVEST_REV",L$6,$F$2,,,Ccy,Conv)</f>
        <v>0</v>
      </c>
      <c r="K15" s="18">
        <f>_xll.ciqfunctions.udf.CIQ($C$2, "IQ_GAIN_INVEST_REV",M$6,$F$2,,,Ccy,Conv)</f>
        <v>0</v>
      </c>
      <c r="L15" s="18">
        <f>_xll.ciqfunctions.udf.CIQ($C$2, "IQ_GAIN_INVEST_REV",N$6,$F$2,,,Ccy,Conv)</f>
        <v>0</v>
      </c>
      <c r="M15" s="18"/>
      <c r="N15" s="18">
        <f>_xll.ciqfunctions.udf.CIQ($C$2, "IQ_GAIN_INVEST_REV",P$6,$F$2,,,Ccy,Conv)</f>
        <v>0</v>
      </c>
      <c r="O15" s="198"/>
      <c r="P15" s="198"/>
      <c r="Q15" s="198"/>
      <c r="R15" s="198"/>
      <c r="S15" s="198"/>
      <c r="T15" s="205"/>
      <c r="U15" s="211"/>
      <c r="V15" s="211"/>
      <c r="W15" s="212"/>
      <c r="X15" s="212"/>
      <c r="Y15" s="213"/>
      <c r="Z15" s="214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</row>
    <row r="16" spans="1:78" x14ac:dyDescent="0.25">
      <c r="A16" s="2" t="str">
        <f>'Language Index'!A38</f>
        <v>Interest And Invest. Income (Rev)</v>
      </c>
      <c r="B16" s="18">
        <f>_xll.ciqfunctions.udf.CIQ($C$2, "IQ_INT_INV_INC", D$6,$F$2,,,Ccy,Conv)</f>
        <v>0</v>
      </c>
      <c r="C16" s="18">
        <f>_xll.ciqfunctions.udf.CIQ($C$2, "IQ_INT_INV_INC", E$6,$F$2,,,Ccy,Conv)</f>
        <v>0</v>
      </c>
      <c r="D16" s="18">
        <f>_xll.ciqfunctions.udf.CIQ($C$2, "IQ_INT_INV_INC", F$6,$F$2,,,Ccy,Conv)</f>
        <v>0</v>
      </c>
      <c r="E16" s="18">
        <f>_xll.ciqfunctions.udf.CIQ($C$2, "IQ_INT_INV_INC", G$6,$F$2,,,Ccy,Conv)</f>
        <v>0</v>
      </c>
      <c r="F16" s="18">
        <f>_xll.ciqfunctions.udf.CIQ($C$2, "IQ_INT_INV_INC", H$6,$F$2,,,Ccy,Conv)</f>
        <v>0</v>
      </c>
      <c r="G16" s="18">
        <f>_xll.ciqfunctions.udf.CIQ($C$2, "IQ_INT_INV_INC", I$6,$F$2,,,Ccy,Conv)</f>
        <v>0</v>
      </c>
      <c r="H16" s="18">
        <f>_xll.ciqfunctions.udf.CIQ($C$2, "IQ_INT_INV_INC", J$6,$F$2,,,Ccy,Conv)</f>
        <v>0</v>
      </c>
      <c r="I16" s="18">
        <f>_xll.ciqfunctions.udf.CIQ($C$2, "IQ_INT_INV_INC", K$6,$F$2,,,Ccy,Conv)</f>
        <v>0</v>
      </c>
      <c r="J16" s="18">
        <f>_xll.ciqfunctions.udf.CIQ($C$2, "IQ_INT_INV_INC", L$6,$F$2,,,Ccy,Conv)</f>
        <v>0</v>
      </c>
      <c r="K16" s="18">
        <f>_xll.ciqfunctions.udf.CIQ($C$2, "IQ_INT_INV_INC", M$6,$F$2,,,Ccy,Conv)</f>
        <v>0</v>
      </c>
      <c r="L16" s="18">
        <f>_xll.ciqfunctions.udf.CIQ($C$2, "IQ_INT_INV_INC", N$6,$F$2,,,Ccy,Conv)</f>
        <v>0</v>
      </c>
      <c r="M16" s="18"/>
      <c r="N16" s="18">
        <f>_xll.ciqfunctions.udf.CIQ($C$2, "IQ_INT_INV_INC", P$6,$F$2,,,Ccy,Conv)</f>
        <v>0</v>
      </c>
      <c r="O16" s="198"/>
      <c r="P16" s="198"/>
      <c r="Q16" s="198"/>
      <c r="R16" s="198"/>
      <c r="S16" s="198"/>
      <c r="T16" s="205"/>
      <c r="U16" s="211"/>
      <c r="V16" s="211"/>
      <c r="W16" s="212"/>
      <c r="X16" s="212"/>
      <c r="Y16" s="213"/>
      <c r="Z16" s="214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</row>
    <row r="17" spans="1:76" x14ac:dyDescent="0.25">
      <c r="A17" s="2" t="str">
        <f>'Language Index'!A39</f>
        <v>Other Revenues</v>
      </c>
      <c r="B17" s="18">
        <f>_xll.ciqfunctions.udf.CIQ($C$2, "IQ_OTHER_REV_SUPPL", D$6,$F$2,,,Ccy,Conv)</f>
        <v>0</v>
      </c>
      <c r="C17" s="18">
        <f>_xll.ciqfunctions.udf.CIQ($C$2, "IQ_OTHER_REV_SUPPL", E$6,$F$2,,,Ccy,Conv)</f>
        <v>-1</v>
      </c>
      <c r="D17" s="18">
        <f>_xll.ciqfunctions.udf.CIQ($C$2, "IQ_OTHER_REV_SUPPL", F$6,$F$2,,,Ccy,Conv)</f>
        <v>-1</v>
      </c>
      <c r="E17" s="18">
        <f>_xll.ciqfunctions.udf.CIQ($C$2, "IQ_OTHER_REV_SUPPL", G$6,$F$2,,,Ccy,Conv)</f>
        <v>0</v>
      </c>
      <c r="F17" s="18">
        <f>_xll.ciqfunctions.udf.CIQ($C$2, "IQ_OTHER_REV_SUPPL", H$6,$F$2,,,Ccy,Conv)</f>
        <v>0</v>
      </c>
      <c r="G17" s="18">
        <f>_xll.ciqfunctions.udf.CIQ($C$2, "IQ_OTHER_REV_SUPPL", I$6,$F$2,,,Ccy,Conv)</f>
        <v>0</v>
      </c>
      <c r="H17" s="18">
        <f>_xll.ciqfunctions.udf.CIQ($C$2, "IQ_OTHER_REV_SUPPL", J$6,$F$2,,,Ccy,Conv)</f>
        <v>0</v>
      </c>
      <c r="I17" s="18">
        <f>_xll.ciqfunctions.udf.CIQ($C$2, "IQ_OTHER_REV_SUPPL", K$6,$F$2,,,Ccy,Conv)</f>
        <v>0</v>
      </c>
      <c r="J17" s="18">
        <f>_xll.ciqfunctions.udf.CIQ($C$2, "IQ_OTHER_REV_SUPPL", L$6,$F$2,,,Ccy,Conv)</f>
        <v>0</v>
      </c>
      <c r="K17" s="18">
        <f>_xll.ciqfunctions.udf.CIQ($C$2, "IQ_OTHER_REV_SUPPL", M$6,$F$2,,,Ccy,Conv)</f>
        <v>0</v>
      </c>
      <c r="L17" s="18">
        <f>_xll.ciqfunctions.udf.CIQ($C$2, "IQ_OTHER_REV_SUPPL", N$6,$F$2,,,Ccy,Conv)</f>
        <v>0</v>
      </c>
      <c r="M17" s="18"/>
      <c r="N17" s="18">
        <f>_xll.ciqfunctions.udf.CIQ($C$2, "IQ_OTHER_REV_SUPPL", P$6,$F$2,,,Ccy,Conv)</f>
        <v>0</v>
      </c>
      <c r="O17" s="198"/>
      <c r="P17" s="198"/>
      <c r="Q17" s="198"/>
      <c r="R17" s="198"/>
      <c r="S17" s="198"/>
      <c r="T17" s="205"/>
      <c r="U17" s="211"/>
      <c r="V17" s="211"/>
      <c r="W17" s="212"/>
      <c r="X17" s="212"/>
      <c r="Y17" s="213"/>
      <c r="Z17" s="214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</row>
    <row r="18" spans="1:76" x14ac:dyDescent="0.25">
      <c r="A18" s="19" t="str">
        <f>'Language Index'!A40</f>
        <v>Total Revenues</v>
      </c>
      <c r="B18" s="20">
        <f>_xll.ciqfunctions.udf.CIQ($C$2, "IQ_TOTAL_REV", D$6,$F$2,,,Ccy,Conv)</f>
        <v>92793</v>
      </c>
      <c r="C18" s="20">
        <f>_xll.ciqfunctions.udf.CIQ($C$2, "IQ_TOTAL_REV", E$6,$F$2,,,Ccy,Conv)</f>
        <v>81741</v>
      </c>
      <c r="D18" s="20">
        <f>_xll.ciqfunctions.udf.CIQ($C$2, "IQ_TOTAL_REV", F$6,$F$2,,,Ccy,Conv)</f>
        <v>79919</v>
      </c>
      <c r="E18" s="20">
        <f>_xll.ciqfunctions.udf.CIQ($C$2, "IQ_TOTAL_REV", G$6,$F$2,,,Ccy,Conv)</f>
        <v>79139</v>
      </c>
      <c r="F18" s="20">
        <f>_xll.ciqfunctions.udf.CIQ($C$2, "IQ_TOTAL_REV", H$6,$F$2,,,Ccy,Conv)</f>
        <v>79591</v>
      </c>
      <c r="G18" s="20">
        <f>_xll.ciqfunctions.udf.CIQ($C$2, "IQ_TOTAL_REV", I$6,$F$2,,,Ccy,Conv)</f>
        <v>57714</v>
      </c>
      <c r="H18" s="20">
        <f>_xll.ciqfunctions.udf.CIQ($C$2, "IQ_TOTAL_REV", J$6,$F$2,,,Ccy,Conv)</f>
        <v>55179</v>
      </c>
      <c r="I18" s="20">
        <f>_xll.ciqfunctions.udf.CIQ($C$2, "IQ_TOTAL_REV", K$6,$F$2,,,Ccy,Conv)</f>
        <v>57351</v>
      </c>
      <c r="J18" s="20">
        <f>_xll.ciqfunctions.udf.CIQ($C$2, "IQ_TOTAL_REV", L$6,$F$2,,,Ccy,Conv)</f>
        <v>60530</v>
      </c>
      <c r="K18" s="20">
        <f>_xll.ciqfunctions.udf.CIQ($C$2, "IQ_TOTAL_REV", M$6,$F$2,,,Ccy,Conv)</f>
        <v>61860</v>
      </c>
      <c r="L18" s="20">
        <f>_xll.ciqfunctions.udf.CIQ($C$2, "IQ_TOTAL_REV", N$6,$F$2,,,Ccy,Conv)</f>
        <v>62753</v>
      </c>
      <c r="M18" s="21"/>
      <c r="N18" s="20">
        <f>_xll.ciqfunctions.udf.CIQ($C$2, "IQ_TOTAL_REV", P$6,$F$2,,,Ccy,Conv)</f>
        <v>62753</v>
      </c>
      <c r="O18" s="215"/>
      <c r="P18" s="198"/>
      <c r="Q18" s="198"/>
      <c r="R18" s="198"/>
      <c r="S18" s="198"/>
      <c r="T18" s="205"/>
      <c r="U18" s="211"/>
      <c r="V18" s="211"/>
      <c r="W18" s="212"/>
      <c r="X18" s="212"/>
      <c r="Y18" s="213"/>
      <c r="Z18" s="214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</row>
    <row r="19" spans="1:76" x14ac:dyDescent="0.25">
      <c r="A19" s="2" t="str">
        <f>'Language Index'!A41</f>
        <v>Cost Of Goods Sold</v>
      </c>
      <c r="B19" s="18">
        <f>_xll.ciqfunctions.udf.CIQ($C$2, "IQ_COGS", D$6,$F$2,,,Ccy,Conv)</f>
        <v>45346</v>
      </c>
      <c r="C19" s="18">
        <f>_xll.ciqfunctions.udf.CIQ($C$2, "IQ_COGS", E$6,$F$2,,,Ccy,Conv)</f>
        <v>40046</v>
      </c>
      <c r="D19" s="18">
        <f>_xll.ciqfunctions.udf.CIQ($C$2, "IQ_COGS", F$6,$F$2,,,Ccy,Conv)</f>
        <v>40358</v>
      </c>
      <c r="E19" s="18">
        <f>_xll.ciqfunctions.udf.CIQ($C$2, "IQ_COGS", G$6,$F$2,,,Ccy,Conv)</f>
        <v>40986</v>
      </c>
      <c r="F19" s="18">
        <f>_xll.ciqfunctions.udf.CIQ($C$2, "IQ_COGS", H$6,$F$2,,,Ccy,Conv)</f>
        <v>41522</v>
      </c>
      <c r="G19" s="18">
        <f>_xll.ciqfunctions.udf.CIQ($C$2, "IQ_COGS", I$6,$F$2,,,Ccy,Conv)</f>
        <v>25476</v>
      </c>
      <c r="H19" s="18">
        <f>_xll.ciqfunctions.udf.CIQ($C$2, "IQ_COGS", J$6,$F$2,,,Ccy,Conv)</f>
        <v>23737</v>
      </c>
      <c r="I19" s="18">
        <f>_xll.ciqfunctions.udf.CIQ($C$2, "IQ_COGS", K$6,$F$2,,,Ccy,Conv)</f>
        <v>25331</v>
      </c>
      <c r="J19" s="18">
        <f>_xll.ciqfunctions.udf.CIQ($C$2, "IQ_COGS", L$6,$F$2,,,Ccy,Conv)</f>
        <v>27436</v>
      </c>
      <c r="K19" s="18">
        <f>_xll.ciqfunctions.udf.CIQ($C$2, "IQ_COGS", M$6,$F$2,,,Ccy,Conv)</f>
        <v>27178</v>
      </c>
      <c r="L19" s="18">
        <f>_xll.ciqfunctions.udf.CIQ($C$2, "IQ_COGS", N$6,$F$2,,,Ccy,Conv)</f>
        <v>26832</v>
      </c>
      <c r="M19" s="18"/>
      <c r="N19" s="18">
        <f>_xll.ciqfunctions.udf.CIQ($C$2, "IQ_COGS", P$6,$F$2,,,Ccy,Conv)</f>
        <v>26832</v>
      </c>
      <c r="O19" s="215"/>
      <c r="P19" s="198"/>
      <c r="Q19" s="198"/>
      <c r="R19" s="198"/>
      <c r="S19" s="198"/>
      <c r="T19" s="216"/>
      <c r="U19" s="211"/>
      <c r="V19" s="211"/>
      <c r="W19" s="212"/>
      <c r="X19" s="212"/>
      <c r="Y19" s="213"/>
      <c r="Z19" s="214"/>
      <c r="AA19" s="215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</row>
    <row r="20" spans="1:76" x14ac:dyDescent="0.25">
      <c r="A20" s="2" t="str">
        <f>'Language Index'!A42</f>
        <v>Finance Div. Operating Exp.</v>
      </c>
      <c r="B20" s="18">
        <f>_xll.ciqfunctions.udf.CIQ($C$2, "IQ_FIN_DIV_EXP", D$6,$F$2,,,Ccy,Conv)</f>
        <v>1040</v>
      </c>
      <c r="C20" s="18">
        <f>_xll.ciqfunctions.udf.CIQ($C$2, "IQ_FIN_DIV_EXP", E$6,$F$2,,,Ccy,Conv)</f>
        <v>1011</v>
      </c>
      <c r="D20" s="18">
        <f>_xll.ciqfunctions.udf.CIQ($C$2, "IQ_FIN_DIV_EXP", F$6,$F$2,,,Ccy,Conv)</f>
        <v>1044</v>
      </c>
      <c r="E20" s="18">
        <f>_xll.ciqfunctions.udf.CIQ($C$2, "IQ_FIN_DIV_EXP", G$6,$F$2,,,Ccy,Conv)</f>
        <v>1210</v>
      </c>
      <c r="F20" s="18">
        <f>_xll.ciqfunctions.udf.CIQ($C$2, "IQ_FIN_DIV_EXP", H$6,$F$2,,,Ccy,Conv)</f>
        <v>1132</v>
      </c>
      <c r="G20" s="18">
        <f>_xll.ciqfunctions.udf.CIQ($C$2, "IQ_FIN_DIV_EXP", I$6,$F$2,,,Ccy,Conv)</f>
        <v>704</v>
      </c>
      <c r="H20" s="18">
        <f>_xll.ciqfunctions.udf.CIQ($C$2, "IQ_FIN_DIV_EXP", J$6,$F$2,,,Ccy,Conv)</f>
        <v>577</v>
      </c>
      <c r="I20" s="18">
        <f>_xll.ciqfunctions.udf.CIQ($C$2, "IQ_FIN_DIV_EXP", K$6,$F$2,,,Ccy,Conv)</f>
        <v>534</v>
      </c>
      <c r="J20" s="18">
        <f>_xll.ciqfunctions.udf.CIQ($C$2, "IQ_FIN_DIV_EXP", L$6,$F$2,,,Ccy,Conv)</f>
        <v>406</v>
      </c>
      <c r="K20" s="18">
        <f>_xll.ciqfunctions.udf.CIQ($C$2, "IQ_FIN_DIV_EXP", M$6,$F$2,,,Ccy,Conv)</f>
        <v>382</v>
      </c>
      <c r="L20" s="18">
        <f>_xll.ciqfunctions.udf.CIQ($C$2, "IQ_FIN_DIV_EXP", N$6,$F$2,,,Ccy,Conv)</f>
        <v>369</v>
      </c>
      <c r="M20" s="18"/>
      <c r="N20" s="18">
        <f>_xll.ciqfunctions.udf.CIQ($C$2, "IQ_FIN_DIV_EXP", P$6,$F$2,,,Ccy,Conv)</f>
        <v>369</v>
      </c>
      <c r="O20" s="198"/>
      <c r="P20" s="198"/>
      <c r="Q20" s="198"/>
      <c r="R20" s="198"/>
      <c r="S20" s="198"/>
      <c r="T20" s="205"/>
      <c r="U20" s="205"/>
      <c r="V20" s="205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</row>
    <row r="21" spans="1:76" x14ac:dyDescent="0.25">
      <c r="A21" s="2" t="str">
        <f>'Language Index'!A43</f>
        <v>Insurance Div. Operating Exp.</v>
      </c>
      <c r="B21" s="18">
        <f>_xll.ciqfunctions.udf.CIQ($C$2, "IQ_INS_DIV_EXP", D$6,$F$2,,,Ccy,Conv)</f>
        <v>0</v>
      </c>
      <c r="C21" s="18">
        <f>_xll.ciqfunctions.udf.CIQ($C$2, "IQ_INS_DIV_EXP", E$6,$F$2,,,Ccy,Conv)</f>
        <v>0</v>
      </c>
      <c r="D21" s="18">
        <f>_xll.ciqfunctions.udf.CIQ($C$2, "IQ_INS_DIV_EXP", F$6,$F$2,,,Ccy,Conv)</f>
        <v>0</v>
      </c>
      <c r="E21" s="18">
        <f>_xll.ciqfunctions.udf.CIQ($C$2, "IQ_INS_DIV_EXP", G$6,$F$2,,,Ccy,Conv)</f>
        <v>0</v>
      </c>
      <c r="F21" s="18">
        <f>_xll.ciqfunctions.udf.CIQ($C$2, "IQ_INS_DIV_EXP", H$6,$F$2,,,Ccy,Conv)</f>
        <v>0</v>
      </c>
      <c r="G21" s="18">
        <f>_xll.ciqfunctions.udf.CIQ($C$2, "IQ_INS_DIV_EXP", I$6,$F$2,,,Ccy,Conv)</f>
        <v>0</v>
      </c>
      <c r="H21" s="18">
        <f>_xll.ciqfunctions.udf.CIQ($C$2, "IQ_INS_DIV_EXP", J$6,$F$2,,,Ccy,Conv)</f>
        <v>0</v>
      </c>
      <c r="I21" s="18">
        <f>_xll.ciqfunctions.udf.CIQ($C$2, "IQ_INS_DIV_EXP", K$6,$F$2,,,Ccy,Conv)</f>
        <v>0</v>
      </c>
      <c r="J21" s="18">
        <f>_xll.ciqfunctions.udf.CIQ($C$2, "IQ_INS_DIV_EXP", L$6,$F$2,,,Ccy,Conv)</f>
        <v>0</v>
      </c>
      <c r="K21" s="18">
        <f>_xll.ciqfunctions.udf.CIQ($C$2, "IQ_INS_DIV_EXP", M$6,$F$2,,,Ccy,Conv)</f>
        <v>0</v>
      </c>
      <c r="L21" s="18">
        <f>_xll.ciqfunctions.udf.CIQ($C$2, "IQ_INS_DIV_EXP", N$6,$F$2,,,Ccy,Conv)</f>
        <v>0</v>
      </c>
      <c r="M21" s="18"/>
      <c r="N21" s="18">
        <f>_xll.ciqfunctions.udf.CIQ($C$2, "IQ_INS_DIV_EXP", P$6,$F$2,,,Ccy,Conv)</f>
        <v>0</v>
      </c>
      <c r="O21" s="198"/>
      <c r="P21" s="198"/>
      <c r="Q21" s="198"/>
      <c r="R21" s="198"/>
      <c r="S21" s="198"/>
      <c r="T21" s="205"/>
      <c r="U21" s="205"/>
      <c r="V21" s="205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</row>
    <row r="22" spans="1:76" x14ac:dyDescent="0.25">
      <c r="A22" s="2" t="str">
        <f>'Language Index'!A44</f>
        <v>Interest Expense - Finance Division</v>
      </c>
      <c r="B22" s="18">
        <f>_xll.ciqfunctions.udf.CIQ($C$2, "IQ_FIN_DIV_INT_EXP", D$6,$F$2,,,Ccy,Conv)</f>
        <v>0</v>
      </c>
      <c r="C22" s="18">
        <f>_xll.ciqfunctions.udf.CIQ($C$2, "IQ_FIN_DIV_INT_EXP", E$6,$F$2,,,Ccy,Conv)</f>
        <v>0</v>
      </c>
      <c r="D22" s="18">
        <f>_xll.ciqfunctions.udf.CIQ($C$2, "IQ_FIN_DIV_INT_EXP", F$6,$F$2,,,Ccy,Conv)</f>
        <v>0</v>
      </c>
      <c r="E22" s="18">
        <f>_xll.ciqfunctions.udf.CIQ($C$2, "IQ_FIN_DIV_INT_EXP", G$6,$F$2,,,Ccy,Conv)</f>
        <v>0</v>
      </c>
      <c r="F22" s="18">
        <f>_xll.ciqfunctions.udf.CIQ($C$2, "IQ_FIN_DIV_INT_EXP", H$6,$F$2,,,Ccy,Conv)</f>
        <v>0</v>
      </c>
      <c r="G22" s="18">
        <f>_xll.ciqfunctions.udf.CIQ($C$2, "IQ_FIN_DIV_INT_EXP", I$6,$F$2,,,Ccy,Conv)</f>
        <v>0</v>
      </c>
      <c r="H22" s="18">
        <f>_xll.ciqfunctions.udf.CIQ($C$2, "IQ_FIN_DIV_INT_EXP", J$6,$F$2,,,Ccy,Conv)</f>
        <v>0</v>
      </c>
      <c r="I22" s="18">
        <f>_xll.ciqfunctions.udf.CIQ($C$2, "IQ_FIN_DIV_INT_EXP", K$6,$F$2,,,Ccy,Conv)</f>
        <v>0</v>
      </c>
      <c r="J22" s="18">
        <f>_xll.ciqfunctions.udf.CIQ($C$2, "IQ_FIN_DIV_INT_EXP", L$6,$F$2,,,Ccy,Conv)</f>
        <v>0</v>
      </c>
      <c r="K22" s="18">
        <f>_xll.ciqfunctions.udf.CIQ($C$2, "IQ_FIN_DIV_INT_EXP", M$6,$F$2,,,Ccy,Conv)</f>
        <v>0</v>
      </c>
      <c r="L22" s="18">
        <f>_xll.ciqfunctions.udf.CIQ($C$2, "IQ_FIN_DIV_INT_EXP", N$6,$F$2,,,Ccy,Conv)</f>
        <v>0</v>
      </c>
      <c r="M22" s="18"/>
      <c r="N22" s="18">
        <f>_xll.ciqfunctions.udf.CIQ($C$2, "IQ_FIN_DIV_INT_EXP", P$6,$F$2,,,Ccy,Conv)</f>
        <v>0</v>
      </c>
      <c r="O22" s="198"/>
      <c r="P22" s="198"/>
      <c r="Q22" s="198"/>
      <c r="R22" s="198"/>
      <c r="S22" s="198"/>
      <c r="T22" s="205"/>
      <c r="U22" s="205"/>
      <c r="V22" s="205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</row>
    <row r="23" spans="1:76" x14ac:dyDescent="0.25">
      <c r="A23" s="19" t="str">
        <f>'Language Index'!A45</f>
        <v>Gross Profit</v>
      </c>
      <c r="B23" s="20">
        <f>_xll.ciqfunctions.udf.CIQ($C$2, "IQ_GP", D$6,$F$2,,,Ccy,Conv)</f>
        <v>46407</v>
      </c>
      <c r="C23" s="20">
        <f>_xll.ciqfunctions.udf.CIQ($C$2, "IQ_GP", E$6,$F$2,,,Ccy,Conv)</f>
        <v>40684</v>
      </c>
      <c r="D23" s="20">
        <f>_xll.ciqfunctions.udf.CIQ($C$2, "IQ_GP", F$6,$F$2,,,Ccy,Conv)</f>
        <v>38517</v>
      </c>
      <c r="E23" s="20">
        <f>_xll.ciqfunctions.udf.CIQ($C$2, "IQ_GP", G$6,$F$2,,,Ccy,Conv)</f>
        <v>36943</v>
      </c>
      <c r="F23" s="20">
        <f>_xll.ciqfunctions.udf.CIQ($C$2, "IQ_GP", H$6,$F$2,,,Ccy,Conv)</f>
        <v>36937</v>
      </c>
      <c r="G23" s="20">
        <f>_xll.ciqfunctions.udf.CIQ($C$2, "IQ_GP", I$6,$F$2,,,Ccy,Conv)</f>
        <v>31534</v>
      </c>
      <c r="H23" s="20">
        <f>_xll.ciqfunctions.udf.CIQ($C$2, "IQ_GP", J$6,$F$2,,,Ccy,Conv)</f>
        <v>30865</v>
      </c>
      <c r="I23" s="20">
        <f>_xll.ciqfunctions.udf.CIQ($C$2, "IQ_GP", K$6,$F$2,,,Ccy,Conv)</f>
        <v>31486</v>
      </c>
      <c r="J23" s="20">
        <f>_xll.ciqfunctions.udf.CIQ($C$2, "IQ_GP", L$6,$F$2,,,Ccy,Conv)</f>
        <v>32688</v>
      </c>
      <c r="K23" s="20">
        <f>_xll.ciqfunctions.udf.CIQ($C$2, "IQ_GP", M$6,$F$2,,,Ccy,Conv)</f>
        <v>34300</v>
      </c>
      <c r="L23" s="20">
        <f>_xll.ciqfunctions.udf.CIQ($C$2, "IQ_GP", N$6,$F$2,,,Ccy,Conv)</f>
        <v>35552</v>
      </c>
      <c r="M23" s="21"/>
      <c r="N23" s="20">
        <f>_xll.ciqfunctions.udf.CIQ($C$2, "IQ_GP", P$6,$F$2,,,Ccy,Conv)</f>
        <v>35552</v>
      </c>
      <c r="O23" s="215"/>
      <c r="P23" s="198"/>
      <c r="Q23" s="198"/>
      <c r="R23" s="198"/>
      <c r="S23" s="198"/>
      <c r="T23" s="216"/>
      <c r="U23" s="216"/>
      <c r="V23" s="216"/>
      <c r="W23" s="215"/>
      <c r="X23" s="215"/>
      <c r="Y23" s="215"/>
      <c r="Z23" s="215"/>
      <c r="AA23" s="215"/>
      <c r="AB23" s="215"/>
      <c r="AC23" s="198"/>
      <c r="AD23" s="198"/>
      <c r="AE23" s="198"/>
      <c r="AF23" s="215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</row>
    <row r="24" spans="1:76" x14ac:dyDescent="0.25">
      <c r="A24" s="2" t="str">
        <f>'Language Index'!A46</f>
        <v>Selling General &amp; Admin Exp.</v>
      </c>
      <c r="B24" s="18">
        <f>_xll.ciqfunctions.udf.CIQ($C$2, "IQ_SGA_SUPPL", D$6,$F$2,,,Ccy,Conv)</f>
        <v>21549</v>
      </c>
      <c r="C24" s="18">
        <f>_xll.ciqfunctions.udf.CIQ($C$2, "IQ_SGA_SUPPL", E$6,$F$2,,,Ccy,Conv)</f>
        <v>19589</v>
      </c>
      <c r="D24" s="18">
        <f>_xll.ciqfunctions.udf.CIQ($C$2, "IQ_SGA_SUPPL", F$6,$F$2,,,Ccy,Conv)</f>
        <v>20225</v>
      </c>
      <c r="E24" s="18">
        <f>_xll.ciqfunctions.udf.CIQ($C$2, "IQ_SGA_SUPPL", G$6,$F$2,,,Ccy,Conv)</f>
        <v>21137</v>
      </c>
      <c r="F24" s="18">
        <f>_xll.ciqfunctions.udf.CIQ($C$2, "IQ_SGA_SUPPL", H$6,$F$2,,,Ccy,Conv)</f>
        <v>19366</v>
      </c>
      <c r="G24" s="18">
        <f>_xll.ciqfunctions.udf.CIQ($C$2, "IQ_SGA_SUPPL", I$6,$F$2,,,Ccy,Conv)</f>
        <v>18724</v>
      </c>
      <c r="H24" s="18">
        <f>_xll.ciqfunctions.udf.CIQ($C$2, "IQ_SGA_SUPPL", J$6,$F$2,,,Ccy,Conv)</f>
        <v>20561</v>
      </c>
      <c r="I24" s="18">
        <f>_xll.ciqfunctions.udf.CIQ($C$2, "IQ_SGA_SUPPL", K$6,$F$2,,,Ccy,Conv)</f>
        <v>20027</v>
      </c>
      <c r="J24" s="18">
        <f>_xll.ciqfunctions.udf.CIQ($C$2, "IQ_SGA_SUPPL", L$6,$F$2,,,Ccy,Conv)</f>
        <v>25157</v>
      </c>
      <c r="K24" s="18">
        <f>_xll.ciqfunctions.udf.CIQ($C$2, "IQ_SGA_SUPPL", M$6,$F$2,,,Ccy,Conv)</f>
        <v>18482</v>
      </c>
      <c r="L24" s="18">
        <f>_xll.ciqfunctions.udf.CIQ($C$2, "IQ_SGA_SUPPL", N$6,$F$2,,,Ccy,Conv)</f>
        <v>22394</v>
      </c>
      <c r="M24" s="18"/>
      <c r="N24" s="18">
        <f>_xll.ciqfunctions.udf.CIQ($C$2, "IQ_SGA_SUPPL", P$6,$F$2,,,Ccy,Conv)</f>
        <v>22394</v>
      </c>
      <c r="O24" s="215"/>
      <c r="P24" s="198"/>
      <c r="Q24" s="198"/>
      <c r="R24" s="198"/>
      <c r="S24" s="198"/>
      <c r="T24" s="216"/>
      <c r="U24" s="216"/>
      <c r="V24" s="216"/>
      <c r="W24" s="215"/>
      <c r="X24" s="215"/>
      <c r="Y24" s="215"/>
      <c r="Z24" s="215"/>
      <c r="AA24" s="215"/>
      <c r="AB24" s="215"/>
      <c r="AC24" s="198"/>
      <c r="AD24" s="198"/>
      <c r="AE24" s="198"/>
      <c r="AF24" s="215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</row>
    <row r="25" spans="1:76" x14ac:dyDescent="0.25">
      <c r="A25" s="2" t="str">
        <f>'Language Index'!A47</f>
        <v>Exploration/Drilling Costs</v>
      </c>
      <c r="B25" s="18">
        <f>_xll.ciqfunctions.udf.CIQ($C$2, "IQ_EXPLORE_DRILL",D$6,$F$2,,,Ccy,Conv)</f>
        <v>0</v>
      </c>
      <c r="C25" s="18">
        <f>_xll.ciqfunctions.udf.CIQ($C$2, "IQ_EXPLORE_DRILL",E$6,$F$2,,,Ccy,Conv)</f>
        <v>0</v>
      </c>
      <c r="D25" s="18">
        <f>_xll.ciqfunctions.udf.CIQ($C$2, "IQ_EXPLORE_DRILL",F$6,$F$2,,,Ccy,Conv)</f>
        <v>0</v>
      </c>
      <c r="E25" s="18">
        <f>_xll.ciqfunctions.udf.CIQ($C$2, "IQ_EXPLORE_DRILL",G$6,$F$2,,,Ccy,Conv)</f>
        <v>0</v>
      </c>
      <c r="F25" s="18">
        <f>_xll.ciqfunctions.udf.CIQ($C$2, "IQ_EXPLORE_DRILL",H$6,$F$2,,,Ccy,Conv)</f>
        <v>0</v>
      </c>
      <c r="G25" s="18">
        <f>_xll.ciqfunctions.udf.CIQ($C$2, "IQ_EXPLORE_DRILL",I$6,$F$2,,,Ccy,Conv)</f>
        <v>0</v>
      </c>
      <c r="H25" s="18">
        <f>_xll.ciqfunctions.udf.CIQ($C$2, "IQ_EXPLORE_DRILL",J$6,$F$2,,,Ccy,Conv)</f>
        <v>0</v>
      </c>
      <c r="I25" s="18">
        <f>_xll.ciqfunctions.udf.CIQ($C$2, "IQ_EXPLORE_DRILL",K$6,$F$2,,,Ccy,Conv)</f>
        <v>0</v>
      </c>
      <c r="J25" s="18">
        <f>_xll.ciqfunctions.udf.CIQ($C$2, "IQ_EXPLORE_DRILL",L$6,$F$2,,,Ccy,Conv)</f>
        <v>0</v>
      </c>
      <c r="K25" s="18">
        <f>_xll.ciqfunctions.udf.CIQ($C$2, "IQ_EXPLORE_DRILL",M$6,$F$2,,,Ccy,Conv)</f>
        <v>0</v>
      </c>
      <c r="L25" s="18">
        <f>_xll.ciqfunctions.udf.CIQ($C$2, "IQ_EXPLORE_DRILL",N$6,$F$2,,,Ccy,Conv)</f>
        <v>0</v>
      </c>
      <c r="M25" s="18"/>
      <c r="N25" s="18">
        <f>_xll.ciqfunctions.udf.CIQ($C$2, "IQ_EXPLORE_DRILL",P$6,$F$2,,,Ccy,Conv)</f>
        <v>0</v>
      </c>
      <c r="O25" s="198"/>
      <c r="P25" s="198"/>
      <c r="Q25" s="198"/>
      <c r="R25" s="198"/>
      <c r="S25" s="198"/>
      <c r="T25" s="205"/>
      <c r="U25" s="205"/>
      <c r="V25" s="205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</row>
    <row r="26" spans="1:76" x14ac:dyDescent="0.25">
      <c r="A26" s="2" t="str">
        <f>'Language Index'!A48</f>
        <v>Provision for Bad Debts</v>
      </c>
      <c r="B26" s="18">
        <f>_xll.ciqfunctions.udf.CIQ($C$2, "IQ_PROV_BAD_DEBTS", D$6,$F$2,,,Ccy,Conv)</f>
        <v>0</v>
      </c>
      <c r="C26" s="18">
        <f>_xll.ciqfunctions.udf.CIQ($C$2, "IQ_PROV_BAD_DEBTS", E$6,$F$2,,,Ccy,Conv)</f>
        <v>0</v>
      </c>
      <c r="D26" s="18">
        <f>_xll.ciqfunctions.udf.CIQ($C$2, "IQ_PROV_BAD_DEBTS", F$6,$F$2,,,Ccy,Conv)</f>
        <v>0</v>
      </c>
      <c r="E26" s="18">
        <f>_xll.ciqfunctions.udf.CIQ($C$2, "IQ_PROV_BAD_DEBTS", G$6,$F$2,,,Ccy,Conv)</f>
        <v>0</v>
      </c>
      <c r="F26" s="18">
        <f>_xll.ciqfunctions.udf.CIQ($C$2, "IQ_PROV_BAD_DEBTS", H$6,$F$2,,,Ccy,Conv)</f>
        <v>0</v>
      </c>
      <c r="G26" s="18">
        <f>_xll.ciqfunctions.udf.CIQ($C$2, "IQ_PROV_BAD_DEBTS", I$6,$F$2,,,Ccy,Conv)</f>
        <v>0</v>
      </c>
      <c r="H26" s="18">
        <f>_xll.ciqfunctions.udf.CIQ($C$2, "IQ_PROV_BAD_DEBTS", J$6,$F$2,,,Ccy,Conv)</f>
        <v>0</v>
      </c>
      <c r="I26" s="18">
        <f>_xll.ciqfunctions.udf.CIQ($C$2, "IQ_PROV_BAD_DEBTS", K$6,$F$2,,,Ccy,Conv)</f>
        <v>0</v>
      </c>
      <c r="J26" s="18">
        <f>_xll.ciqfunctions.udf.CIQ($C$2, "IQ_PROV_BAD_DEBTS", L$6,$F$2,,,Ccy,Conv)</f>
        <v>0</v>
      </c>
      <c r="K26" s="18">
        <f>_xll.ciqfunctions.udf.CIQ($C$2, "IQ_PROV_BAD_DEBTS", M$6,$F$2,,,Ccy,Conv)</f>
        <v>0</v>
      </c>
      <c r="L26" s="18">
        <f>_xll.ciqfunctions.udf.CIQ($C$2, "IQ_PROV_BAD_DEBTS", N$6,$F$2,,,Ccy,Conv)</f>
        <v>0</v>
      </c>
      <c r="M26" s="18"/>
      <c r="N26" s="18">
        <f>_xll.ciqfunctions.udf.CIQ($C$2, "IQ_PROV_BAD_DEBTS", P$6,$F$2,,,Ccy,Conv)</f>
        <v>0</v>
      </c>
      <c r="O26" s="198"/>
      <c r="P26" s="198"/>
      <c r="Q26" s="198"/>
      <c r="R26" s="198"/>
      <c r="S26" s="198"/>
      <c r="T26" s="205"/>
      <c r="U26" s="205"/>
      <c r="V26" s="205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  <c r="BS26" s="198"/>
      <c r="BT26" s="198"/>
      <c r="BU26" s="198"/>
      <c r="BV26" s="198"/>
      <c r="BW26" s="198"/>
      <c r="BX26" s="198"/>
    </row>
    <row r="27" spans="1:76" x14ac:dyDescent="0.25">
      <c r="A27" s="2" t="str">
        <f>'Language Index'!A49</f>
        <v>Stock-Based Compensation</v>
      </c>
      <c r="B27" s="18">
        <f>_xll.ciqfunctions.udf.CIQ($C$2, "IQ_STOCK_BASED", D$6,$F$2,,,Ccy,Conv)</f>
        <v>0</v>
      </c>
      <c r="C27" s="18">
        <f>_xll.ciqfunctions.udf.CIQ($C$2, "IQ_STOCK_BASED", E$6,$F$2,,,Ccy,Conv)</f>
        <v>0</v>
      </c>
      <c r="D27" s="18">
        <f>_xll.ciqfunctions.udf.CIQ($C$2, "IQ_STOCK_BASED", F$6,$F$2,,,Ccy,Conv)</f>
        <v>0</v>
      </c>
      <c r="E27" s="18">
        <f>_xll.ciqfunctions.udf.CIQ($C$2, "IQ_STOCK_BASED", G$6,$F$2,,,Ccy,Conv)</f>
        <v>0</v>
      </c>
      <c r="F27" s="18">
        <f>_xll.ciqfunctions.udf.CIQ($C$2, "IQ_STOCK_BASED", H$6,$F$2,,,Ccy,Conv)</f>
        <v>0</v>
      </c>
      <c r="G27" s="18">
        <f>_xll.ciqfunctions.udf.CIQ($C$2, "IQ_STOCK_BASED", I$6,$F$2,,,Ccy,Conv)</f>
        <v>0</v>
      </c>
      <c r="H27" s="18">
        <f>_xll.ciqfunctions.udf.CIQ($C$2, "IQ_STOCK_BASED", J$6,$F$2,,,Ccy,Conv)</f>
        <v>0</v>
      </c>
      <c r="I27" s="18">
        <f>_xll.ciqfunctions.udf.CIQ($C$2, "IQ_STOCK_BASED", K$6,$F$2,,,Ccy,Conv)</f>
        <v>0</v>
      </c>
      <c r="J27" s="18">
        <f>_xll.ciqfunctions.udf.CIQ($C$2, "IQ_STOCK_BASED", L$6,$F$2,,,Ccy,Conv)</f>
        <v>0</v>
      </c>
      <c r="K27" s="18">
        <f>_xll.ciqfunctions.udf.CIQ($C$2, "IQ_STOCK_BASED", M$6,$F$2,,,Ccy,Conv)</f>
        <v>0</v>
      </c>
      <c r="L27" s="18">
        <f>_xll.ciqfunctions.udf.CIQ($C$2, "IQ_STOCK_BASED", N$6,$F$2,,,Ccy,Conv)</f>
        <v>0</v>
      </c>
      <c r="M27" s="18"/>
      <c r="N27" s="18">
        <f>_xll.ciqfunctions.udf.CIQ($C$2, "IQ_STOCK_BASED", P$6,$F$2,,,Ccy,Conv)</f>
        <v>0</v>
      </c>
      <c r="O27" s="198"/>
      <c r="P27" s="198"/>
      <c r="Q27" s="198"/>
      <c r="R27" s="198"/>
      <c r="S27" s="198"/>
      <c r="T27" s="205"/>
      <c r="U27" s="205"/>
      <c r="V27" s="205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L27" s="198"/>
      <c r="AM27" s="198"/>
      <c r="AN27" s="198"/>
      <c r="AO27" s="198"/>
      <c r="AP27" s="198"/>
      <c r="AQ27" s="198"/>
      <c r="AR27" s="198"/>
      <c r="AS27" s="198"/>
      <c r="AT27" s="198"/>
      <c r="AU27" s="198"/>
      <c r="AV27" s="198"/>
      <c r="AW27" s="198"/>
      <c r="AX27" s="198"/>
      <c r="AY27" s="198"/>
      <c r="AZ27" s="198"/>
      <c r="BA27" s="198"/>
      <c r="BB27" s="198"/>
      <c r="BC27" s="198"/>
      <c r="BD27" s="198"/>
      <c r="BE27" s="198"/>
      <c r="BF27" s="198"/>
      <c r="BG27" s="198"/>
      <c r="BH27" s="198"/>
      <c r="BI27" s="198"/>
      <c r="BJ27" s="198"/>
      <c r="BK27" s="198"/>
      <c r="BL27" s="198"/>
      <c r="BM27" s="198"/>
      <c r="BN27" s="198"/>
      <c r="BO27" s="198"/>
      <c r="BP27" s="198"/>
      <c r="BQ27" s="198"/>
      <c r="BR27" s="198"/>
      <c r="BS27" s="198"/>
      <c r="BT27" s="198"/>
      <c r="BU27" s="198"/>
      <c r="BV27" s="198"/>
      <c r="BW27" s="198"/>
      <c r="BX27" s="198"/>
    </row>
    <row r="28" spans="1:76" x14ac:dyDescent="0.25">
      <c r="A28" s="2" t="str">
        <f>'Language Index'!A50</f>
        <v>Pre-Opening Costs</v>
      </c>
      <c r="B28" s="18">
        <f>_xll.ciqfunctions.udf.CIQ($C$2, "IQ_PRE_OPEN_COST", D$6,$F$2,,,Ccy,Conv)</f>
        <v>0</v>
      </c>
      <c r="C28" s="18">
        <f>_xll.ciqfunctions.udf.CIQ($C$2, "IQ_PRE_OPEN_COST", E$6,$F$2,,,Ccy,Conv)</f>
        <v>0</v>
      </c>
      <c r="D28" s="18">
        <f>_xll.ciqfunctions.udf.CIQ($C$2, "IQ_PRE_OPEN_COST", F$6,$F$2,,,Ccy,Conv)</f>
        <v>0</v>
      </c>
      <c r="E28" s="18">
        <f>_xll.ciqfunctions.udf.CIQ($C$2, "IQ_PRE_OPEN_COST", G$6,$F$2,,,Ccy,Conv)</f>
        <v>0</v>
      </c>
      <c r="F28" s="18">
        <f>_xll.ciqfunctions.udf.CIQ($C$2, "IQ_PRE_OPEN_COST", H$6,$F$2,,,Ccy,Conv)</f>
        <v>0</v>
      </c>
      <c r="G28" s="18">
        <f>_xll.ciqfunctions.udf.CIQ($C$2, "IQ_PRE_OPEN_COST", I$6,$F$2,,,Ccy,Conv)</f>
        <v>0</v>
      </c>
      <c r="H28" s="18">
        <f>_xll.ciqfunctions.udf.CIQ($C$2, "IQ_PRE_OPEN_COST", J$6,$F$2,,,Ccy,Conv)</f>
        <v>0</v>
      </c>
      <c r="I28" s="18">
        <f>_xll.ciqfunctions.udf.CIQ($C$2, "IQ_PRE_OPEN_COST", K$6,$F$2,,,Ccy,Conv)</f>
        <v>0</v>
      </c>
      <c r="J28" s="18">
        <f>_xll.ciqfunctions.udf.CIQ($C$2, "IQ_PRE_OPEN_COST", L$6,$F$2,,,Ccy,Conv)</f>
        <v>0</v>
      </c>
      <c r="K28" s="18">
        <f>_xll.ciqfunctions.udf.CIQ($C$2, "IQ_PRE_OPEN_COST", M$6,$F$2,,,Ccy,Conv)</f>
        <v>0</v>
      </c>
      <c r="L28" s="18">
        <f>_xll.ciqfunctions.udf.CIQ($C$2, "IQ_PRE_OPEN_COST", N$6,$F$2,,,Ccy,Conv)</f>
        <v>0</v>
      </c>
      <c r="M28" s="18"/>
      <c r="N28" s="18">
        <f>_xll.ciqfunctions.udf.CIQ($C$2, "IQ_PRE_OPEN_COST", P$6,$F$2,,,Ccy,Conv)</f>
        <v>0</v>
      </c>
      <c r="O28" s="198"/>
      <c r="P28" s="198"/>
      <c r="Q28" s="198"/>
      <c r="R28" s="198"/>
      <c r="S28" s="198"/>
      <c r="T28" s="205"/>
      <c r="U28" s="205"/>
      <c r="V28" s="205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8"/>
      <c r="BB28" s="198"/>
      <c r="BC28" s="198"/>
      <c r="BD28" s="198"/>
      <c r="BE28" s="198"/>
      <c r="BF28" s="198"/>
      <c r="BG28" s="198"/>
      <c r="BH28" s="198"/>
      <c r="BI28" s="198"/>
      <c r="BJ28" s="198"/>
      <c r="BK28" s="198"/>
      <c r="BL28" s="198"/>
      <c r="BM28" s="198"/>
      <c r="BN28" s="198"/>
      <c r="BO28" s="198"/>
      <c r="BP28" s="198"/>
      <c r="BQ28" s="198"/>
      <c r="BR28" s="198"/>
      <c r="BS28" s="198"/>
      <c r="BT28" s="198"/>
      <c r="BU28" s="198"/>
      <c r="BV28" s="198"/>
      <c r="BW28" s="198"/>
      <c r="BX28" s="198"/>
    </row>
    <row r="29" spans="1:76" x14ac:dyDescent="0.25">
      <c r="A29" s="2" t="str">
        <f>'Language Index'!A51</f>
        <v>R &amp; D Exp.</v>
      </c>
      <c r="B29" s="18">
        <f>_xll.ciqfunctions.udf.CIQ($C$2, "IQ_RD_EXP", D$6,$F$2,,,Ccy,Conv)</f>
        <v>5437</v>
      </c>
      <c r="C29" s="18">
        <f>_xll.ciqfunctions.udf.CIQ($C$2, "IQ_RD_EXP", E$6,$F$2,,,Ccy,Conv)</f>
        <v>5247</v>
      </c>
      <c r="D29" s="18">
        <f>_xll.ciqfunctions.udf.CIQ($C$2, "IQ_RD_EXP", F$6,$F$2,,,Ccy,Conv)</f>
        <v>5726</v>
      </c>
      <c r="E29" s="18">
        <f>_xll.ciqfunctions.udf.CIQ($C$2, "IQ_RD_EXP", G$6,$F$2,,,Ccy,Conv)</f>
        <v>5590</v>
      </c>
      <c r="F29" s="18">
        <f>_xll.ciqfunctions.udf.CIQ($C$2, "IQ_RD_EXP", H$6,$F$2,,,Ccy,Conv)</f>
        <v>5379</v>
      </c>
      <c r="G29" s="18">
        <f>_xll.ciqfunctions.udf.CIQ($C$2, "IQ_RD_EXP", I$6,$F$2,,,Ccy,Conv)</f>
        <v>5910</v>
      </c>
      <c r="H29" s="18">
        <f>_xll.ciqfunctions.udf.CIQ($C$2, "IQ_RD_EXP", J$6,$F$2,,,Ccy,Conv)</f>
        <v>6262</v>
      </c>
      <c r="I29" s="18">
        <f>_xll.ciqfunctions.udf.CIQ($C$2, "IQ_RD_EXP", K$6,$F$2,,,Ccy,Conv)</f>
        <v>6488</v>
      </c>
      <c r="J29" s="18">
        <f>_xll.ciqfunctions.udf.CIQ($C$2, "IQ_RD_EXP", L$6,$F$2,,,Ccy,Conv)</f>
        <v>6567</v>
      </c>
      <c r="K29" s="18">
        <f>_xll.ciqfunctions.udf.CIQ($C$2, "IQ_RD_EXP", M$6,$F$2,,,Ccy,Conv)</f>
        <v>6775</v>
      </c>
      <c r="L29" s="18">
        <f>_xll.ciqfunctions.udf.CIQ($C$2, "IQ_RD_EXP", N$6,$F$2,,,Ccy,Conv)</f>
        <v>7479</v>
      </c>
      <c r="M29" s="18"/>
      <c r="N29" s="18">
        <f>_xll.ciqfunctions.udf.CIQ($C$2, "IQ_RD_EXP", P$6,$F$2,,,Ccy,Conv)</f>
        <v>7479</v>
      </c>
      <c r="O29" s="198"/>
      <c r="P29" s="198"/>
      <c r="Q29" s="198"/>
      <c r="R29" s="198"/>
      <c r="S29" s="198"/>
      <c r="T29" s="205"/>
      <c r="U29" s="205"/>
      <c r="V29" s="205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8"/>
      <c r="AV29" s="198"/>
      <c r="AW29" s="198"/>
      <c r="AX29" s="198"/>
      <c r="AY29" s="198"/>
      <c r="AZ29" s="198"/>
      <c r="BA29" s="198"/>
      <c r="BB29" s="198"/>
      <c r="BC29" s="198"/>
      <c r="BD29" s="198"/>
      <c r="BE29" s="198"/>
      <c r="BF29" s="198"/>
      <c r="BG29" s="198"/>
      <c r="BH29" s="198"/>
      <c r="BI29" s="198"/>
      <c r="BJ29" s="198"/>
      <c r="BK29" s="198"/>
      <c r="BL29" s="198"/>
      <c r="BM29" s="198"/>
      <c r="BN29" s="198"/>
      <c r="BO29" s="198"/>
      <c r="BP29" s="198"/>
      <c r="BQ29" s="198"/>
      <c r="BR29" s="198"/>
      <c r="BS29" s="198"/>
      <c r="BT29" s="198"/>
      <c r="BU29" s="198"/>
      <c r="BV29" s="198"/>
      <c r="BW29" s="198"/>
      <c r="BX29" s="198"/>
    </row>
    <row r="30" spans="1:76" x14ac:dyDescent="0.25">
      <c r="A30" s="2" t="str">
        <f>'Language Index'!A52</f>
        <v>Depreciation &amp; Amort.</v>
      </c>
      <c r="B30" s="18">
        <f>_xll.ciqfunctions.udf.CIQ($C$2, "IQ_DA_SUPPL", D$6,$F$2,,,Ccy,Conv)</f>
        <v>0</v>
      </c>
      <c r="C30" s="18">
        <f>_xll.ciqfunctions.udf.CIQ($C$2, "IQ_DA_SUPPL", E$6,$F$2,,,Ccy,Conv)</f>
        <v>0</v>
      </c>
      <c r="D30" s="18">
        <f>_xll.ciqfunctions.udf.CIQ($C$2, "IQ_DA_SUPPL", F$6,$F$2,,,Ccy,Conv)</f>
        <v>0</v>
      </c>
      <c r="E30" s="18">
        <f>_xll.ciqfunctions.udf.CIQ($C$2, "IQ_DA_SUPPL", G$6,$F$2,,,Ccy,Conv)</f>
        <v>0</v>
      </c>
      <c r="F30" s="18">
        <f>_xll.ciqfunctions.udf.CIQ($C$2, "IQ_DA_SUPPL", H$6,$F$2,,,Ccy,Conv)</f>
        <v>0</v>
      </c>
      <c r="G30" s="18">
        <f>_xll.ciqfunctions.udf.CIQ($C$2, "IQ_DA_SUPPL", I$6,$F$2,,,Ccy,Conv)</f>
        <v>0</v>
      </c>
      <c r="H30" s="18">
        <f>_xll.ciqfunctions.udf.CIQ($C$2, "IQ_DA_SUPPL", J$6,$F$2,,,Ccy,Conv)</f>
        <v>0</v>
      </c>
      <c r="I30" s="18">
        <f>_xll.ciqfunctions.udf.CIQ($C$2, "IQ_DA_SUPPL", K$6,$F$2,,,Ccy,Conv)</f>
        <v>0</v>
      </c>
      <c r="J30" s="18">
        <f>_xll.ciqfunctions.udf.CIQ($C$2, "IQ_DA_SUPPL", L$6,$F$2,,,Ccy,Conv)</f>
        <v>0</v>
      </c>
      <c r="K30" s="18">
        <f>_xll.ciqfunctions.udf.CIQ($C$2, "IQ_DA_SUPPL", M$6,$F$2,,,Ccy,Conv)</f>
        <v>0</v>
      </c>
      <c r="L30" s="18">
        <f>_xll.ciqfunctions.udf.CIQ($C$2, "IQ_DA_SUPPL", N$6,$F$2,,,Ccy,Conv)</f>
        <v>0</v>
      </c>
      <c r="M30" s="18"/>
      <c r="N30" s="18">
        <f>_xll.ciqfunctions.udf.CIQ($C$2, "IQ_DA_SUPPL", P$6,$F$2,,,Ccy,Conv)</f>
        <v>0</v>
      </c>
      <c r="O30" s="198"/>
      <c r="P30" s="198"/>
      <c r="Q30" s="198"/>
      <c r="R30" s="198"/>
      <c r="S30" s="198"/>
      <c r="T30" s="205"/>
      <c r="U30" s="205"/>
      <c r="V30" s="205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8"/>
      <c r="AI30" s="198"/>
      <c r="AJ30" s="198"/>
      <c r="AK30" s="198"/>
      <c r="AL30" s="198"/>
      <c r="AM30" s="198"/>
      <c r="AN30" s="198"/>
      <c r="AO30" s="198"/>
      <c r="AP30" s="198"/>
      <c r="AQ30" s="198"/>
      <c r="AR30" s="198"/>
      <c r="AS30" s="198"/>
      <c r="AT30" s="198"/>
      <c r="AU30" s="198"/>
      <c r="AV30" s="198"/>
      <c r="AW30" s="198"/>
      <c r="AX30" s="198"/>
      <c r="AY30" s="198"/>
      <c r="AZ30" s="198"/>
      <c r="BA30" s="198"/>
      <c r="BB30" s="198"/>
      <c r="BC30" s="198"/>
      <c r="BD30" s="198"/>
      <c r="BE30" s="198"/>
      <c r="BF30" s="198"/>
      <c r="BG30" s="198"/>
      <c r="BH30" s="198"/>
      <c r="BI30" s="198"/>
      <c r="BJ30" s="198"/>
      <c r="BK30" s="198"/>
      <c r="BL30" s="198"/>
      <c r="BM30" s="198"/>
      <c r="BN30" s="198"/>
      <c r="BO30" s="198"/>
      <c r="BP30" s="198"/>
      <c r="BQ30" s="198"/>
      <c r="BR30" s="198"/>
      <c r="BS30" s="198"/>
      <c r="BT30" s="198"/>
      <c r="BU30" s="198"/>
      <c r="BV30" s="198"/>
      <c r="BW30" s="198"/>
      <c r="BX30" s="198"/>
    </row>
    <row r="31" spans="1:76" x14ac:dyDescent="0.25">
      <c r="A31" s="2" t="str">
        <f>'Language Index'!A53</f>
        <v>Amort. of Goodwill and Intangibles</v>
      </c>
      <c r="B31" s="18">
        <f>_xll.ciqfunctions.udf.CIQ($C$2, "IQ_GW_INTAN_AMORT", D$6,$F$2,,,Ccy,Conv)</f>
        <v>0</v>
      </c>
      <c r="C31" s="18">
        <f>_xll.ciqfunctions.udf.CIQ($C$2, "IQ_GW_INTAN_AMORT", E$6,$F$2,,,Ccy,Conv)</f>
        <v>0</v>
      </c>
      <c r="D31" s="18">
        <f>_xll.ciqfunctions.udf.CIQ($C$2, "IQ_GW_INTAN_AMORT", F$6,$F$2,,,Ccy,Conv)</f>
        <v>0</v>
      </c>
      <c r="E31" s="18">
        <f>_xll.ciqfunctions.udf.CIQ($C$2, "IQ_GW_INTAN_AMORT", G$6,$F$2,,,Ccy,Conv)</f>
        <v>0</v>
      </c>
      <c r="F31" s="18">
        <f>_xll.ciqfunctions.udf.CIQ($C$2, "IQ_GW_INTAN_AMORT", H$6,$F$2,,,Ccy,Conv)</f>
        <v>0</v>
      </c>
      <c r="G31" s="18">
        <f>_xll.ciqfunctions.udf.CIQ($C$2, "IQ_GW_INTAN_AMORT", I$6,$F$2,,,Ccy,Conv)</f>
        <v>0</v>
      </c>
      <c r="H31" s="18">
        <f>_xll.ciqfunctions.udf.CIQ($C$2, "IQ_GW_INTAN_AMORT", J$6,$F$2,,,Ccy,Conv)</f>
        <v>0</v>
      </c>
      <c r="I31" s="18">
        <f>_xll.ciqfunctions.udf.CIQ($C$2, "IQ_GW_INTAN_AMORT", K$6,$F$2,,,Ccy,Conv)</f>
        <v>0</v>
      </c>
      <c r="J31" s="18">
        <f>_xll.ciqfunctions.udf.CIQ($C$2, "IQ_GW_INTAN_AMORT", L$6,$F$2,,,Ccy,Conv)</f>
        <v>0</v>
      </c>
      <c r="K31" s="18">
        <f>_xll.ciqfunctions.udf.CIQ($C$2, "IQ_GW_INTAN_AMORT", M$6,$F$2,,,Ccy,Conv)</f>
        <v>0</v>
      </c>
      <c r="L31" s="18">
        <f>_xll.ciqfunctions.udf.CIQ($C$2, "IQ_GW_INTAN_AMORT", N$6,$F$2,,,Ccy,Conv)</f>
        <v>0</v>
      </c>
      <c r="M31" s="18"/>
      <c r="N31" s="18">
        <f>_xll.ciqfunctions.udf.CIQ($C$2, "IQ_GW_INTAN_AMORT", P$6,$F$2,,,Ccy,Conv)</f>
        <v>0</v>
      </c>
      <c r="O31" s="198"/>
      <c r="P31" s="198"/>
      <c r="Q31" s="198"/>
      <c r="R31" s="198"/>
      <c r="S31" s="198"/>
      <c r="T31" s="205"/>
      <c r="U31" s="205"/>
      <c r="V31" s="205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  <c r="BB31" s="198"/>
      <c r="BC31" s="198"/>
      <c r="BD31" s="198"/>
      <c r="BE31" s="198"/>
      <c r="BF31" s="198"/>
      <c r="BG31" s="198"/>
      <c r="BH31" s="198"/>
      <c r="BI31" s="198"/>
      <c r="BJ31" s="198"/>
      <c r="BK31" s="198"/>
      <c r="BL31" s="198"/>
      <c r="BM31" s="198"/>
      <c r="BN31" s="198"/>
      <c r="BO31" s="198"/>
      <c r="BP31" s="198"/>
      <c r="BQ31" s="198"/>
      <c r="BR31" s="198"/>
      <c r="BS31" s="198"/>
      <c r="BT31" s="198"/>
      <c r="BU31" s="198"/>
      <c r="BV31" s="198"/>
      <c r="BW31" s="198"/>
      <c r="BX31" s="198"/>
    </row>
    <row r="32" spans="1:76" x14ac:dyDescent="0.25">
      <c r="A32" s="2" t="str">
        <f>'Language Index'!A54</f>
        <v>Impair. of Oil, Gas &amp; Mineral Prop.</v>
      </c>
      <c r="B32" s="18">
        <f>_xll.ciqfunctions.udf.CIQ($C$2, "IQ_IMPAIR_OIL", D$6,$F$2,,,Ccy,Conv)</f>
        <v>0</v>
      </c>
      <c r="C32" s="18">
        <f>_xll.ciqfunctions.udf.CIQ($C$2, "IQ_IMPAIR_OIL", E$6,$F$2,,,Ccy,Conv)</f>
        <v>0</v>
      </c>
      <c r="D32" s="18">
        <f>_xll.ciqfunctions.udf.CIQ($C$2, "IQ_IMPAIR_OIL", F$6,$F$2,,,Ccy,Conv)</f>
        <v>0</v>
      </c>
      <c r="E32" s="18">
        <f>_xll.ciqfunctions.udf.CIQ($C$2, "IQ_IMPAIR_OIL", G$6,$F$2,,,Ccy,Conv)</f>
        <v>0</v>
      </c>
      <c r="F32" s="18">
        <f>_xll.ciqfunctions.udf.CIQ($C$2, "IQ_IMPAIR_OIL", H$6,$F$2,,,Ccy,Conv)</f>
        <v>0</v>
      </c>
      <c r="G32" s="18">
        <f>_xll.ciqfunctions.udf.CIQ($C$2, "IQ_IMPAIR_OIL", I$6,$F$2,,,Ccy,Conv)</f>
        <v>0</v>
      </c>
      <c r="H32" s="18">
        <f>_xll.ciqfunctions.udf.CIQ($C$2, "IQ_IMPAIR_OIL", J$6,$F$2,,,Ccy,Conv)</f>
        <v>0</v>
      </c>
      <c r="I32" s="18">
        <f>_xll.ciqfunctions.udf.CIQ($C$2, "IQ_IMPAIR_OIL", K$6,$F$2,,,Ccy,Conv)</f>
        <v>0</v>
      </c>
      <c r="J32" s="18">
        <f>_xll.ciqfunctions.udf.CIQ($C$2, "IQ_IMPAIR_OIL", L$6,$F$2,,,Ccy,Conv)</f>
        <v>0</v>
      </c>
      <c r="K32" s="18">
        <f>_xll.ciqfunctions.udf.CIQ($C$2, "IQ_IMPAIR_OIL", M$6,$F$2,,,Ccy,Conv)</f>
        <v>0</v>
      </c>
      <c r="L32" s="18">
        <f>_xll.ciqfunctions.udf.CIQ($C$2, "IQ_IMPAIR_OIL", N$6,$F$2,,,Ccy,Conv)</f>
        <v>0</v>
      </c>
      <c r="M32" s="18"/>
      <c r="N32" s="18">
        <f>_xll.ciqfunctions.udf.CIQ($C$2, "IQ_IMPAIR_OIL", P$6,$F$2,,,Ccy,Conv)</f>
        <v>0</v>
      </c>
      <c r="O32" s="198"/>
      <c r="P32" s="198"/>
      <c r="Q32" s="198"/>
      <c r="R32" s="198"/>
      <c r="S32" s="198"/>
      <c r="T32" s="205"/>
      <c r="U32" s="205"/>
      <c r="V32" s="205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98"/>
      <c r="AW32" s="198"/>
      <c r="AX32" s="198"/>
      <c r="AY32" s="198"/>
      <c r="AZ32" s="198"/>
      <c r="BA32" s="198"/>
      <c r="BB32" s="198"/>
      <c r="BC32" s="198"/>
      <c r="BD32" s="198"/>
      <c r="BE32" s="198"/>
      <c r="BF32" s="198"/>
      <c r="BG32" s="198"/>
      <c r="BH32" s="198"/>
      <c r="BI32" s="198"/>
      <c r="BJ32" s="198"/>
      <c r="BK32" s="198"/>
      <c r="BL32" s="198"/>
      <c r="BM32" s="198"/>
      <c r="BN32" s="198"/>
      <c r="BO32" s="198"/>
      <c r="BP32" s="198"/>
      <c r="BQ32" s="198"/>
      <c r="BR32" s="198"/>
      <c r="BS32" s="198"/>
      <c r="BT32" s="198"/>
      <c r="BU32" s="198"/>
      <c r="BV32" s="198"/>
      <c r="BW32" s="198"/>
      <c r="BX32" s="198"/>
    </row>
    <row r="33" spans="1:76" x14ac:dyDescent="0.25">
      <c r="A33" s="2" t="str">
        <f>'Language Index'!A55</f>
        <v>Other Operating Expense/(Income)</v>
      </c>
      <c r="B33" s="22">
        <f>_xll.ciqfunctions.udf.CIQ($C$2, "IQ_OTHER_OPER", D$6,$F$2,,,Ccy,Conv)</f>
        <v>-708</v>
      </c>
      <c r="C33" s="22">
        <f>_xll.ciqfunctions.udf.CIQ($C$2, "IQ_OTHER_OPER", E$6,$F$2,,,Ccy,Conv)</f>
        <v>-669</v>
      </c>
      <c r="D33" s="22">
        <f>_xll.ciqfunctions.udf.CIQ($C$2, "IQ_OTHER_OPER", F$6,$F$2,,,Ccy,Conv)</f>
        <v>-1604</v>
      </c>
      <c r="E33" s="22">
        <f>_xll.ciqfunctions.udf.CIQ($C$2, "IQ_OTHER_OPER", G$6,$F$2,,,Ccy,Conv)</f>
        <v>-1466</v>
      </c>
      <c r="F33" s="22">
        <f>_xll.ciqfunctions.udf.CIQ($C$2, "IQ_OTHER_OPER", H$6,$F$2,,,Ccy,Conv)</f>
        <v>-1026</v>
      </c>
      <c r="G33" s="22">
        <f>_xll.ciqfunctions.udf.CIQ($C$2, "IQ_OTHER_OPER", I$6,$F$2,,,Ccy,Conv)</f>
        <v>-639</v>
      </c>
      <c r="H33" s="22">
        <f>_xll.ciqfunctions.udf.CIQ($C$2, "IQ_OTHER_OPER", J$6,$F$2,,,Ccy,Conv)</f>
        <v>-620</v>
      </c>
      <c r="I33" s="22">
        <f>_xll.ciqfunctions.udf.CIQ($C$2, "IQ_OTHER_OPER", K$6,$F$2,,,Ccy,Conv)</f>
        <v>-612</v>
      </c>
      <c r="J33" s="22">
        <f>_xll.ciqfunctions.udf.CIQ($C$2, "IQ_OTHER_OPER", L$6,$F$2,,,Ccy,Conv)</f>
        <v>-663</v>
      </c>
      <c r="K33" s="22">
        <f>_xll.ciqfunctions.udf.CIQ($C$2, "IQ_OTHER_OPER", M$6,$F$2,,,Ccy,Conv)</f>
        <v>-860</v>
      </c>
      <c r="L33" s="22">
        <f>_xll.ciqfunctions.udf.CIQ($C$2, "IQ_OTHER_OPER", N$6,$F$2,,,Ccy,Conv)</f>
        <v>-996</v>
      </c>
      <c r="M33" s="18"/>
      <c r="N33" s="22">
        <f>_xll.ciqfunctions.udf.CIQ($C$2, "IQ_OTHER_OPER", P$6,$F$2,,,Ccy,Conv)</f>
        <v>-996</v>
      </c>
      <c r="O33" s="198"/>
      <c r="P33" s="198"/>
      <c r="Q33" s="198"/>
      <c r="R33" s="198"/>
      <c r="S33" s="198"/>
      <c r="T33" s="205"/>
      <c r="U33" s="205"/>
      <c r="V33" s="205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198"/>
      <c r="AI33" s="198"/>
      <c r="AJ33" s="198"/>
      <c r="AK33" s="198"/>
      <c r="AL33" s="198"/>
      <c r="AM33" s="198"/>
      <c r="AN33" s="198"/>
      <c r="AO33" s="198"/>
      <c r="AP33" s="198"/>
      <c r="AQ33" s="198"/>
      <c r="AR33" s="198"/>
      <c r="AS33" s="198"/>
      <c r="AT33" s="198"/>
      <c r="AU33" s="198"/>
      <c r="AV33" s="198"/>
      <c r="AW33" s="198"/>
      <c r="AX33" s="198"/>
      <c r="AY33" s="198"/>
      <c r="AZ33" s="198"/>
      <c r="BA33" s="198"/>
      <c r="BB33" s="198"/>
      <c r="BC33" s="198"/>
      <c r="BD33" s="198"/>
      <c r="BE33" s="198"/>
      <c r="BF33" s="198"/>
      <c r="BG33" s="198"/>
      <c r="BH33" s="198"/>
      <c r="BI33" s="198"/>
      <c r="BJ33" s="198"/>
      <c r="BK33" s="198"/>
      <c r="BL33" s="198"/>
      <c r="BM33" s="198"/>
      <c r="BN33" s="198"/>
      <c r="BO33" s="198"/>
      <c r="BP33" s="198"/>
      <c r="BQ33" s="198"/>
      <c r="BR33" s="198"/>
      <c r="BS33" s="198"/>
      <c r="BT33" s="198"/>
      <c r="BU33" s="198"/>
      <c r="BV33" s="198"/>
      <c r="BW33" s="198"/>
      <c r="BX33" s="198"/>
    </row>
    <row r="34" spans="1:76" x14ac:dyDescent="0.25">
      <c r="A34" s="19" t="str">
        <f>'Language Index'!A56</f>
        <v>Other Operating Exp., Total</v>
      </c>
      <c r="B34" s="21">
        <f>_xll.ciqfunctions.udf.CIQ($C$2, "IQ_TOTAL_OTHER_OPER", D$6,$F$2,,,Ccy,Conv)</f>
        <v>26278</v>
      </c>
      <c r="C34" s="21">
        <f>_xll.ciqfunctions.udf.CIQ($C$2, "IQ_TOTAL_OTHER_OPER", E$6,$F$2,,,Ccy,Conv)</f>
        <v>24167</v>
      </c>
      <c r="D34" s="21">
        <f>_xll.ciqfunctions.udf.CIQ($C$2, "IQ_TOTAL_OTHER_OPER", F$6,$F$2,,,Ccy,Conv)</f>
        <v>24347</v>
      </c>
      <c r="E34" s="21">
        <f>_xll.ciqfunctions.udf.CIQ($C$2, "IQ_TOTAL_OTHER_OPER", G$6,$F$2,,,Ccy,Conv)</f>
        <v>25261</v>
      </c>
      <c r="F34" s="21">
        <f>_xll.ciqfunctions.udf.CIQ($C$2, "IQ_TOTAL_OTHER_OPER", H$6,$F$2,,,Ccy,Conv)</f>
        <v>23719</v>
      </c>
      <c r="G34" s="21">
        <f>_xll.ciqfunctions.udf.CIQ($C$2, "IQ_TOTAL_OTHER_OPER", I$6,$F$2,,,Ccy,Conv)</f>
        <v>23995</v>
      </c>
      <c r="H34" s="21">
        <f>_xll.ciqfunctions.udf.CIQ($C$2, "IQ_TOTAL_OTHER_OPER", J$6,$F$2,,,Ccy,Conv)</f>
        <v>26203</v>
      </c>
      <c r="I34" s="21">
        <f>_xll.ciqfunctions.udf.CIQ($C$2, "IQ_TOTAL_OTHER_OPER", K$6,$F$2,,,Ccy,Conv)</f>
        <v>25903</v>
      </c>
      <c r="J34" s="21">
        <f>_xll.ciqfunctions.udf.CIQ($C$2, "IQ_TOTAL_OTHER_OPER", L$6,$F$2,,,Ccy,Conv)</f>
        <v>31061</v>
      </c>
      <c r="K34" s="21">
        <f>_xll.ciqfunctions.udf.CIQ($C$2, "IQ_TOTAL_OTHER_OPER", M$6,$F$2,,,Ccy,Conv)</f>
        <v>24397</v>
      </c>
      <c r="L34" s="21">
        <f>_xll.ciqfunctions.udf.CIQ($C$2, "IQ_TOTAL_OTHER_OPER", N$6,$F$2,,,Ccy,Conv)</f>
        <v>28877</v>
      </c>
      <c r="M34" s="21"/>
      <c r="N34" s="21">
        <f>_xll.ciqfunctions.udf.CIQ($C$2, "IQ_TOTAL_OTHER_OPER", P$6,$F$2,,,Ccy,Conv)</f>
        <v>28877</v>
      </c>
      <c r="O34" s="215"/>
      <c r="P34" s="198"/>
      <c r="Q34" s="198"/>
      <c r="R34" s="198"/>
      <c r="S34" s="198"/>
      <c r="T34" s="205"/>
      <c r="U34" s="205"/>
      <c r="V34" s="205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198"/>
      <c r="AU34" s="198"/>
      <c r="AV34" s="198"/>
      <c r="AW34" s="198"/>
      <c r="AX34" s="198"/>
      <c r="AY34" s="198"/>
      <c r="AZ34" s="198"/>
      <c r="BA34" s="198"/>
      <c r="BB34" s="198"/>
      <c r="BC34" s="198"/>
      <c r="BD34" s="198"/>
      <c r="BE34" s="198"/>
      <c r="BF34" s="198"/>
      <c r="BG34" s="198"/>
      <c r="BH34" s="198"/>
      <c r="BI34" s="198"/>
      <c r="BJ34" s="198"/>
      <c r="BK34" s="198"/>
      <c r="BL34" s="198"/>
      <c r="BM34" s="198"/>
      <c r="BN34" s="198"/>
      <c r="BO34" s="198"/>
      <c r="BP34" s="198"/>
      <c r="BQ34" s="198"/>
      <c r="BR34" s="198"/>
      <c r="BS34" s="198"/>
      <c r="BT34" s="198"/>
      <c r="BU34" s="198"/>
      <c r="BV34" s="198"/>
      <c r="BW34" s="198"/>
      <c r="BX34" s="198"/>
    </row>
    <row r="35" spans="1:76" ht="13.8" thickBot="1" x14ac:dyDescent="0.3">
      <c r="A35" s="19" t="str">
        <f>'Language Index'!A57</f>
        <v>Operating Income</v>
      </c>
      <c r="B35" s="23">
        <f>_xll.ciqfunctions.udf.CIQ($C$2, "IQ_OPER_INC", D$6,$F$2,,,Ccy,Conv)</f>
        <v>20129</v>
      </c>
      <c r="C35" s="23">
        <f>_xll.ciqfunctions.udf.CIQ($C$2, "IQ_OPER_INC", E$6,$F$2,,,Ccy,Conv)</f>
        <v>16517</v>
      </c>
      <c r="D35" s="23">
        <f>_xll.ciqfunctions.udf.CIQ($C$2, "IQ_OPER_INC", F$6,$F$2,,,Ccy,Conv)</f>
        <v>14170</v>
      </c>
      <c r="E35" s="23">
        <f>_xll.ciqfunctions.udf.CIQ($C$2, "IQ_OPER_INC", G$6,$F$2,,,Ccy,Conv)</f>
        <v>11682</v>
      </c>
      <c r="F35" s="23">
        <f>_xll.ciqfunctions.udf.CIQ($C$2, "IQ_OPER_INC", H$6,$F$2,,,Ccy,Conv)</f>
        <v>13218</v>
      </c>
      <c r="G35" s="23">
        <f>_xll.ciqfunctions.udf.CIQ($C$2, "IQ_OPER_INC", I$6,$F$2,,,Ccy,Conv)</f>
        <v>7539</v>
      </c>
      <c r="H35" s="23">
        <f>_xll.ciqfunctions.udf.CIQ($C$2, "IQ_OPER_INC", J$6,$F$2,,,Ccy,Conv)</f>
        <v>4662</v>
      </c>
      <c r="I35" s="23">
        <f>_xll.ciqfunctions.udf.CIQ($C$2, "IQ_OPER_INC", K$6,$F$2,,,Ccy,Conv)</f>
        <v>5583</v>
      </c>
      <c r="J35" s="23">
        <f>_xll.ciqfunctions.udf.CIQ($C$2, "IQ_OPER_INC", L$6,$F$2,,,Ccy,Conv)</f>
        <v>1627</v>
      </c>
      <c r="K35" s="23">
        <f>_xll.ciqfunctions.udf.CIQ($C$2, "IQ_OPER_INC", M$6,$F$2,,,Ccy,Conv)</f>
        <v>9903</v>
      </c>
      <c r="L35" s="23">
        <f>_xll.ciqfunctions.udf.CIQ($C$2, "IQ_OPER_INC", N$6,$F$2,,,Ccy,Conv)</f>
        <v>6675</v>
      </c>
      <c r="M35" s="21"/>
      <c r="N35" s="23">
        <f>_xll.ciqfunctions.udf.CIQ($C$2, "IQ_OPER_INC", P$6,$F$2,,,Ccy,Conv)</f>
        <v>6675</v>
      </c>
      <c r="O35" s="215"/>
      <c r="P35" s="198"/>
      <c r="Q35" s="198"/>
      <c r="R35" s="198"/>
      <c r="S35" s="198"/>
      <c r="T35" s="216"/>
      <c r="U35" s="216"/>
      <c r="V35" s="216"/>
      <c r="W35" s="215"/>
      <c r="X35" s="215"/>
      <c r="Y35" s="215"/>
      <c r="Z35" s="215"/>
      <c r="AA35" s="215"/>
      <c r="AB35" s="215"/>
      <c r="AC35" s="198"/>
      <c r="AD35" s="198"/>
      <c r="AE35" s="198"/>
      <c r="AF35" s="215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98"/>
      <c r="AW35" s="198"/>
      <c r="AX35" s="198"/>
      <c r="AY35" s="198"/>
      <c r="AZ35" s="198"/>
      <c r="BA35" s="198"/>
      <c r="BB35" s="198"/>
      <c r="BC35" s="198"/>
      <c r="BD35" s="198"/>
      <c r="BE35" s="198"/>
      <c r="BF35" s="198"/>
      <c r="BG35" s="198"/>
      <c r="BH35" s="198"/>
      <c r="BI35" s="198"/>
      <c r="BJ35" s="198"/>
      <c r="BK35" s="198"/>
      <c r="BL35" s="198"/>
      <c r="BM35" s="198"/>
      <c r="BN35" s="198"/>
      <c r="BO35" s="198"/>
      <c r="BP35" s="198"/>
      <c r="BQ35" s="198"/>
      <c r="BR35" s="198"/>
      <c r="BS35" s="198"/>
      <c r="BT35" s="198"/>
      <c r="BU35" s="198"/>
      <c r="BV35" s="198"/>
      <c r="BW35" s="198"/>
      <c r="BX35" s="198"/>
    </row>
    <row r="36" spans="1:76" ht="13.8" thickTop="1" x14ac:dyDescent="0.25">
      <c r="A36" s="2" t="str">
        <f>'Language Index'!A58</f>
        <v>Interest Expense</v>
      </c>
      <c r="B36" s="18">
        <f>_xll.ciqfunctions.udf.CIQ($C$2, "IQ_INTEREST_EXP", D$6,$F$2,,,Ccy,Conv)</f>
        <v>-484</v>
      </c>
      <c r="C36" s="18">
        <f>_xll.ciqfunctions.udf.CIQ($C$2, "IQ_INTEREST_EXP", E$6,$F$2,,,Ccy,Conv)</f>
        <v>-468</v>
      </c>
      <c r="D36" s="18">
        <f>_xll.ciqfunctions.udf.CIQ($C$2, "IQ_INTEREST_EXP", F$6,$F$2,,,Ccy,Conv)</f>
        <v>-630</v>
      </c>
      <c r="E36" s="18">
        <f>_xll.ciqfunctions.udf.CIQ($C$2, "IQ_INTEREST_EXP", G$6,$F$2,,,Ccy,Conv)</f>
        <v>-615</v>
      </c>
      <c r="F36" s="18">
        <f>_xll.ciqfunctions.udf.CIQ($C$2, "IQ_INTEREST_EXP", H$6,$F$2,,,Ccy,Conv)</f>
        <v>-723</v>
      </c>
      <c r="G36" s="18">
        <f>_xll.ciqfunctions.udf.CIQ($C$2, "IQ_INTEREST_EXP", I$6,$F$2,,,Ccy,Conv)</f>
        <v>-1344</v>
      </c>
      <c r="H36" s="18">
        <f>_xll.ciqfunctions.udf.CIQ($C$2, "IQ_INTEREST_EXP", J$6,$F$2,,,Ccy,Conv)</f>
        <v>-1288</v>
      </c>
      <c r="I36" s="18">
        <f>_xll.ciqfunctions.udf.CIQ($C$2, "IQ_INTEREST_EXP", K$6,$F$2,,,Ccy,Conv)</f>
        <v>-1155</v>
      </c>
      <c r="J36" s="18">
        <f>_xll.ciqfunctions.udf.CIQ($C$2, "IQ_INTEREST_EXP", L$6,$F$2,,,Ccy,Conv)</f>
        <v>-1216</v>
      </c>
      <c r="K36" s="18">
        <f>_xll.ciqfunctions.udf.CIQ($C$2, "IQ_INTEREST_EXP", M$6,$F$2,,,Ccy,Conv)</f>
        <v>-1607</v>
      </c>
      <c r="L36" s="18">
        <f>_xll.ciqfunctions.udf.CIQ($C$2, "IQ_INTEREST_EXP", N$6,$F$2,,,Ccy,Conv)</f>
        <v>-1712</v>
      </c>
      <c r="M36" s="18"/>
      <c r="N36" s="18">
        <f>_xll.ciqfunctions.udf.CIQ($C$2, "IQ_INTEREST_EXP", P$6,$F$2,,,Ccy,Conv)</f>
        <v>-1712</v>
      </c>
      <c r="O36" s="215"/>
      <c r="P36" s="198"/>
      <c r="Q36" s="198"/>
      <c r="R36" s="198"/>
      <c r="S36" s="198"/>
      <c r="T36" s="216"/>
      <c r="U36" s="216"/>
      <c r="V36" s="216"/>
      <c r="W36" s="215"/>
      <c r="X36" s="215"/>
      <c r="Y36" s="215"/>
      <c r="Z36" s="215"/>
      <c r="AA36" s="215"/>
      <c r="AB36" s="215"/>
      <c r="AC36" s="198"/>
      <c r="AD36" s="198"/>
      <c r="AE36" s="198"/>
      <c r="AF36" s="215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98"/>
      <c r="AW36" s="198"/>
      <c r="AX36" s="198"/>
      <c r="AY36" s="198"/>
      <c r="AZ36" s="198"/>
      <c r="BA36" s="198"/>
      <c r="BB36" s="198"/>
      <c r="BC36" s="198"/>
      <c r="BD36" s="198"/>
      <c r="BE36" s="198"/>
      <c r="BF36" s="198"/>
      <c r="BG36" s="198"/>
      <c r="BH36" s="198"/>
      <c r="BI36" s="198"/>
      <c r="BJ36" s="198"/>
      <c r="BK36" s="198"/>
      <c r="BL36" s="198"/>
      <c r="BM36" s="198"/>
      <c r="BN36" s="198"/>
      <c r="BO36" s="198"/>
      <c r="BP36" s="198"/>
      <c r="BQ36" s="198"/>
      <c r="BR36" s="198"/>
      <c r="BS36" s="198"/>
      <c r="BT36" s="198"/>
      <c r="BU36" s="198"/>
      <c r="BV36" s="198"/>
      <c r="BW36" s="198"/>
      <c r="BX36" s="198"/>
    </row>
    <row r="37" spans="1:76" x14ac:dyDescent="0.25">
      <c r="A37" s="2" t="str">
        <f>'Language Index'!A59</f>
        <v>Interest and Invest. Income</v>
      </c>
      <c r="B37" s="18">
        <f>_xll.ciqfunctions.udf.CIQ($C$2, "IQ_INTEREST_INVEST_INC", D$6,$F$2,,,Ccy,Conv)</f>
        <v>90</v>
      </c>
      <c r="C37" s="18">
        <f>_xll.ciqfunctions.udf.CIQ($C$2, "IQ_INTEREST_INVEST_INC", E$6,$F$2,,,Ccy,Conv)</f>
        <v>72</v>
      </c>
      <c r="D37" s="18">
        <f>_xll.ciqfunctions.udf.CIQ($C$2, "IQ_INTEREST_INVEST_INC", F$6,$F$2,,,Ccy,Conv)</f>
        <v>108</v>
      </c>
      <c r="E37" s="18">
        <f>_xll.ciqfunctions.udf.CIQ($C$2, "IQ_INTEREST_INVEST_INC", G$6,$F$2,,,Ccy,Conv)</f>
        <v>0</v>
      </c>
      <c r="F37" s="18">
        <f>_xll.ciqfunctions.udf.CIQ($C$2, "IQ_INTEREST_INVEST_INC", H$6,$F$2,,,Ccy,Conv)</f>
        <v>0</v>
      </c>
      <c r="G37" s="18">
        <f>_xll.ciqfunctions.udf.CIQ($C$2, "IQ_INTEREST_INVEST_INC", I$6,$F$2,,,Ccy,Conv)</f>
        <v>0</v>
      </c>
      <c r="H37" s="18">
        <f>_xll.ciqfunctions.udf.CIQ($C$2, "IQ_INTEREST_INVEST_INC", J$6,$F$2,,,Ccy,Conv)</f>
        <v>0</v>
      </c>
      <c r="I37" s="18">
        <f>_xll.ciqfunctions.udf.CIQ($C$2, "IQ_INTEREST_INVEST_INC", K$6,$F$2,,,Ccy,Conv)</f>
        <v>52</v>
      </c>
      <c r="J37" s="18">
        <f>_xll.ciqfunctions.udf.CIQ($C$2, "IQ_INTEREST_INVEST_INC", L$6,$F$2,,,Ccy,Conv)</f>
        <v>162</v>
      </c>
      <c r="K37" s="18">
        <f>_xll.ciqfunctions.udf.CIQ($C$2, "IQ_INTEREST_INVEST_INC", M$6,$F$2,,,Ccy,Conv)</f>
        <v>670</v>
      </c>
      <c r="L37" s="18">
        <f>_xll.ciqfunctions.udf.CIQ($C$2, "IQ_INTEREST_INVEST_INC", N$6,$F$2,,,Ccy,Conv)</f>
        <v>747</v>
      </c>
      <c r="M37" s="18"/>
      <c r="N37" s="18">
        <f>_xll.ciqfunctions.udf.CIQ($C$2, "IQ_INTEREST_INVEST_INC", P$6,$F$2,,,Ccy,Conv)</f>
        <v>747</v>
      </c>
      <c r="O37" s="198"/>
      <c r="P37" s="198"/>
      <c r="Q37" s="198"/>
      <c r="R37" s="198"/>
      <c r="S37" s="198"/>
      <c r="T37" s="205"/>
      <c r="U37" s="205"/>
      <c r="V37" s="205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  <c r="BS37" s="198"/>
      <c r="BT37" s="198"/>
      <c r="BU37" s="198"/>
      <c r="BV37" s="198"/>
      <c r="BW37" s="198"/>
      <c r="BX37" s="198"/>
    </row>
    <row r="38" spans="1:76" x14ac:dyDescent="0.25">
      <c r="A38" s="19" t="str">
        <f>'Language Index'!A60</f>
        <v>Net Interest Exp.</v>
      </c>
      <c r="B38" s="20">
        <f>_xll.ciqfunctions.udf.CIQ($C$2, "IQ_NET_INTEREST_EXP", D$6,$F$2,,,Ccy,Conv)</f>
        <v>-394</v>
      </c>
      <c r="C38" s="20">
        <f>_xll.ciqfunctions.udf.CIQ($C$2, "IQ_NET_INTEREST_EXP", E$6,$F$2,,,Ccy,Conv)</f>
        <v>-396</v>
      </c>
      <c r="D38" s="20">
        <f>_xll.ciqfunctions.udf.CIQ($C$2, "IQ_NET_INTEREST_EXP", F$6,$F$2,,,Ccy,Conv)</f>
        <v>-522</v>
      </c>
      <c r="E38" s="20">
        <f>_xll.ciqfunctions.udf.CIQ($C$2, "IQ_NET_INTEREST_EXP", G$6,$F$2,,,Ccy,Conv)</f>
        <v>-615</v>
      </c>
      <c r="F38" s="20">
        <f>_xll.ciqfunctions.udf.CIQ($C$2, "IQ_NET_INTEREST_EXP", H$6,$F$2,,,Ccy,Conv)</f>
        <v>-723</v>
      </c>
      <c r="G38" s="20">
        <f>_xll.ciqfunctions.udf.CIQ($C$2, "IQ_NET_INTEREST_EXP", I$6,$F$2,,,Ccy,Conv)</f>
        <v>-1344</v>
      </c>
      <c r="H38" s="20">
        <f>_xll.ciqfunctions.udf.CIQ($C$2, "IQ_NET_INTEREST_EXP", J$6,$F$2,,,Ccy,Conv)</f>
        <v>-1288</v>
      </c>
      <c r="I38" s="20">
        <f>_xll.ciqfunctions.udf.CIQ($C$2, "IQ_NET_INTEREST_EXP", K$6,$F$2,,,Ccy,Conv)</f>
        <v>-1103</v>
      </c>
      <c r="J38" s="20">
        <f>_xll.ciqfunctions.udf.CIQ($C$2, "IQ_NET_INTEREST_EXP", L$6,$F$2,,,Ccy,Conv)</f>
        <v>-1054</v>
      </c>
      <c r="K38" s="20">
        <f>_xll.ciqfunctions.udf.CIQ($C$2, "IQ_NET_INTEREST_EXP", M$6,$F$2,,,Ccy,Conv)</f>
        <v>-937</v>
      </c>
      <c r="L38" s="20">
        <f>_xll.ciqfunctions.udf.CIQ($C$2, "IQ_NET_INTEREST_EXP", N$6,$F$2,,,Ccy,Conv)</f>
        <v>-965</v>
      </c>
      <c r="M38" s="21"/>
      <c r="N38" s="20">
        <f>_xll.ciqfunctions.udf.CIQ($C$2, "IQ_NET_INTEREST_EXP", P$6,$F$2,,,Ccy,Conv)</f>
        <v>-965</v>
      </c>
      <c r="O38" s="198"/>
      <c r="P38" s="198"/>
      <c r="Q38" s="198"/>
      <c r="R38" s="198"/>
      <c r="S38" s="198"/>
      <c r="T38" s="205"/>
      <c r="U38" s="205"/>
      <c r="V38" s="205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  <c r="AM38" s="198"/>
      <c r="AN38" s="198"/>
      <c r="AO38" s="198"/>
      <c r="AP38" s="198"/>
      <c r="AQ38" s="198"/>
      <c r="AR38" s="198"/>
      <c r="AS38" s="198"/>
      <c r="AT38" s="198"/>
      <c r="AU38" s="198"/>
      <c r="AV38" s="198"/>
      <c r="AW38" s="198"/>
      <c r="AX38" s="198"/>
      <c r="AY38" s="198"/>
      <c r="AZ38" s="198"/>
      <c r="BA38" s="198"/>
      <c r="BB38" s="198"/>
      <c r="BC38" s="198"/>
      <c r="BD38" s="198"/>
      <c r="BE38" s="198"/>
      <c r="BF38" s="198"/>
      <c r="BG38" s="198"/>
      <c r="BH38" s="198"/>
      <c r="BI38" s="198"/>
      <c r="BJ38" s="198"/>
      <c r="BK38" s="198"/>
      <c r="BL38" s="198"/>
      <c r="BM38" s="198"/>
      <c r="BN38" s="198"/>
      <c r="BO38" s="198"/>
      <c r="BP38" s="198"/>
      <c r="BQ38" s="198"/>
      <c r="BR38" s="198"/>
      <c r="BS38" s="198"/>
      <c r="BT38" s="198"/>
      <c r="BU38" s="198"/>
      <c r="BV38" s="198"/>
      <c r="BW38" s="198"/>
      <c r="BX38" s="198"/>
    </row>
    <row r="39" spans="1:76" x14ac:dyDescent="0.25">
      <c r="A39" s="2" t="str">
        <f>'Language Index'!A61</f>
        <v>Income / (Loss) from Affiliates</v>
      </c>
      <c r="B39" s="18">
        <f>_xll.ciqfunctions.udf.CIQ($C$2, "IQ_INC_EQUITY", D$6,$F$2,,,Ccy,Conv)</f>
        <v>0</v>
      </c>
      <c r="C39" s="18">
        <f>_xll.ciqfunctions.udf.CIQ($C$2, "IQ_INC_EQUITY", E$6,$F$2,,,Ccy,Conv)</f>
        <v>0</v>
      </c>
      <c r="D39" s="18">
        <f>_xll.ciqfunctions.udf.CIQ($C$2, "IQ_INC_EQUITY", F$6,$F$2,,,Ccy,Conv)</f>
        <v>0</v>
      </c>
      <c r="E39" s="18">
        <f>_xll.ciqfunctions.udf.CIQ($C$2, "IQ_INC_EQUITY", G$6,$F$2,,,Ccy,Conv)</f>
        <v>0</v>
      </c>
      <c r="F39" s="18">
        <f>_xll.ciqfunctions.udf.CIQ($C$2, "IQ_INC_EQUITY", H$6,$F$2,,,Ccy,Conv)</f>
        <v>0</v>
      </c>
      <c r="G39" s="18">
        <f>_xll.ciqfunctions.udf.CIQ($C$2, "IQ_INC_EQUITY", I$6,$F$2,,,Ccy,Conv)</f>
        <v>0</v>
      </c>
      <c r="H39" s="18">
        <f>_xll.ciqfunctions.udf.CIQ($C$2, "IQ_INC_EQUITY", J$6,$F$2,,,Ccy,Conv)</f>
        <v>0</v>
      </c>
      <c r="I39" s="18">
        <f>_xll.ciqfunctions.udf.CIQ($C$2, "IQ_INC_EQUITY", K$6,$F$2,,,Ccy,Conv)</f>
        <v>0</v>
      </c>
      <c r="J39" s="18">
        <f>_xll.ciqfunctions.udf.CIQ($C$2, "IQ_INC_EQUITY", L$6,$F$2,,,Ccy,Conv)</f>
        <v>0</v>
      </c>
      <c r="K39" s="18">
        <f>_xll.ciqfunctions.udf.CIQ($C$2, "IQ_INC_EQUITY", M$6,$F$2,,,Ccy,Conv)</f>
        <v>0</v>
      </c>
      <c r="L39" s="18">
        <f>_xll.ciqfunctions.udf.CIQ($C$2, "IQ_INC_EQUITY", N$6,$F$2,,,Ccy,Conv)</f>
        <v>0</v>
      </c>
      <c r="M39" s="18"/>
      <c r="N39" s="18">
        <f>_xll.ciqfunctions.udf.CIQ($C$2, "IQ_INC_EQUITY", P$6,$F$2,,,Ccy,Conv)</f>
        <v>0</v>
      </c>
      <c r="O39" s="215"/>
      <c r="P39" s="198"/>
      <c r="Q39" s="198"/>
      <c r="R39" s="198"/>
      <c r="S39" s="198"/>
      <c r="T39" s="216"/>
      <c r="U39" s="216"/>
      <c r="V39" s="216"/>
      <c r="W39" s="215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98"/>
      <c r="AL39" s="198"/>
      <c r="AM39" s="198"/>
      <c r="AN39" s="198"/>
      <c r="AO39" s="198"/>
      <c r="AP39" s="198"/>
      <c r="AQ39" s="198"/>
      <c r="AR39" s="198"/>
      <c r="AS39" s="198"/>
      <c r="AT39" s="198"/>
      <c r="AU39" s="198"/>
      <c r="AV39" s="198"/>
      <c r="AW39" s="198"/>
      <c r="AX39" s="198"/>
      <c r="AY39" s="198"/>
      <c r="AZ39" s="198"/>
      <c r="BA39" s="198"/>
      <c r="BB39" s="198"/>
      <c r="BC39" s="198"/>
      <c r="BD39" s="198"/>
      <c r="BE39" s="198"/>
      <c r="BF39" s="198"/>
      <c r="BG39" s="198"/>
      <c r="BH39" s="198"/>
      <c r="BI39" s="198"/>
      <c r="BJ39" s="198"/>
      <c r="BK39" s="198"/>
      <c r="BL39" s="198"/>
      <c r="BM39" s="198"/>
      <c r="BN39" s="198"/>
      <c r="BO39" s="198"/>
      <c r="BP39" s="198"/>
      <c r="BQ39" s="198"/>
      <c r="BR39" s="198"/>
      <c r="BS39" s="198"/>
      <c r="BT39" s="198"/>
      <c r="BU39" s="198"/>
      <c r="BV39" s="198"/>
      <c r="BW39" s="198"/>
      <c r="BX39" s="198"/>
    </row>
    <row r="40" spans="1:76" x14ac:dyDescent="0.25">
      <c r="A40" s="2" t="str">
        <f>'Language Index'!A62</f>
        <v>Currency Exchange Gains (Loss)</v>
      </c>
      <c r="B40" s="18">
        <f>_xll.ciqfunctions.udf.CIQ($C$2, "IQ_CURRENCY_GAIN", D$6,$F$2,,,Ccy,Conv)</f>
        <v>-80</v>
      </c>
      <c r="C40" s="18">
        <f>_xll.ciqfunctions.udf.CIQ($C$2, "IQ_CURRENCY_GAIN", E$6,$F$2,,,Ccy,Conv)</f>
        <v>449</v>
      </c>
      <c r="D40" s="18">
        <f>_xll.ciqfunctions.udf.CIQ($C$2, "IQ_CURRENCY_GAIN", F$6,$F$2,,,Ccy,Conv)</f>
        <v>-144</v>
      </c>
      <c r="E40" s="18">
        <f>_xll.ciqfunctions.udf.CIQ($C$2, "IQ_CURRENCY_GAIN", G$6,$F$2,,,Ccy,Conv)</f>
        <v>0</v>
      </c>
      <c r="F40" s="18">
        <f>_xll.ciqfunctions.udf.CIQ($C$2, "IQ_CURRENCY_GAIN", H$6,$F$2,,,Ccy,Conv)</f>
        <v>-434</v>
      </c>
      <c r="G40" s="18">
        <f>_xll.ciqfunctions.udf.CIQ($C$2, "IQ_CURRENCY_GAIN", I$6,$F$2,,,Ccy,Conv)</f>
        <v>-14</v>
      </c>
      <c r="H40" s="18">
        <f>_xll.ciqfunctions.udf.CIQ($C$2, "IQ_CURRENCY_GAIN", J$6,$F$2,,,Ccy,Conv)</f>
        <v>-12</v>
      </c>
      <c r="I40" s="18">
        <f>_xll.ciqfunctions.udf.CIQ($C$2, "IQ_CURRENCY_GAIN", K$6,$F$2,,,Ccy,Conv)</f>
        <v>-1</v>
      </c>
      <c r="J40" s="18">
        <f>_xll.ciqfunctions.udf.CIQ($C$2, "IQ_CURRENCY_GAIN", L$6,$F$2,,,Ccy,Conv)</f>
        <v>500</v>
      </c>
      <c r="K40" s="18">
        <f>_xll.ciqfunctions.udf.CIQ($C$2, "IQ_CURRENCY_GAIN", M$6,$F$2,,,Ccy,Conv)</f>
        <v>-69</v>
      </c>
      <c r="L40" s="18">
        <f>_xll.ciqfunctions.udf.CIQ($C$2, "IQ_CURRENCY_GAIN", N$6,$F$2,,,Ccy,Conv)</f>
        <v>20</v>
      </c>
      <c r="M40" s="18"/>
      <c r="N40" s="18">
        <f>_xll.ciqfunctions.udf.CIQ($C$2, "IQ_CURRENCY_GAIN", P$6,$F$2,,,Ccy,Conv)</f>
        <v>20</v>
      </c>
      <c r="O40" s="198"/>
      <c r="P40" s="198"/>
      <c r="Q40" s="198"/>
      <c r="R40" s="198"/>
      <c r="S40" s="198"/>
      <c r="T40" s="205"/>
      <c r="U40" s="205"/>
      <c r="V40" s="205"/>
      <c r="W40" s="198"/>
      <c r="X40" s="198"/>
      <c r="Y40" s="198"/>
      <c r="Z40" s="198"/>
      <c r="AA40" s="198"/>
      <c r="AB40" s="198"/>
      <c r="AC40" s="198"/>
      <c r="AD40" s="198"/>
      <c r="AE40" s="198"/>
      <c r="AF40" s="198"/>
      <c r="AG40" s="198"/>
      <c r="AH40" s="198"/>
      <c r="AI40" s="198"/>
      <c r="AJ40" s="198"/>
      <c r="AK40" s="198"/>
      <c r="AL40" s="198"/>
      <c r="AM40" s="198"/>
      <c r="AN40" s="198"/>
      <c r="AO40" s="198"/>
      <c r="AP40" s="198"/>
      <c r="AQ40" s="198"/>
      <c r="AR40" s="198"/>
      <c r="AS40" s="198"/>
      <c r="AT40" s="198"/>
      <c r="AU40" s="198"/>
      <c r="AV40" s="198"/>
      <c r="AW40" s="198"/>
      <c r="AX40" s="198"/>
      <c r="AY40" s="198"/>
      <c r="AZ40" s="198"/>
      <c r="BA40" s="198"/>
      <c r="BB40" s="198"/>
      <c r="BC40" s="198"/>
      <c r="BD40" s="198"/>
      <c r="BE40" s="198"/>
      <c r="BF40" s="198"/>
      <c r="BG40" s="198"/>
      <c r="BH40" s="198"/>
      <c r="BI40" s="198"/>
      <c r="BJ40" s="198"/>
      <c r="BK40" s="198"/>
      <c r="BL40" s="198"/>
      <c r="BM40" s="198"/>
      <c r="BN40" s="198"/>
      <c r="BO40" s="198"/>
      <c r="BP40" s="198"/>
      <c r="BQ40" s="198"/>
      <c r="BR40" s="198"/>
      <c r="BS40" s="198"/>
      <c r="BT40" s="198"/>
      <c r="BU40" s="198"/>
      <c r="BV40" s="198"/>
      <c r="BW40" s="198"/>
      <c r="BX40" s="198"/>
    </row>
    <row r="41" spans="1:76" x14ac:dyDescent="0.25">
      <c r="A41" s="2" t="str">
        <f>'Language Index'!A63</f>
        <v>Other Non-Operating Inc. (Exp.)</v>
      </c>
      <c r="B41" s="18">
        <f>_xll.ciqfunctions.udf.CIQ($C$2, "IQ_OTHER_NON_OPER_EXP_SUPPL", D$6,$F$2,,,Ccy,Conv)</f>
        <v>1687</v>
      </c>
      <c r="C41" s="18">
        <f>_xll.ciqfunctions.udf.CIQ($C$2, "IQ_OTHER_NON_OPER_EXP_SUPPL", E$6,$F$2,,,Ccy,Conv)</f>
        <v>249</v>
      </c>
      <c r="D41" s="18">
        <f>_xll.ciqfunctions.udf.CIQ($C$2, "IQ_OTHER_NON_OPER_EXP_SUPPL", F$6,$F$2,,,Ccy,Conv)</f>
        <v>-79</v>
      </c>
      <c r="E41" s="18">
        <f>_xll.ciqfunctions.udf.CIQ($C$2, "IQ_OTHER_NON_OPER_EXP_SUPPL", G$6,$F$2,,,Ccy,Conv)</f>
        <v>333</v>
      </c>
      <c r="F41" s="18">
        <f>_xll.ciqfunctions.udf.CIQ($C$2, "IQ_OTHER_NON_OPER_EXP_SUPPL", H$6,$F$2,,,Ccy,Conv)</f>
        <v>-719</v>
      </c>
      <c r="G41" s="18">
        <f>_xll.ciqfunctions.udf.CIQ($C$2, "IQ_OTHER_NON_OPER_EXP_SUPPL", I$6,$F$2,,,Ccy,Conv)</f>
        <v>263</v>
      </c>
      <c r="H41" s="18">
        <f>_xll.ciqfunctions.udf.CIQ($C$2, "IQ_OTHER_NON_OPER_EXP_SUPPL", J$6,$F$2,,,Ccy,Conv)</f>
        <v>-790</v>
      </c>
      <c r="I41" s="18">
        <f>_xll.ciqfunctions.udf.CIQ($C$2, "IQ_OTHER_NON_OPER_EXP_SUPPL", K$6,$F$2,,,Ccy,Conv)</f>
        <v>225</v>
      </c>
      <c r="J41" s="18">
        <f>_xll.ciqfunctions.udf.CIQ($C$2, "IQ_OTHER_NON_OPER_EXP_SUPPL", L$6,$F$2,,,Ccy,Conv)</f>
        <v>6255</v>
      </c>
      <c r="K41" s="18">
        <f>_xll.ciqfunctions.udf.CIQ($C$2, "IQ_OTHER_NON_OPER_EXP_SUPPL", M$6,$F$2,,,Ccy,Conv)</f>
        <v>225</v>
      </c>
      <c r="L41" s="18">
        <f>_xll.ciqfunctions.udf.CIQ($C$2, "IQ_OTHER_NON_OPER_EXP_SUPPL", N$6,$F$2,,,Ccy,Conv)</f>
        <v>3979</v>
      </c>
      <c r="M41" s="18"/>
      <c r="N41" s="18">
        <f>_xll.ciqfunctions.udf.CIQ($C$2, "IQ_OTHER_NON_OPER_EXP_SUPPL", P$6,$F$2,,,Ccy,Conv)</f>
        <v>3979</v>
      </c>
      <c r="O41" s="198"/>
      <c r="P41" s="198"/>
      <c r="Q41" s="198"/>
      <c r="R41" s="198"/>
      <c r="S41" s="198"/>
      <c r="T41" s="205"/>
      <c r="U41" s="205"/>
      <c r="V41" s="205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  <c r="BS41" s="198"/>
      <c r="BT41" s="198"/>
      <c r="BU41" s="198"/>
      <c r="BV41" s="198"/>
      <c r="BW41" s="198"/>
      <c r="BX41" s="198"/>
    </row>
    <row r="42" spans="1:76" x14ac:dyDescent="0.25">
      <c r="A42" s="19" t="str">
        <f>'Language Index'!A64</f>
        <v>EBT Excl Unusual Items</v>
      </c>
      <c r="B42" s="20">
        <f>_xll.ciqfunctions.udf.CIQ($C$2, "IQ_EBT_EXCL", D$6,$F$2,,,Ccy,Conv)</f>
        <v>21342</v>
      </c>
      <c r="C42" s="20">
        <f>_xll.ciqfunctions.udf.CIQ($C$2, "IQ_EBT_EXCL", E$6,$F$2,,,Ccy,Conv)</f>
        <v>16819</v>
      </c>
      <c r="D42" s="20">
        <f>_xll.ciqfunctions.udf.CIQ($C$2, "IQ_EBT_EXCL", F$6,$F$2,,,Ccy,Conv)</f>
        <v>13425</v>
      </c>
      <c r="E42" s="20">
        <f>_xll.ciqfunctions.udf.CIQ($C$2, "IQ_EBT_EXCL", G$6,$F$2,,,Ccy,Conv)</f>
        <v>11400</v>
      </c>
      <c r="F42" s="20">
        <f>_xll.ciqfunctions.udf.CIQ($C$2, "IQ_EBT_EXCL", H$6,$F$2,,,Ccy,Conv)</f>
        <v>11342</v>
      </c>
      <c r="G42" s="20">
        <f>_xll.ciqfunctions.udf.CIQ($C$2, "IQ_EBT_EXCL", I$6,$F$2,,,Ccy,Conv)</f>
        <v>6444</v>
      </c>
      <c r="H42" s="20">
        <f>_xll.ciqfunctions.udf.CIQ($C$2, "IQ_EBT_EXCL", J$6,$F$2,,,Ccy,Conv)</f>
        <v>2572</v>
      </c>
      <c r="I42" s="20">
        <f>_xll.ciqfunctions.udf.CIQ($C$2, "IQ_EBT_EXCL", K$6,$F$2,,,Ccy,Conv)</f>
        <v>4704</v>
      </c>
      <c r="J42" s="20">
        <f>_xll.ciqfunctions.udf.CIQ($C$2, "IQ_EBT_EXCL", L$6,$F$2,,,Ccy,Conv)</f>
        <v>7328</v>
      </c>
      <c r="K42" s="20">
        <f>_xll.ciqfunctions.udf.CIQ($C$2, "IQ_EBT_EXCL", M$6,$F$2,,,Ccy,Conv)</f>
        <v>9122</v>
      </c>
      <c r="L42" s="20">
        <f>_xll.ciqfunctions.udf.CIQ($C$2, "IQ_EBT_EXCL", N$6,$F$2,,,Ccy,Conv)</f>
        <v>9709</v>
      </c>
      <c r="M42" s="21"/>
      <c r="N42" s="20">
        <f>_xll.ciqfunctions.udf.CIQ($C$2, "IQ_EBT_EXCL", P$6,$F$2,,,Ccy,Conv)</f>
        <v>9709</v>
      </c>
      <c r="O42" s="215"/>
      <c r="P42" s="198"/>
      <c r="Q42" s="198"/>
      <c r="R42" s="198"/>
      <c r="S42" s="198"/>
      <c r="T42" s="216"/>
      <c r="U42" s="216"/>
      <c r="V42" s="216"/>
      <c r="W42" s="215"/>
      <c r="X42" s="215"/>
      <c r="Y42" s="215"/>
      <c r="Z42" s="215"/>
      <c r="AA42" s="215"/>
      <c r="AB42" s="215"/>
      <c r="AC42" s="198"/>
      <c r="AD42" s="198"/>
      <c r="AE42" s="198"/>
      <c r="AF42" s="215"/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98"/>
      <c r="AW42" s="198"/>
      <c r="AX42" s="198"/>
      <c r="AY42" s="198"/>
      <c r="AZ42" s="198"/>
      <c r="BA42" s="198"/>
      <c r="BB42" s="198"/>
      <c r="BC42" s="198"/>
      <c r="BD42" s="198"/>
      <c r="BE42" s="198"/>
      <c r="BF42" s="198"/>
      <c r="BG42" s="198"/>
      <c r="BH42" s="198"/>
      <c r="BI42" s="198"/>
      <c r="BJ42" s="198"/>
      <c r="BK42" s="198"/>
      <c r="BL42" s="198"/>
      <c r="BM42" s="198"/>
      <c r="BN42" s="198"/>
      <c r="BO42" s="198"/>
      <c r="BP42" s="198"/>
      <c r="BQ42" s="198"/>
      <c r="BR42" s="198"/>
      <c r="BS42" s="198"/>
      <c r="BT42" s="198"/>
      <c r="BU42" s="198"/>
      <c r="BV42" s="198"/>
      <c r="BW42" s="198"/>
      <c r="BX42" s="198"/>
    </row>
    <row r="43" spans="1:76" x14ac:dyDescent="0.25">
      <c r="A43" s="2" t="str">
        <f>'Language Index'!A65</f>
        <v>Restructuring Charges</v>
      </c>
      <c r="B43" s="18">
        <f>_xll.ciqfunctions.udf.CIQ($C$2, "IQ_RESTRUCTURE", D$6,$F$2,,,Ccy,Conv)</f>
        <v>-1472</v>
      </c>
      <c r="C43" s="18">
        <f>_xll.ciqfunctions.udf.CIQ($C$2, "IQ_RESTRUCTURE", E$6,$F$2,,,Ccy,Conv)</f>
        <v>-587</v>
      </c>
      <c r="D43" s="18">
        <f>_xll.ciqfunctions.udf.CIQ($C$2, "IQ_RESTRUCTURE", F$6,$F$2,,,Ccy,Conv)</f>
        <v>-1038</v>
      </c>
      <c r="E43" s="18">
        <f>_xll.ciqfunctions.udf.CIQ($C$2, "IQ_RESTRUCTURE", G$6,$F$2,,,Ccy,Conv)</f>
        <v>0</v>
      </c>
      <c r="F43" s="18">
        <f>_xll.ciqfunctions.udf.CIQ($C$2, "IQ_RESTRUCTURE", H$6,$F$2,,,Ccy,Conv)</f>
        <v>0</v>
      </c>
      <c r="G43" s="18">
        <f>_xll.ciqfunctions.udf.CIQ($C$2, "IQ_RESTRUCTURE", I$6,$F$2,,,Ccy,Conv)</f>
        <v>0</v>
      </c>
      <c r="H43" s="18">
        <f>_xll.ciqfunctions.udf.CIQ($C$2, "IQ_RESTRUCTURE", J$6,$F$2,,,Ccy,Conv)</f>
        <v>0</v>
      </c>
      <c r="I43" s="18">
        <f>_xll.ciqfunctions.udf.CIQ($C$2, "IQ_RESTRUCTURE", K$6,$F$2,,,Ccy,Conv)</f>
        <v>0</v>
      </c>
      <c r="J43" s="18">
        <f>_xll.ciqfunctions.udf.CIQ($C$2, "IQ_RESTRUCTURE", L$6,$F$2,,,Ccy,Conv)</f>
        <v>0</v>
      </c>
      <c r="K43" s="18">
        <f>_xll.ciqfunctions.udf.CIQ($C$2, "IQ_RESTRUCTURE", M$6,$F$2,,,Ccy,Conv)</f>
        <v>-438</v>
      </c>
      <c r="L43" s="18">
        <f>_xll.ciqfunctions.udf.CIQ($C$2, "IQ_RESTRUCTURE", N$6,$F$2,,,Ccy,Conv)</f>
        <v>-696</v>
      </c>
      <c r="M43" s="18"/>
      <c r="N43" s="18">
        <f>_xll.ciqfunctions.udf.CIQ($C$2, "IQ_RESTRUCTURE", P$6,$F$2,,,Ccy,Conv)</f>
        <v>-696</v>
      </c>
      <c r="O43" s="215"/>
      <c r="P43" s="198"/>
      <c r="Q43" s="198"/>
      <c r="R43" s="198"/>
      <c r="S43" s="198"/>
      <c r="T43" s="216"/>
      <c r="U43" s="216"/>
      <c r="V43" s="216"/>
      <c r="W43" s="215"/>
      <c r="X43" s="215"/>
      <c r="Y43" s="215"/>
      <c r="Z43" s="215"/>
      <c r="AA43" s="215"/>
      <c r="AB43" s="215"/>
      <c r="AC43" s="198"/>
      <c r="AD43" s="198"/>
      <c r="AE43" s="198"/>
      <c r="AF43" s="215"/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98"/>
      <c r="AW43" s="198"/>
      <c r="AX43" s="198"/>
      <c r="AY43" s="198"/>
      <c r="AZ43" s="198"/>
      <c r="BA43" s="198"/>
      <c r="BB43" s="198"/>
      <c r="BC43" s="198"/>
      <c r="BD43" s="198"/>
      <c r="BE43" s="198"/>
      <c r="BF43" s="198"/>
      <c r="BG43" s="198"/>
      <c r="BH43" s="198"/>
      <c r="BI43" s="198"/>
      <c r="BJ43" s="198"/>
      <c r="BK43" s="198"/>
      <c r="BL43" s="198"/>
      <c r="BM43" s="198"/>
      <c r="BN43" s="198"/>
      <c r="BO43" s="198"/>
      <c r="BP43" s="198"/>
      <c r="BQ43" s="198"/>
      <c r="BR43" s="198"/>
      <c r="BS43" s="198"/>
      <c r="BT43" s="198"/>
      <c r="BU43" s="198"/>
      <c r="BV43" s="198"/>
      <c r="BW43" s="198"/>
      <c r="BX43" s="198"/>
    </row>
    <row r="44" spans="1:76" x14ac:dyDescent="0.25">
      <c r="A44" s="2" t="str">
        <f>'Language Index'!A66</f>
        <v>Merger &amp; Related Restruct. Charges</v>
      </c>
      <c r="B44" s="18">
        <f>_xll.ciqfunctions.udf.CIQ($C$2, "IQ_MERGER", D$6,$F$2,,,Ccy,Conv)</f>
        <v>-12</v>
      </c>
      <c r="C44" s="18">
        <f>_xll.ciqfunctions.udf.CIQ($C$2, "IQ_MERGER", E$6,$F$2,,,Ccy,Conv)</f>
        <v>-26</v>
      </c>
      <c r="D44" s="18">
        <f>_xll.ciqfunctions.udf.CIQ($C$2, "IQ_MERGER", F$6,$F$2,,,Ccy,Conv)</f>
        <v>-5</v>
      </c>
      <c r="E44" s="18">
        <f>_xll.ciqfunctions.udf.CIQ($C$2, "IQ_MERGER", G$6,$F$2,,,Ccy,Conv)</f>
        <v>0</v>
      </c>
      <c r="F44" s="18">
        <f>_xll.ciqfunctions.udf.CIQ($C$2, "IQ_MERGER", H$6,$F$2,,,Ccy,Conv)</f>
        <v>0</v>
      </c>
      <c r="G44" s="18">
        <f>_xll.ciqfunctions.udf.CIQ($C$2, "IQ_MERGER", I$6,$F$2,,,Ccy,Conv)</f>
        <v>0</v>
      </c>
      <c r="H44" s="18">
        <f>_xll.ciqfunctions.udf.CIQ($C$2, "IQ_MERGER", J$6,$F$2,,,Ccy,Conv)</f>
        <v>0</v>
      </c>
      <c r="I44" s="18">
        <f>_xll.ciqfunctions.udf.CIQ($C$2, "IQ_MERGER", K$6,$F$2,,,Ccy,Conv)</f>
        <v>0</v>
      </c>
      <c r="J44" s="18">
        <f>_xll.ciqfunctions.udf.CIQ($C$2, "IQ_MERGER", L$6,$F$2,,,Ccy,Conv)</f>
        <v>0</v>
      </c>
      <c r="K44" s="18">
        <f>_xll.ciqfunctions.udf.CIQ($C$2, "IQ_MERGER", M$6,$F$2,,,Ccy,Conv)</f>
        <v>-33</v>
      </c>
      <c r="L44" s="18">
        <f>_xll.ciqfunctions.udf.CIQ($C$2, "IQ_MERGER", N$6,$F$2,,,Ccy,Conv)</f>
        <v>-123</v>
      </c>
      <c r="M44" s="18"/>
      <c r="N44" s="18">
        <f>_xll.ciqfunctions.udf.CIQ($C$2, "IQ_MERGER", P$6,$F$2,,,Ccy,Conv)</f>
        <v>-123</v>
      </c>
      <c r="O44" s="198"/>
      <c r="P44" s="198"/>
      <c r="Q44" s="198"/>
      <c r="R44" s="198"/>
      <c r="S44" s="198"/>
      <c r="T44" s="205"/>
      <c r="U44" s="205"/>
      <c r="V44" s="205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98"/>
      <c r="AW44" s="198"/>
      <c r="AX44" s="198"/>
      <c r="AY44" s="198"/>
      <c r="AZ44" s="198"/>
      <c r="BA44" s="198"/>
      <c r="BB44" s="198"/>
      <c r="BC44" s="198"/>
      <c r="BD44" s="198"/>
      <c r="BE44" s="198"/>
      <c r="BF44" s="198"/>
      <c r="BG44" s="198"/>
      <c r="BH44" s="198"/>
      <c r="BI44" s="198"/>
      <c r="BJ44" s="198"/>
      <c r="BK44" s="198"/>
      <c r="BL44" s="198"/>
      <c r="BM44" s="198"/>
      <c r="BN44" s="198"/>
      <c r="BO44" s="198"/>
      <c r="BP44" s="198"/>
      <c r="BQ44" s="198"/>
      <c r="BR44" s="198"/>
      <c r="BS44" s="198"/>
      <c r="BT44" s="198"/>
      <c r="BU44" s="198"/>
      <c r="BV44" s="198"/>
      <c r="BW44" s="198"/>
      <c r="BX44" s="198"/>
    </row>
    <row r="45" spans="1:76" x14ac:dyDescent="0.25">
      <c r="A45" s="2" t="str">
        <f>'Language Index'!A67</f>
        <v>Impairment of Goodwill</v>
      </c>
      <c r="B45" s="18">
        <f>_xll.ciqfunctions.udf.CIQ($C$2, "IQ_IMPAIRMENT_GW", D$6,$F$2,,,Ccy,Conv)</f>
        <v>0</v>
      </c>
      <c r="C45" s="18">
        <f>_xll.ciqfunctions.udf.CIQ($C$2, "IQ_IMPAIRMENT_GW", E$6,$F$2,,,Ccy,Conv)</f>
        <v>0</v>
      </c>
      <c r="D45" s="18">
        <f>_xll.ciqfunctions.udf.CIQ($C$2, "IQ_IMPAIRMENT_GW", F$6,$F$2,,,Ccy,Conv)</f>
        <v>0</v>
      </c>
      <c r="E45" s="18">
        <f>_xll.ciqfunctions.udf.CIQ($C$2, "IQ_IMPAIRMENT_GW", G$6,$F$2,,,Ccy,Conv)</f>
        <v>0</v>
      </c>
      <c r="F45" s="18">
        <f>_xll.ciqfunctions.udf.CIQ($C$2, "IQ_IMPAIRMENT_GW", H$6,$F$2,,,Ccy,Conv)</f>
        <v>0</v>
      </c>
      <c r="G45" s="18">
        <f>_xll.ciqfunctions.udf.CIQ($C$2, "IQ_IMPAIRMENT_GW", I$6,$F$2,,,Ccy,Conv)</f>
        <v>0</v>
      </c>
      <c r="H45" s="18">
        <f>_xll.ciqfunctions.udf.CIQ($C$2, "IQ_IMPAIRMENT_GW", J$6,$F$2,,,Ccy,Conv)</f>
        <v>0</v>
      </c>
      <c r="I45" s="18">
        <f>_xll.ciqfunctions.udf.CIQ($C$2, "IQ_IMPAIRMENT_GW", K$6,$F$2,,,Ccy,Conv)</f>
        <v>0</v>
      </c>
      <c r="J45" s="18">
        <f>_xll.ciqfunctions.udf.CIQ($C$2, "IQ_IMPAIRMENT_GW", L$6,$F$2,,,Ccy,Conv)</f>
        <v>0</v>
      </c>
      <c r="K45" s="18">
        <f>_xll.ciqfunctions.udf.CIQ($C$2, "IQ_IMPAIRMENT_GW", M$6,$F$2,,,Ccy,Conv)</f>
        <v>0</v>
      </c>
      <c r="L45" s="18">
        <f>_xll.ciqfunctions.udf.CIQ($C$2, "IQ_IMPAIRMENT_GW", N$6,$F$2,,,Ccy,Conv)</f>
        <v>0</v>
      </c>
      <c r="M45" s="18"/>
      <c r="N45" s="18">
        <f>_xll.ciqfunctions.udf.CIQ($C$2, "IQ_IMPAIRMENT_GW", P$6,$F$2,,,Ccy,Conv)</f>
        <v>0</v>
      </c>
      <c r="O45" s="198"/>
      <c r="P45" s="198"/>
      <c r="Q45" s="198"/>
      <c r="R45" s="198"/>
      <c r="S45" s="198"/>
      <c r="T45" s="205"/>
      <c r="U45" s="205"/>
      <c r="V45" s="205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98"/>
      <c r="AW45" s="198"/>
      <c r="AX45" s="198"/>
      <c r="AY45" s="198"/>
      <c r="AZ45" s="198"/>
      <c r="BA45" s="198"/>
      <c r="BB45" s="198"/>
      <c r="BC45" s="198"/>
      <c r="BD45" s="198"/>
      <c r="BE45" s="198"/>
      <c r="BF45" s="198"/>
      <c r="BG45" s="198"/>
      <c r="BH45" s="198"/>
      <c r="BI45" s="198"/>
      <c r="BJ45" s="198"/>
      <c r="BK45" s="198"/>
      <c r="BL45" s="198"/>
      <c r="BM45" s="198"/>
      <c r="BN45" s="198"/>
      <c r="BO45" s="198"/>
      <c r="BP45" s="198"/>
      <c r="BQ45" s="198"/>
      <c r="BR45" s="198"/>
      <c r="BS45" s="198"/>
      <c r="BT45" s="198"/>
      <c r="BU45" s="198"/>
      <c r="BV45" s="198"/>
      <c r="BW45" s="198"/>
      <c r="BX45" s="198"/>
    </row>
    <row r="46" spans="1:76" x14ac:dyDescent="0.25">
      <c r="A46" s="2" t="str">
        <f>'Language Index'!A68</f>
        <v>Gain (Loss) On Sale Of Invest.</v>
      </c>
      <c r="B46" s="18">
        <f>_xll.ciqfunctions.udf.CIQ($C$2, "IQ_GAIN_INVEST", D$6,$F$2,,,Ccy,Conv)</f>
        <v>26</v>
      </c>
      <c r="C46" s="18">
        <f>_xll.ciqfunctions.udf.CIQ($C$2, "IQ_GAIN_INVEST", E$6,$F$2,,,Ccy,Conv)</f>
        <v>-47</v>
      </c>
      <c r="D46" s="18">
        <f>_xll.ciqfunctions.udf.CIQ($C$2, "IQ_GAIN_INVEST", F$6,$F$2,,,Ccy,Conv)</f>
        <v>-23</v>
      </c>
      <c r="E46" s="18">
        <f>_xll.ciqfunctions.udf.CIQ($C$2, "IQ_GAIN_INVEST", G$6,$F$2,,,Ccy,Conv)</f>
        <v>0</v>
      </c>
      <c r="F46" s="18">
        <f>_xll.ciqfunctions.udf.CIQ($C$2, "IQ_GAIN_INVEST", H$6,$F$2,,,Ccy,Conv)</f>
        <v>0</v>
      </c>
      <c r="G46" s="18">
        <f>_xll.ciqfunctions.udf.CIQ($C$2, "IQ_GAIN_INVEST", I$6,$F$2,,,Ccy,Conv)</f>
        <v>0</v>
      </c>
      <c r="H46" s="18">
        <f>_xll.ciqfunctions.udf.CIQ($C$2, "IQ_GAIN_INVEST", J$6,$F$2,,,Ccy,Conv)</f>
        <v>0</v>
      </c>
      <c r="I46" s="18">
        <f>_xll.ciqfunctions.udf.CIQ($C$2, "IQ_GAIN_INVEST", K$6,$F$2,,,Ccy,Conv)</f>
        <v>133</v>
      </c>
      <c r="J46" s="18">
        <f>_xll.ciqfunctions.udf.CIQ($C$2, "IQ_GAIN_INVEST", L$6,$F$2,,,Ccy,Conv)</f>
        <v>-278</v>
      </c>
      <c r="K46" s="18">
        <f>_xll.ciqfunctions.udf.CIQ($C$2, "IQ_GAIN_INVEST", M$6,$F$2,,,Ccy,Conv)</f>
        <v>39</v>
      </c>
      <c r="L46" s="18">
        <f>_xll.ciqfunctions.udf.CIQ($C$2, "IQ_GAIN_INVEST", N$6,$F$2,,,Ccy,Conv)</f>
        <v>20</v>
      </c>
      <c r="M46" s="18"/>
      <c r="N46" s="18">
        <f>_xll.ciqfunctions.udf.CIQ($C$2, "IQ_GAIN_INVEST", P$6,$F$2,,,Ccy,Conv)</f>
        <v>20</v>
      </c>
      <c r="O46" s="198"/>
      <c r="P46" s="198"/>
      <c r="Q46" s="198"/>
      <c r="R46" s="198"/>
      <c r="S46" s="198"/>
      <c r="T46" s="205"/>
      <c r="U46" s="205"/>
      <c r="V46" s="205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  <c r="AW46" s="198"/>
      <c r="AX46" s="198"/>
      <c r="AY46" s="198"/>
      <c r="AZ46" s="198"/>
      <c r="BA46" s="198"/>
      <c r="BB46" s="198"/>
      <c r="BC46" s="198"/>
      <c r="BD46" s="198"/>
      <c r="BE46" s="198"/>
      <c r="BF46" s="198"/>
      <c r="BG46" s="198"/>
      <c r="BH46" s="198"/>
      <c r="BI46" s="198"/>
      <c r="BJ46" s="198"/>
      <c r="BK46" s="198"/>
      <c r="BL46" s="198"/>
      <c r="BM46" s="198"/>
      <c r="BN46" s="198"/>
      <c r="BO46" s="198"/>
      <c r="BP46" s="198"/>
      <c r="BQ46" s="198"/>
      <c r="BR46" s="198"/>
      <c r="BS46" s="198"/>
      <c r="BT46" s="198"/>
      <c r="BU46" s="198"/>
      <c r="BV46" s="198"/>
      <c r="BW46" s="198"/>
      <c r="BX46" s="198"/>
    </row>
    <row r="47" spans="1:76" x14ac:dyDescent="0.25">
      <c r="A47" s="2" t="str">
        <f>'Language Index'!A69</f>
        <v>Gain (Loss) On Sale Of Assets</v>
      </c>
      <c r="B47" s="18">
        <f>_xll.ciqfunctions.udf.CIQ($C$2, "IQ_GAIN_ASSETS", D$6,$F$2,,,Ccy,Conv)</f>
        <v>236</v>
      </c>
      <c r="C47" s="18">
        <f>_xll.ciqfunctions.udf.CIQ($C$2, "IQ_GAIN_ASSETS", E$6,$F$2,,,Ccy,Conv)</f>
        <v>13</v>
      </c>
      <c r="D47" s="18">
        <f>_xll.ciqfunctions.udf.CIQ($C$2, "IQ_GAIN_ASSETS", F$6,$F$2,,,Ccy,Conv)</f>
        <v>27</v>
      </c>
      <c r="E47" s="18">
        <f>_xll.ciqfunctions.udf.CIQ($C$2, "IQ_GAIN_ASSETS", G$6,$F$2,,,Ccy,Conv)</f>
        <v>0</v>
      </c>
      <c r="F47" s="18">
        <f>_xll.ciqfunctions.udf.CIQ($C$2, "IQ_GAIN_ASSETS", H$6,$F$2,,,Ccy,Conv)</f>
        <v>0</v>
      </c>
      <c r="G47" s="18">
        <f>_xll.ciqfunctions.udf.CIQ($C$2, "IQ_GAIN_ASSETS", I$6,$F$2,,,Ccy,Conv)</f>
        <v>762</v>
      </c>
      <c r="H47" s="18">
        <f>_xll.ciqfunctions.udf.CIQ($C$2, "IQ_GAIN_ASSETS", J$6,$F$2,,,Ccy,Conv)</f>
        <v>0</v>
      </c>
      <c r="I47" s="18">
        <f>_xll.ciqfunctions.udf.CIQ($C$2, "IQ_GAIN_ASSETS", K$6,$F$2,,,Ccy,Conv)</f>
        <v>0</v>
      </c>
      <c r="J47" s="18">
        <f>_xll.ciqfunctions.udf.CIQ($C$2, "IQ_GAIN_ASSETS", L$6,$F$2,,,Ccy,Conv)</f>
        <v>0</v>
      </c>
      <c r="K47" s="18">
        <f>_xll.ciqfunctions.udf.CIQ($C$2, "IQ_GAIN_ASSETS", M$6,$F$2,,,Ccy,Conv)</f>
        <v>0</v>
      </c>
      <c r="L47" s="18">
        <f>_xll.ciqfunctions.udf.CIQ($C$2, "IQ_GAIN_ASSETS", N$6,$F$2,,,Ccy,Conv)</f>
        <v>0</v>
      </c>
      <c r="M47" s="18"/>
      <c r="N47" s="18">
        <f>_xll.ciqfunctions.udf.CIQ($C$2, "IQ_GAIN_ASSETS", P$6,$F$2,,,Ccy,Conv)</f>
        <v>0</v>
      </c>
      <c r="O47" s="198"/>
      <c r="P47" s="198"/>
      <c r="Q47" s="198"/>
      <c r="R47" s="198"/>
      <c r="S47" s="198"/>
      <c r="T47" s="205"/>
      <c r="U47" s="205"/>
      <c r="V47" s="205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  <c r="BS47" s="198"/>
      <c r="BT47" s="198"/>
      <c r="BU47" s="198"/>
      <c r="BV47" s="198"/>
      <c r="BW47" s="198"/>
      <c r="BX47" s="198"/>
    </row>
    <row r="48" spans="1:76" x14ac:dyDescent="0.25">
      <c r="A48" s="2" t="str">
        <f>'Language Index'!A70</f>
        <v>Asset Writedown</v>
      </c>
      <c r="B48" s="18">
        <f>_xll.ciqfunctions.udf.CIQ($C$2, "IQ_ASSET_WRITEDOWN", D$6,$F$2,,,Ccy,Conv)</f>
        <v>0</v>
      </c>
      <c r="C48" s="18">
        <f>_xll.ciqfunctions.udf.CIQ($C$2, "IQ_ASSET_WRITEDOWN", E$6,$F$2,,,Ccy,Conv)</f>
        <v>0</v>
      </c>
      <c r="D48" s="18">
        <f>_xll.ciqfunctions.udf.CIQ($C$2, "IQ_ASSET_WRITEDOWN", F$6,$F$2,,,Ccy,Conv)</f>
        <v>0</v>
      </c>
      <c r="E48" s="18">
        <f>_xll.ciqfunctions.udf.CIQ($C$2, "IQ_ASSET_WRITEDOWN", G$6,$F$2,,,Ccy,Conv)</f>
        <v>0</v>
      </c>
      <c r="F48" s="18">
        <f>_xll.ciqfunctions.udf.CIQ($C$2, "IQ_ASSET_WRITEDOWN", H$6,$F$2,,,Ccy,Conv)</f>
        <v>0</v>
      </c>
      <c r="G48" s="18">
        <f>_xll.ciqfunctions.udf.CIQ($C$2, "IQ_ASSET_WRITEDOWN", I$6,$F$2,,,Ccy,Conv)</f>
        <v>0</v>
      </c>
      <c r="H48" s="18">
        <f>_xll.ciqfunctions.udf.CIQ($C$2, "IQ_ASSET_WRITEDOWN", J$6,$F$2,,,Ccy,Conv)</f>
        <v>0</v>
      </c>
      <c r="I48" s="18">
        <f>_xll.ciqfunctions.udf.CIQ($C$2, "IQ_ASSET_WRITEDOWN", K$6,$F$2,,,Ccy,Conv)</f>
        <v>0</v>
      </c>
      <c r="J48" s="18">
        <f>_xll.ciqfunctions.udf.CIQ($C$2, "IQ_ASSET_WRITEDOWN", L$6,$F$2,,,Ccy,Conv)</f>
        <v>0</v>
      </c>
      <c r="K48" s="18">
        <f>_xll.ciqfunctions.udf.CIQ($C$2, "IQ_ASSET_WRITEDOWN", M$6,$F$2,,,Ccy,Conv)</f>
        <v>0</v>
      </c>
      <c r="L48" s="18">
        <f>_xll.ciqfunctions.udf.CIQ($C$2, "IQ_ASSET_WRITEDOWN", N$6,$F$2,,,Ccy,Conv)</f>
        <v>0</v>
      </c>
      <c r="M48" s="18"/>
      <c r="N48" s="18">
        <f>_xll.ciqfunctions.udf.CIQ($C$2, "IQ_ASSET_WRITEDOWN", P$6,$F$2,,,Ccy,Conv)</f>
        <v>0</v>
      </c>
      <c r="O48" s="198"/>
      <c r="P48" s="198"/>
      <c r="Q48" s="198"/>
      <c r="R48" s="198"/>
      <c r="S48" s="198"/>
      <c r="T48" s="205"/>
      <c r="U48" s="205"/>
      <c r="V48" s="205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198"/>
      <c r="BQ48" s="198"/>
      <c r="BR48" s="198"/>
      <c r="BS48" s="198"/>
      <c r="BT48" s="198"/>
      <c r="BU48" s="198"/>
      <c r="BV48" s="198"/>
      <c r="BW48" s="198"/>
      <c r="BX48" s="198"/>
    </row>
    <row r="49" spans="1:76" x14ac:dyDescent="0.25">
      <c r="A49" s="2" t="str">
        <f>'Language Index'!A71</f>
        <v>In Process R &amp; D Exp.</v>
      </c>
      <c r="B49" s="18">
        <f>_xll.ciqfunctions.udf.CIQ($C$2, "IQ_IPRD", D$6,$F$2,,,Ccy,Conv)</f>
        <v>0</v>
      </c>
      <c r="C49" s="18">
        <f>_xll.ciqfunctions.udf.CIQ($C$2, "IQ_IPRD", E$6,$F$2,,,Ccy,Conv)</f>
        <v>0</v>
      </c>
      <c r="D49" s="18">
        <f>_xll.ciqfunctions.udf.CIQ($C$2, "IQ_IPRD", F$6,$F$2,,,Ccy,Conv)</f>
        <v>0</v>
      </c>
      <c r="E49" s="18">
        <f>_xll.ciqfunctions.udf.CIQ($C$2, "IQ_IPRD", G$6,$F$2,,,Ccy,Conv)</f>
        <v>0</v>
      </c>
      <c r="F49" s="18">
        <f>_xll.ciqfunctions.udf.CIQ($C$2, "IQ_IPRD", H$6,$F$2,,,Ccy,Conv)</f>
        <v>0</v>
      </c>
      <c r="G49" s="18">
        <f>_xll.ciqfunctions.udf.CIQ($C$2, "IQ_IPRD", I$6,$F$2,,,Ccy,Conv)</f>
        <v>0</v>
      </c>
      <c r="H49" s="18">
        <f>_xll.ciqfunctions.udf.CIQ($C$2, "IQ_IPRD", J$6,$F$2,,,Ccy,Conv)</f>
        <v>0</v>
      </c>
      <c r="I49" s="18">
        <f>_xll.ciqfunctions.udf.CIQ($C$2, "IQ_IPRD", K$6,$F$2,,,Ccy,Conv)</f>
        <v>0</v>
      </c>
      <c r="J49" s="18">
        <f>_xll.ciqfunctions.udf.CIQ($C$2, "IQ_IPRD", L$6,$F$2,,,Ccy,Conv)</f>
        <v>0</v>
      </c>
      <c r="K49" s="18">
        <f>_xll.ciqfunctions.udf.CIQ($C$2, "IQ_IPRD", M$6,$F$2,,,Ccy,Conv)</f>
        <v>0</v>
      </c>
      <c r="L49" s="18">
        <f>_xll.ciqfunctions.udf.CIQ($C$2, "IQ_IPRD", N$6,$F$2,,,Ccy,Conv)</f>
        <v>0</v>
      </c>
      <c r="M49" s="18"/>
      <c r="N49" s="18">
        <f>_xll.ciqfunctions.udf.CIQ($C$2, "IQ_IPRD", P$6,$F$2,,,Ccy,Conv)</f>
        <v>0</v>
      </c>
      <c r="O49" s="198"/>
      <c r="P49" s="198"/>
      <c r="Q49" s="198"/>
      <c r="R49" s="198"/>
      <c r="S49" s="198"/>
      <c r="T49" s="205"/>
      <c r="U49" s="205"/>
      <c r="V49" s="205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  <c r="BB49" s="198"/>
      <c r="BC49" s="198"/>
      <c r="BD49" s="198"/>
      <c r="BE49" s="198"/>
      <c r="BF49" s="198"/>
      <c r="BG49" s="198"/>
      <c r="BH49" s="198"/>
      <c r="BI49" s="198"/>
      <c r="BJ49" s="198"/>
      <c r="BK49" s="198"/>
      <c r="BL49" s="198"/>
      <c r="BM49" s="198"/>
      <c r="BN49" s="198"/>
      <c r="BO49" s="198"/>
      <c r="BP49" s="198"/>
      <c r="BQ49" s="198"/>
      <c r="BR49" s="198"/>
      <c r="BS49" s="198"/>
      <c r="BT49" s="198"/>
      <c r="BU49" s="198"/>
      <c r="BV49" s="198"/>
      <c r="BW49" s="198"/>
      <c r="BX49" s="198"/>
    </row>
    <row r="50" spans="1:76" x14ac:dyDescent="0.25">
      <c r="A50" s="2" t="str">
        <f>'Language Index'!A72</f>
        <v>Insurance Settlements</v>
      </c>
      <c r="B50" s="18">
        <f>_xll.ciqfunctions.udf.CIQ($C$2, "IQ_INS_SETTLE", D$6,$F$2,,,Ccy,Conv)</f>
        <v>0</v>
      </c>
      <c r="C50" s="18">
        <f>_xll.ciqfunctions.udf.CIQ($C$2, "IQ_INS_SETTLE", E$6,$F$2,,,Ccy,Conv)</f>
        <v>0</v>
      </c>
      <c r="D50" s="18">
        <f>_xll.ciqfunctions.udf.CIQ($C$2, "IQ_INS_SETTLE", F$6,$F$2,,,Ccy,Conv)</f>
        <v>0</v>
      </c>
      <c r="E50" s="18">
        <f>_xll.ciqfunctions.udf.CIQ($C$2, "IQ_INS_SETTLE", G$6,$F$2,,,Ccy,Conv)</f>
        <v>0</v>
      </c>
      <c r="F50" s="18">
        <f>_xll.ciqfunctions.udf.CIQ($C$2, "IQ_INS_SETTLE", H$6,$F$2,,,Ccy,Conv)</f>
        <v>0</v>
      </c>
      <c r="G50" s="18">
        <f>_xll.ciqfunctions.udf.CIQ($C$2, "IQ_INS_SETTLE", I$6,$F$2,,,Ccy,Conv)</f>
        <v>0</v>
      </c>
      <c r="H50" s="18">
        <f>_xll.ciqfunctions.udf.CIQ($C$2, "IQ_INS_SETTLE", J$6,$F$2,,,Ccy,Conv)</f>
        <v>0</v>
      </c>
      <c r="I50" s="18">
        <f>_xll.ciqfunctions.udf.CIQ($C$2, "IQ_INS_SETTLE", K$6,$F$2,,,Ccy,Conv)</f>
        <v>0</v>
      </c>
      <c r="J50" s="18">
        <f>_xll.ciqfunctions.udf.CIQ($C$2, "IQ_INS_SETTLE", L$6,$F$2,,,Ccy,Conv)</f>
        <v>0</v>
      </c>
      <c r="K50" s="18">
        <f>_xll.ciqfunctions.udf.CIQ($C$2, "IQ_INS_SETTLE", M$6,$F$2,,,Ccy,Conv)</f>
        <v>0</v>
      </c>
      <c r="L50" s="18">
        <f>_xll.ciqfunctions.udf.CIQ($C$2, "IQ_INS_SETTLE", N$6,$F$2,,,Ccy,Conv)</f>
        <v>0</v>
      </c>
      <c r="M50" s="18"/>
      <c r="N50" s="18">
        <f>_xll.ciqfunctions.udf.CIQ($C$2, "IQ_INS_SETTLE", P$6,$F$2,,,Ccy,Conv)</f>
        <v>0</v>
      </c>
      <c r="O50" s="198"/>
      <c r="P50" s="198"/>
      <c r="Q50" s="198"/>
      <c r="R50" s="198"/>
      <c r="S50" s="198"/>
      <c r="T50" s="205"/>
      <c r="U50" s="205"/>
      <c r="V50" s="205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  <c r="BD50" s="198"/>
      <c r="BE50" s="198"/>
      <c r="BF50" s="198"/>
      <c r="BG50" s="198"/>
      <c r="BH50" s="198"/>
      <c r="BI50" s="198"/>
      <c r="BJ50" s="198"/>
      <c r="BK50" s="198"/>
      <c r="BL50" s="198"/>
      <c r="BM50" s="198"/>
      <c r="BN50" s="198"/>
      <c r="BO50" s="198"/>
      <c r="BP50" s="198"/>
      <c r="BQ50" s="198"/>
      <c r="BR50" s="198"/>
      <c r="BS50" s="198"/>
      <c r="BT50" s="198"/>
      <c r="BU50" s="198"/>
      <c r="BV50" s="198"/>
      <c r="BW50" s="198"/>
      <c r="BX50" s="198"/>
    </row>
    <row r="51" spans="1:76" x14ac:dyDescent="0.25">
      <c r="A51" s="2" t="str">
        <f>'Language Index'!A73</f>
        <v>Legal Settlements</v>
      </c>
      <c r="B51" s="18">
        <f>_xll.ciqfunctions.udf.CIQ($C$2, "IQ_LEGAL_SETTLE", D$6,$F$2,,,Ccy,Conv)</f>
        <v>-148</v>
      </c>
      <c r="C51" s="18">
        <f>_xll.ciqfunctions.udf.CIQ($C$2, "IQ_LEGAL_SETTLE", E$6,$F$2,,,Ccy,Conv)</f>
        <v>-233</v>
      </c>
      <c r="D51" s="18">
        <f>_xll.ciqfunctions.udf.CIQ($C$2, "IQ_LEGAL_SETTLE", F$6,$F$2,,,Ccy,Conv)</f>
        <v>-56</v>
      </c>
      <c r="E51" s="18">
        <f>_xll.ciqfunctions.udf.CIQ($C$2, "IQ_LEGAL_SETTLE", G$6,$F$2,,,Ccy,Conv)</f>
        <v>0</v>
      </c>
      <c r="F51" s="18">
        <f>_xll.ciqfunctions.udf.CIQ($C$2, "IQ_LEGAL_SETTLE", H$6,$F$2,,,Ccy,Conv)</f>
        <v>0</v>
      </c>
      <c r="G51" s="18">
        <f>_xll.ciqfunctions.udf.CIQ($C$2, "IQ_LEGAL_SETTLE", I$6,$F$2,,,Ccy,Conv)</f>
        <v>0</v>
      </c>
      <c r="H51" s="18">
        <f>_xll.ciqfunctions.udf.CIQ($C$2, "IQ_LEGAL_SETTLE", J$6,$F$2,,,Ccy,Conv)</f>
        <v>0</v>
      </c>
      <c r="I51" s="18">
        <f>_xll.ciqfunctions.udf.CIQ($C$2, "IQ_LEGAL_SETTLE", K$6,$F$2,,,Ccy,Conv)</f>
        <v>0</v>
      </c>
      <c r="J51" s="18">
        <f>_xll.ciqfunctions.udf.CIQ($C$2, "IQ_LEGAL_SETTLE", L$6,$F$2,,,Ccy,Conv)</f>
        <v>0</v>
      </c>
      <c r="K51" s="18">
        <f>_xll.ciqfunctions.udf.CIQ($C$2, "IQ_LEGAL_SETTLE", M$6,$F$2,,,Ccy,Conv)</f>
        <v>0</v>
      </c>
      <c r="L51" s="18">
        <f>_xll.ciqfunctions.udf.CIQ($C$2, "IQ_LEGAL_SETTLE", N$6,$F$2,,,Ccy,Conv)</f>
        <v>0</v>
      </c>
      <c r="M51" s="18"/>
      <c r="N51" s="18">
        <f>_xll.ciqfunctions.udf.CIQ($C$2, "IQ_LEGAL_SETTLE", P$6,$F$2,,,Ccy,Conv)</f>
        <v>0</v>
      </c>
      <c r="O51" s="198"/>
      <c r="P51" s="198"/>
      <c r="Q51" s="198"/>
      <c r="R51" s="198"/>
      <c r="S51" s="198"/>
      <c r="T51" s="205"/>
      <c r="U51" s="205"/>
      <c r="V51" s="205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8"/>
      <c r="BD51" s="198"/>
      <c r="BE51" s="198"/>
      <c r="BF51" s="198"/>
      <c r="BG51" s="198"/>
      <c r="BH51" s="198"/>
      <c r="BI51" s="198"/>
      <c r="BJ51" s="198"/>
      <c r="BK51" s="198"/>
      <c r="BL51" s="198"/>
      <c r="BM51" s="198"/>
      <c r="BN51" s="198"/>
      <c r="BO51" s="198"/>
      <c r="BP51" s="198"/>
      <c r="BQ51" s="198"/>
      <c r="BR51" s="198"/>
      <c r="BS51" s="198"/>
      <c r="BT51" s="198"/>
      <c r="BU51" s="198"/>
      <c r="BV51" s="198"/>
      <c r="BW51" s="198"/>
      <c r="BX51" s="198"/>
    </row>
    <row r="52" spans="1:76" x14ac:dyDescent="0.25">
      <c r="A52" s="2" t="str">
        <f>'Language Index'!A74</f>
        <v>Other Unusual Items</v>
      </c>
      <c r="B52" s="22">
        <f>_xll.ciqfunctions.udf.CIQ($C$2, "IQ_OTHER_UNUSUAL_SUPPL", D$6,$F$2,,,Ccy,Conv)</f>
        <v>13</v>
      </c>
      <c r="C52" s="22">
        <f>_xll.ciqfunctions.udf.CIQ($C$2, "IQ_OTHER_UNUSUAL_SUPPL", E$6,$F$2,,,Ccy,Conv)</f>
        <v>6</v>
      </c>
      <c r="D52" s="22">
        <f>_xll.ciqfunctions.udf.CIQ($C$2, "IQ_OTHER_UNUSUAL_SUPPL", F$6,$F$2,,,Ccy,Conv)</f>
        <v>0</v>
      </c>
      <c r="E52" s="22">
        <f>_xll.ciqfunctions.udf.CIQ($C$2, "IQ_OTHER_UNUSUAL_SUPPL", G$6,$F$2,,,Ccy,Conv)</f>
        <v>0</v>
      </c>
      <c r="F52" s="22">
        <f>_xll.ciqfunctions.udf.CIQ($C$2, "IQ_OTHER_UNUSUAL_SUPPL", H$6,$F$2,,,Ccy,Conv)</f>
        <v>0</v>
      </c>
      <c r="G52" s="22">
        <f>_xll.ciqfunctions.udf.CIQ($C$2, "IQ_OTHER_UNUSUAL_SUPPL", I$6,$F$2,,,Ccy,Conv)</f>
        <v>0</v>
      </c>
      <c r="H52" s="22">
        <f>_xll.ciqfunctions.udf.CIQ($C$2, "IQ_OTHER_UNUSUAL_SUPPL", J$6,$F$2,,,Ccy,Conv)</f>
        <v>0</v>
      </c>
      <c r="I52" s="22">
        <f>_xll.ciqfunctions.udf.CIQ($C$2, "IQ_OTHER_UNUSUAL_SUPPL", K$6,$F$2,,,Ccy,Conv)</f>
        <v>0</v>
      </c>
      <c r="J52" s="22">
        <f>_xll.ciqfunctions.udf.CIQ($C$2, "IQ_OTHER_UNUSUAL_SUPPL", L$6,$F$2,,,Ccy,Conv)</f>
        <v>-5894</v>
      </c>
      <c r="K52" s="22">
        <f>_xll.ciqfunctions.udf.CIQ($C$2, "IQ_OTHER_UNUSUAL_SUPPL", M$6,$F$2,,,Ccy,Conv)</f>
        <v>0</v>
      </c>
      <c r="L52" s="22">
        <f>_xll.ciqfunctions.udf.CIQ($C$2, "IQ_OTHER_UNUSUAL_SUPPL", N$6,$F$2,,,Ccy,Conv)</f>
        <v>-3113</v>
      </c>
      <c r="M52" s="18"/>
      <c r="N52" s="22">
        <f>_xll.ciqfunctions.udf.CIQ($C$2, "IQ_OTHER_UNUSUAL_SUPPL", P$6,$F$2,,,Ccy,Conv)</f>
        <v>-3113</v>
      </c>
      <c r="O52" s="198"/>
      <c r="P52" s="198"/>
      <c r="Q52" s="198"/>
      <c r="R52" s="198"/>
      <c r="S52" s="198"/>
      <c r="T52" s="205"/>
      <c r="U52" s="205"/>
      <c r="V52" s="205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8"/>
      <c r="AO52" s="198"/>
      <c r="AP52" s="198"/>
      <c r="AQ52" s="198"/>
      <c r="AR52" s="198"/>
      <c r="AS52" s="198"/>
      <c r="AT52" s="198"/>
      <c r="AU52" s="198"/>
      <c r="AV52" s="198"/>
      <c r="AW52" s="198"/>
      <c r="AX52" s="198"/>
      <c r="AY52" s="198"/>
      <c r="AZ52" s="198"/>
      <c r="BA52" s="198"/>
      <c r="BB52" s="198"/>
      <c r="BC52" s="198"/>
      <c r="BD52" s="198"/>
      <c r="BE52" s="198"/>
      <c r="BF52" s="198"/>
      <c r="BG52" s="198"/>
      <c r="BH52" s="198"/>
      <c r="BI52" s="198"/>
      <c r="BJ52" s="198"/>
      <c r="BK52" s="198"/>
      <c r="BL52" s="198"/>
      <c r="BM52" s="198"/>
      <c r="BN52" s="198"/>
      <c r="BO52" s="198"/>
      <c r="BP52" s="198"/>
      <c r="BQ52" s="198"/>
      <c r="BR52" s="198"/>
      <c r="BS52" s="198"/>
      <c r="BT52" s="198"/>
      <c r="BU52" s="198"/>
      <c r="BV52" s="198"/>
      <c r="BW52" s="198"/>
      <c r="BX52" s="198"/>
    </row>
    <row r="53" spans="1:76" x14ac:dyDescent="0.25">
      <c r="A53" s="19" t="str">
        <f>'Language Index'!A75</f>
        <v>EBT Incl Unusual Items</v>
      </c>
      <c r="B53" s="20">
        <f>_xll.ciqfunctions.udf.CIQ($C$2, "IQ_EBT", D$6,$F$2,,,Ccy,Conv)</f>
        <v>19985</v>
      </c>
      <c r="C53" s="20">
        <f>_xll.ciqfunctions.udf.CIQ($C$2, "IQ_EBT", E$6,$F$2,,,Ccy,Conv)</f>
        <v>15945</v>
      </c>
      <c r="D53" s="20">
        <f>_xll.ciqfunctions.udf.CIQ($C$2, "IQ_EBT", F$6,$F$2,,,Ccy,Conv)</f>
        <v>12330</v>
      </c>
      <c r="E53" s="20">
        <f>_xll.ciqfunctions.udf.CIQ($C$2, "IQ_EBT", G$6,$F$2,,,Ccy,Conv)</f>
        <v>11400</v>
      </c>
      <c r="F53" s="20">
        <f>_xll.ciqfunctions.udf.CIQ($C$2, "IQ_EBT", H$6,$F$2,,,Ccy,Conv)</f>
        <v>11342</v>
      </c>
      <c r="G53" s="20">
        <f>_xll.ciqfunctions.udf.CIQ($C$2, "IQ_EBT", I$6,$F$2,,,Ccy,Conv)</f>
        <v>7206</v>
      </c>
      <c r="H53" s="20">
        <f>_xll.ciqfunctions.udf.CIQ($C$2, "IQ_EBT", J$6,$F$2,,,Ccy,Conv)</f>
        <v>2572</v>
      </c>
      <c r="I53" s="20">
        <f>_xll.ciqfunctions.udf.CIQ($C$2, "IQ_EBT", K$6,$F$2,,,Ccy,Conv)</f>
        <v>4837</v>
      </c>
      <c r="J53" s="20">
        <f>_xll.ciqfunctions.udf.CIQ($C$2, "IQ_EBT", L$6,$F$2,,,Ccy,Conv)</f>
        <v>1156</v>
      </c>
      <c r="K53" s="20">
        <f>_xll.ciqfunctions.udf.CIQ($C$2, "IQ_EBT", M$6,$F$2,,,Ccy,Conv)</f>
        <v>8690</v>
      </c>
      <c r="L53" s="20">
        <f>_xll.ciqfunctions.udf.CIQ($C$2, "IQ_EBT", N$6,$F$2,,,Ccy,Conv)</f>
        <v>5797</v>
      </c>
      <c r="M53" s="21"/>
      <c r="N53" s="20">
        <f>_xll.ciqfunctions.udf.CIQ($C$2, "IQ_EBT", P$6,$F$2,,,Ccy,Conv)</f>
        <v>5797</v>
      </c>
      <c r="O53" s="215"/>
      <c r="P53" s="198"/>
      <c r="Q53" s="198"/>
      <c r="R53" s="198"/>
      <c r="S53" s="198"/>
      <c r="T53" s="216"/>
      <c r="U53" s="216"/>
      <c r="V53" s="216"/>
      <c r="W53" s="215"/>
      <c r="X53" s="215"/>
      <c r="Y53" s="215"/>
      <c r="Z53" s="215"/>
      <c r="AA53" s="215"/>
      <c r="AB53" s="215"/>
      <c r="AC53" s="198"/>
      <c r="AD53" s="198"/>
      <c r="AE53" s="198"/>
      <c r="AF53" s="215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98"/>
      <c r="AW53" s="198"/>
      <c r="AX53" s="198"/>
      <c r="AY53" s="198"/>
      <c r="AZ53" s="198"/>
      <c r="BA53" s="198"/>
      <c r="BB53" s="198"/>
      <c r="BC53" s="198"/>
      <c r="BD53" s="198"/>
      <c r="BE53" s="198"/>
      <c r="BF53" s="198"/>
      <c r="BG53" s="198"/>
      <c r="BH53" s="198"/>
      <c r="BI53" s="198"/>
      <c r="BJ53" s="198"/>
      <c r="BK53" s="198"/>
      <c r="BL53" s="198"/>
      <c r="BM53" s="198"/>
      <c r="BN53" s="198"/>
      <c r="BO53" s="198"/>
      <c r="BP53" s="198"/>
      <c r="BQ53" s="198"/>
      <c r="BR53" s="198"/>
      <c r="BS53" s="198"/>
      <c r="BT53" s="198"/>
      <c r="BU53" s="198"/>
      <c r="BV53" s="198"/>
      <c r="BW53" s="198"/>
      <c r="BX53" s="198"/>
    </row>
    <row r="54" spans="1:76" x14ac:dyDescent="0.25">
      <c r="A54" s="2" t="str">
        <f>'Language Index'!A76</f>
        <v>Income Tax Expense</v>
      </c>
      <c r="B54" s="18">
        <f>_xll.ciqfunctions.udf.CIQ($C$2, "IQ_INC_TAX", D$6,$F$2,,,Ccy,Conv)</f>
        <v>4234</v>
      </c>
      <c r="C54" s="18">
        <f>_xll.ciqfunctions.udf.CIQ($C$2, "IQ_INC_TAX", E$6,$F$2,,,Ccy,Conv)</f>
        <v>2581</v>
      </c>
      <c r="D54" s="18">
        <f>_xll.ciqfunctions.udf.CIQ($C$2, "IQ_INC_TAX", F$6,$F$2,,,Ccy,Conv)</f>
        <v>449</v>
      </c>
      <c r="E54" s="18">
        <f>_xll.ciqfunctions.udf.CIQ($C$2, "IQ_INC_TAX", G$6,$F$2,,,Ccy,Conv)</f>
        <v>5642</v>
      </c>
      <c r="F54" s="18">
        <f>_xll.ciqfunctions.udf.CIQ($C$2, "IQ_INC_TAX", H$6,$F$2,,,Ccy,Conv)</f>
        <v>2619</v>
      </c>
      <c r="G54" s="18">
        <f>_xll.ciqfunctions.udf.CIQ($C$2, "IQ_INC_TAX", I$6,$F$2,,,Ccy,Conv)</f>
        <v>60</v>
      </c>
      <c r="H54" s="18">
        <f>_xll.ciqfunctions.udf.CIQ($C$2, "IQ_INC_TAX", J$6,$F$2,,,Ccy,Conv)</f>
        <v>-1360</v>
      </c>
      <c r="I54" s="18">
        <f>_xll.ciqfunctions.udf.CIQ($C$2, "IQ_INC_TAX", K$6,$F$2,,,Ccy,Conv)</f>
        <v>124</v>
      </c>
      <c r="J54" s="18">
        <f>_xll.ciqfunctions.udf.CIQ($C$2, "IQ_INC_TAX", L$6,$F$2,,,Ccy,Conv)</f>
        <v>-626</v>
      </c>
      <c r="K54" s="18">
        <f>_xll.ciqfunctions.udf.CIQ($C$2, "IQ_INC_TAX", M$6,$F$2,,,Ccy,Conv)</f>
        <v>1176</v>
      </c>
      <c r="L54" s="18">
        <f>_xll.ciqfunctions.udf.CIQ($C$2, "IQ_INC_TAX", N$6,$F$2,,,Ccy,Conv)</f>
        <v>-218</v>
      </c>
      <c r="M54" s="18"/>
      <c r="N54" s="18">
        <f>_xll.ciqfunctions.udf.CIQ($C$2, "IQ_INC_TAX", P$6,$F$2,,,Ccy,Conv)</f>
        <v>-218</v>
      </c>
      <c r="O54" s="215"/>
      <c r="P54" s="198"/>
      <c r="Q54" s="198"/>
      <c r="R54" s="198"/>
      <c r="S54" s="198"/>
      <c r="T54" s="216"/>
      <c r="U54" s="216"/>
      <c r="V54" s="216"/>
      <c r="W54" s="215"/>
      <c r="X54" s="215"/>
      <c r="Y54" s="215"/>
      <c r="Z54" s="215"/>
      <c r="AA54" s="215"/>
      <c r="AB54" s="215"/>
      <c r="AC54" s="198"/>
      <c r="AD54" s="198"/>
      <c r="AE54" s="198"/>
      <c r="AF54" s="198"/>
      <c r="AG54" s="198"/>
      <c r="AH54" s="198"/>
      <c r="AI54" s="198"/>
      <c r="AJ54" s="198"/>
      <c r="AK54" s="198"/>
      <c r="AL54" s="198"/>
      <c r="AM54" s="198"/>
      <c r="AN54" s="198"/>
      <c r="AO54" s="198"/>
      <c r="AP54" s="198"/>
      <c r="AQ54" s="198"/>
      <c r="AR54" s="198"/>
      <c r="AS54" s="198"/>
      <c r="AT54" s="198"/>
      <c r="AU54" s="198"/>
      <c r="AV54" s="198"/>
      <c r="AW54" s="198"/>
      <c r="AX54" s="198"/>
      <c r="AY54" s="198"/>
      <c r="AZ54" s="198"/>
      <c r="BA54" s="198"/>
      <c r="BB54" s="198"/>
      <c r="BC54" s="198"/>
      <c r="BD54" s="198"/>
      <c r="BE54" s="198"/>
      <c r="BF54" s="198"/>
      <c r="BG54" s="198"/>
      <c r="BH54" s="198"/>
      <c r="BI54" s="198"/>
      <c r="BJ54" s="198"/>
      <c r="BK54" s="198"/>
      <c r="BL54" s="198"/>
      <c r="BM54" s="198"/>
      <c r="BN54" s="198"/>
      <c r="BO54" s="198"/>
      <c r="BP54" s="198"/>
      <c r="BQ54" s="198"/>
      <c r="BR54" s="198"/>
      <c r="BS54" s="198"/>
      <c r="BT54" s="198"/>
      <c r="BU54" s="198"/>
      <c r="BV54" s="198"/>
      <c r="BW54" s="198"/>
      <c r="BX54" s="198"/>
    </row>
    <row r="55" spans="1:76" x14ac:dyDescent="0.25">
      <c r="A55" s="19" t="str">
        <f>'Language Index'!A77</f>
        <v>Earnings from Cont. Ops.</v>
      </c>
      <c r="B55" s="20">
        <f>_xll.ciqfunctions.udf.CIQ($C$2, "IQ_EARNING_CO", D$6,$F$2,,,Ccy,Conv)</f>
        <v>15751</v>
      </c>
      <c r="C55" s="20">
        <f>_xll.ciqfunctions.udf.CIQ($C$2, "IQ_EARNING_CO", E$6,$F$2,,,Ccy,Conv)</f>
        <v>13364</v>
      </c>
      <c r="D55" s="20">
        <f>_xll.ciqfunctions.udf.CIQ($C$2, "IQ_EARNING_CO", F$6,$F$2,,,Ccy,Conv)</f>
        <v>11881</v>
      </c>
      <c r="E55" s="20">
        <f>_xll.ciqfunctions.udf.CIQ($C$2, "IQ_EARNING_CO", G$6,$F$2,,,Ccy,Conv)</f>
        <v>5758</v>
      </c>
      <c r="F55" s="20">
        <f>_xll.ciqfunctions.udf.CIQ($C$2, "IQ_EARNING_CO", H$6,$F$2,,,Ccy,Conv)</f>
        <v>8723</v>
      </c>
      <c r="G55" s="20">
        <f>_xll.ciqfunctions.udf.CIQ($C$2, "IQ_EARNING_CO", I$6,$F$2,,,Ccy,Conv)</f>
        <v>7146</v>
      </c>
      <c r="H55" s="20">
        <f>_xll.ciqfunctions.udf.CIQ($C$2, "IQ_EARNING_CO", J$6,$F$2,,,Ccy,Conv)</f>
        <v>3932</v>
      </c>
      <c r="I55" s="20">
        <f>_xll.ciqfunctions.udf.CIQ($C$2, "IQ_EARNING_CO", K$6,$F$2,,,Ccy,Conv)</f>
        <v>4713</v>
      </c>
      <c r="J55" s="20">
        <f>_xll.ciqfunctions.udf.CIQ($C$2, "IQ_EARNING_CO", L$6,$F$2,,,Ccy,Conv)</f>
        <v>1782</v>
      </c>
      <c r="K55" s="20">
        <f>_xll.ciqfunctions.udf.CIQ($C$2, "IQ_EARNING_CO", M$6,$F$2,,,Ccy,Conv)</f>
        <v>7514</v>
      </c>
      <c r="L55" s="20">
        <f>_xll.ciqfunctions.udf.CIQ($C$2, "IQ_EARNING_CO", N$6,$F$2,,,Ccy,Conv)</f>
        <v>6015</v>
      </c>
      <c r="M55" s="21"/>
      <c r="N55" s="20">
        <f>_xll.ciqfunctions.udf.CIQ($C$2, "IQ_EARNING_CO", P$6,$F$2,,,Ccy,Conv)</f>
        <v>6015</v>
      </c>
      <c r="O55" s="215"/>
      <c r="P55" s="198"/>
      <c r="Q55" s="198"/>
      <c r="R55" s="198"/>
      <c r="S55" s="198"/>
      <c r="T55" s="216"/>
      <c r="U55" s="216"/>
      <c r="V55" s="216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8"/>
      <c r="AH55" s="198"/>
      <c r="AI55" s="198"/>
      <c r="AJ55" s="198"/>
      <c r="AK55" s="198"/>
      <c r="AL55" s="198"/>
      <c r="AM55" s="198"/>
      <c r="AN55" s="198"/>
      <c r="AO55" s="198"/>
      <c r="AP55" s="198"/>
      <c r="AQ55" s="198"/>
      <c r="AR55" s="198"/>
      <c r="AS55" s="198"/>
      <c r="AT55" s="198"/>
      <c r="AU55" s="198"/>
      <c r="AV55" s="198"/>
      <c r="AW55" s="198"/>
      <c r="AX55" s="198"/>
      <c r="AY55" s="198"/>
      <c r="AZ55" s="198"/>
      <c r="BA55" s="198"/>
      <c r="BB55" s="198"/>
      <c r="BC55" s="198"/>
      <c r="BD55" s="198"/>
      <c r="BE55" s="198"/>
      <c r="BF55" s="198"/>
      <c r="BG55" s="198"/>
      <c r="BH55" s="198"/>
      <c r="BI55" s="198"/>
      <c r="BJ55" s="198"/>
      <c r="BK55" s="198"/>
      <c r="BL55" s="198"/>
      <c r="BM55" s="198"/>
      <c r="BN55" s="198"/>
      <c r="BO55" s="198"/>
      <c r="BP55" s="198"/>
      <c r="BQ55" s="198"/>
      <c r="BR55" s="198"/>
      <c r="BS55" s="198"/>
      <c r="BT55" s="198"/>
      <c r="BU55" s="198"/>
      <c r="BV55" s="198"/>
      <c r="BW55" s="198"/>
      <c r="BX55" s="198"/>
    </row>
    <row r="56" spans="1:76" x14ac:dyDescent="0.25">
      <c r="A56" s="2" t="str">
        <f>'Language Index'!A78</f>
        <v>Earnings of Discontinued Ops.</v>
      </c>
      <c r="B56" s="18">
        <f>_xll.ciqfunctions.udf.CIQ($C$2, "IQ_DO", D$6,$F$2,,,Ccy,Conv)</f>
        <v>-3729</v>
      </c>
      <c r="C56" s="18">
        <f>_xll.ciqfunctions.udf.CIQ($C$2, "IQ_DO", E$6,$F$2,,,Ccy,Conv)</f>
        <v>-174</v>
      </c>
      <c r="D56" s="18">
        <f>_xll.ciqfunctions.udf.CIQ($C$2, "IQ_DO", F$6,$F$2,,,Ccy,Conv)</f>
        <v>-9</v>
      </c>
      <c r="E56" s="18">
        <f>_xll.ciqfunctions.udf.CIQ($C$2, "IQ_DO", G$6,$F$2,,,Ccy,Conv)</f>
        <v>-5</v>
      </c>
      <c r="F56" s="18">
        <f>_xll.ciqfunctions.udf.CIQ($C$2, "IQ_DO", H$6,$F$2,,,Ccy,Conv)</f>
        <v>5</v>
      </c>
      <c r="G56" s="18">
        <f>_xll.ciqfunctions.udf.CIQ($C$2, "IQ_DO", I$6,$F$2,,,Ccy,Conv)</f>
        <v>2285</v>
      </c>
      <c r="H56" s="18">
        <f>_xll.ciqfunctions.udf.CIQ($C$2, "IQ_DO", J$6,$F$2,,,Ccy,Conv)</f>
        <v>1658</v>
      </c>
      <c r="I56" s="18">
        <f>_xll.ciqfunctions.udf.CIQ($C$2, "IQ_DO", K$6,$F$2,,,Ccy,Conv)</f>
        <v>1030</v>
      </c>
      <c r="J56" s="18">
        <f>_xll.ciqfunctions.udf.CIQ($C$2, "IQ_DO", L$6,$F$2,,,Ccy,Conv)</f>
        <v>-143</v>
      </c>
      <c r="K56" s="18">
        <f>_xll.ciqfunctions.udf.CIQ($C$2, "IQ_DO", M$6,$F$2,,,Ccy,Conv)</f>
        <v>-12</v>
      </c>
      <c r="L56" s="18">
        <f>_xll.ciqfunctions.udf.CIQ($C$2, "IQ_DO", N$6,$F$2,,,Ccy,Conv)</f>
        <v>8</v>
      </c>
      <c r="M56" s="18"/>
      <c r="N56" s="18">
        <f>_xll.ciqfunctions.udf.CIQ($C$2, "IQ_DO", P$6,$F$2,,,Ccy,Conv)</f>
        <v>8</v>
      </c>
      <c r="O56" s="215"/>
      <c r="P56" s="198"/>
      <c r="Q56" s="198"/>
      <c r="R56" s="198"/>
      <c r="S56" s="198"/>
      <c r="T56" s="216"/>
      <c r="U56" s="216"/>
      <c r="V56" s="216"/>
      <c r="W56" s="215"/>
      <c r="X56" s="215"/>
      <c r="Y56" s="215"/>
      <c r="Z56" s="215"/>
      <c r="AA56" s="215"/>
      <c r="AB56" s="215"/>
      <c r="AC56" s="198"/>
      <c r="AD56" s="198"/>
      <c r="AE56" s="198"/>
      <c r="AF56" s="215"/>
      <c r="AG56" s="198"/>
      <c r="AH56" s="198"/>
      <c r="AI56" s="198"/>
      <c r="AJ56" s="198"/>
      <c r="AK56" s="198"/>
      <c r="AL56" s="198"/>
      <c r="AM56" s="198"/>
      <c r="AN56" s="198"/>
      <c r="AO56" s="198"/>
      <c r="AP56" s="198"/>
      <c r="AQ56" s="198"/>
      <c r="AR56" s="198"/>
      <c r="AS56" s="198"/>
      <c r="AT56" s="198"/>
      <c r="AU56" s="198"/>
      <c r="AV56" s="198"/>
      <c r="AW56" s="198"/>
      <c r="AX56" s="198"/>
      <c r="AY56" s="198"/>
      <c r="AZ56" s="198"/>
      <c r="BA56" s="198"/>
      <c r="BB56" s="198"/>
      <c r="BC56" s="198"/>
      <c r="BD56" s="198"/>
      <c r="BE56" s="198"/>
      <c r="BF56" s="198"/>
      <c r="BG56" s="198"/>
      <c r="BH56" s="198"/>
      <c r="BI56" s="198"/>
      <c r="BJ56" s="198"/>
      <c r="BK56" s="198"/>
      <c r="BL56" s="198"/>
      <c r="BM56" s="198"/>
      <c r="BN56" s="198"/>
      <c r="BO56" s="198"/>
      <c r="BP56" s="198"/>
      <c r="BQ56" s="198"/>
      <c r="BR56" s="198"/>
      <c r="BS56" s="198"/>
      <c r="BT56" s="198"/>
      <c r="BU56" s="198"/>
      <c r="BV56" s="198"/>
      <c r="BW56" s="198"/>
      <c r="BX56" s="198"/>
    </row>
    <row r="57" spans="1:76" x14ac:dyDescent="0.25">
      <c r="A57" s="2" t="str">
        <f>'Language Index'!A79</f>
        <v>Extraord. Item &amp; Account. Change</v>
      </c>
      <c r="B57" s="18">
        <f>_xll.ciqfunctions.udf.CIQ($C$2, "IQ_EXTRA_ACC_ITEMS", D$6,$F$2,,,Ccy,Conv)</f>
        <v>0</v>
      </c>
      <c r="C57" s="18">
        <f>_xll.ciqfunctions.udf.CIQ($C$2, "IQ_EXTRA_ACC_ITEMS", E$6,$F$2,,,Ccy,Conv)</f>
        <v>0</v>
      </c>
      <c r="D57" s="18">
        <f>_xll.ciqfunctions.udf.CIQ($C$2, "IQ_EXTRA_ACC_ITEMS", F$6,$F$2,,,Ccy,Conv)</f>
        <v>0</v>
      </c>
      <c r="E57" s="18">
        <f>_xll.ciqfunctions.udf.CIQ($C$2, "IQ_EXTRA_ACC_ITEMS", G$6,$F$2,,,Ccy,Conv)</f>
        <v>0</v>
      </c>
      <c r="F57" s="18">
        <f>_xll.ciqfunctions.udf.CIQ($C$2, "IQ_EXTRA_ACC_ITEMS", H$6,$F$2,,,Ccy,Conv)</f>
        <v>0</v>
      </c>
      <c r="G57" s="18">
        <f>_xll.ciqfunctions.udf.CIQ($C$2, "IQ_EXTRA_ACC_ITEMS", I$6,$F$2,,,Ccy,Conv)</f>
        <v>0</v>
      </c>
      <c r="H57" s="18">
        <f>_xll.ciqfunctions.udf.CIQ($C$2, "IQ_EXTRA_ACC_ITEMS", J$6,$F$2,,,Ccy,Conv)</f>
        <v>0</v>
      </c>
      <c r="I57" s="18">
        <f>_xll.ciqfunctions.udf.CIQ($C$2, "IQ_EXTRA_ACC_ITEMS", K$6,$F$2,,,Ccy,Conv)</f>
        <v>0</v>
      </c>
      <c r="J57" s="18">
        <f>_xll.ciqfunctions.udf.CIQ($C$2, "IQ_EXTRA_ACC_ITEMS", L$6,$F$2,,,Ccy,Conv)</f>
        <v>0</v>
      </c>
      <c r="K57" s="18">
        <f>_xll.ciqfunctions.udf.CIQ($C$2, "IQ_EXTRA_ACC_ITEMS", M$6,$F$2,,,Ccy,Conv)</f>
        <v>0</v>
      </c>
      <c r="L57" s="18">
        <f>_xll.ciqfunctions.udf.CIQ($C$2, "IQ_EXTRA_ACC_ITEMS", N$6,$F$2,,,Ccy,Conv)</f>
        <v>0</v>
      </c>
      <c r="M57" s="18"/>
      <c r="N57" s="18">
        <f>_xll.ciqfunctions.udf.CIQ($C$2, "IQ_EXTRA_ACC_ITEMS", P$6,$F$2,,,Ccy,Conv)</f>
        <v>0</v>
      </c>
      <c r="O57" s="198"/>
      <c r="P57" s="198"/>
      <c r="Q57" s="198"/>
      <c r="R57" s="198"/>
      <c r="S57" s="198"/>
      <c r="T57" s="205"/>
      <c r="U57" s="205"/>
      <c r="V57" s="205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8"/>
      <c r="AH57" s="198"/>
      <c r="AI57" s="198"/>
      <c r="AJ57" s="198"/>
      <c r="AK57" s="198"/>
      <c r="AL57" s="198"/>
      <c r="AM57" s="198"/>
      <c r="AN57" s="198"/>
      <c r="AO57" s="198"/>
      <c r="AP57" s="198"/>
      <c r="AQ57" s="198"/>
      <c r="AR57" s="198"/>
      <c r="AS57" s="198"/>
      <c r="AT57" s="198"/>
      <c r="AU57" s="198"/>
      <c r="AV57" s="198"/>
      <c r="AW57" s="198"/>
      <c r="AX57" s="198"/>
      <c r="AY57" s="198"/>
      <c r="AZ57" s="198"/>
      <c r="BA57" s="198"/>
      <c r="BB57" s="198"/>
      <c r="BC57" s="198"/>
      <c r="BD57" s="198"/>
      <c r="BE57" s="198"/>
      <c r="BF57" s="198"/>
      <c r="BG57" s="198"/>
      <c r="BH57" s="198"/>
      <c r="BI57" s="198"/>
      <c r="BJ57" s="198"/>
      <c r="BK57" s="198"/>
      <c r="BL57" s="198"/>
      <c r="BM57" s="198"/>
      <c r="BN57" s="198"/>
      <c r="BO57" s="198"/>
      <c r="BP57" s="198"/>
      <c r="BQ57" s="198"/>
      <c r="BR57" s="198"/>
      <c r="BS57" s="198"/>
      <c r="BT57" s="198"/>
      <c r="BU57" s="198"/>
      <c r="BV57" s="198"/>
      <c r="BW57" s="198"/>
      <c r="BX57" s="198"/>
    </row>
    <row r="58" spans="1:76" x14ac:dyDescent="0.25">
      <c r="A58" s="19" t="str">
        <f>'Language Index'!A80</f>
        <v>Net Income to Company</v>
      </c>
      <c r="B58" s="24">
        <f>_xll.ciqfunctions.udf.CIQ($C$2, "IQ_NI_COMPANY", D$6,$F$2,,,Ccy,Conv)</f>
        <v>12022</v>
      </c>
      <c r="C58" s="24">
        <f>_xll.ciqfunctions.udf.CIQ($C$2, "IQ_NI_COMPANY", E$6,$F$2,,,Ccy,Conv)</f>
        <v>13190</v>
      </c>
      <c r="D58" s="24">
        <f>_xll.ciqfunctions.udf.CIQ($C$2, "IQ_NI_COMPANY", F$6,$F$2,,,Ccy,Conv)</f>
        <v>11872</v>
      </c>
      <c r="E58" s="24">
        <f>_xll.ciqfunctions.udf.CIQ($C$2, "IQ_NI_COMPANY", G$6,$F$2,,,Ccy,Conv)</f>
        <v>5753</v>
      </c>
      <c r="F58" s="24">
        <f>_xll.ciqfunctions.udf.CIQ($C$2, "IQ_NI_COMPANY", H$6,$F$2,,,Ccy,Conv)</f>
        <v>8728</v>
      </c>
      <c r="G58" s="24">
        <f>_xll.ciqfunctions.udf.CIQ($C$2, "IQ_NI_COMPANY", I$6,$F$2,,,Ccy,Conv)</f>
        <v>9431</v>
      </c>
      <c r="H58" s="24">
        <f>_xll.ciqfunctions.udf.CIQ($C$2, "IQ_NI_COMPANY", J$6,$F$2,,,Ccy,Conv)</f>
        <v>5590</v>
      </c>
      <c r="I58" s="24">
        <f>_xll.ciqfunctions.udf.CIQ($C$2, "IQ_NI_COMPANY", K$6,$F$2,,,Ccy,Conv)</f>
        <v>5743</v>
      </c>
      <c r="J58" s="24">
        <f>_xll.ciqfunctions.udf.CIQ($C$2, "IQ_NI_COMPANY", L$6,$F$2,,,Ccy,Conv)</f>
        <v>1639</v>
      </c>
      <c r="K58" s="24">
        <f>_xll.ciqfunctions.udf.CIQ($C$2, "IQ_NI_COMPANY", M$6,$F$2,,,Ccy,Conv)</f>
        <v>7502</v>
      </c>
      <c r="L58" s="24">
        <f>_xll.ciqfunctions.udf.CIQ($C$2, "IQ_NI_COMPANY", N$6,$F$2,,,Ccy,Conv)</f>
        <v>6023</v>
      </c>
      <c r="M58" s="21"/>
      <c r="N58" s="24">
        <f>_xll.ciqfunctions.udf.CIQ($C$2, "IQ_NI_COMPANY", P$6,$F$2,,,Ccy,Conv)</f>
        <v>6023</v>
      </c>
      <c r="O58" s="215"/>
      <c r="P58" s="198"/>
      <c r="Q58" s="198"/>
      <c r="R58" s="198"/>
      <c r="S58" s="198"/>
      <c r="T58" s="216"/>
      <c r="U58" s="216"/>
      <c r="V58" s="216"/>
      <c r="W58" s="215"/>
      <c r="X58" s="215"/>
      <c r="Y58" s="215"/>
      <c r="Z58" s="215"/>
      <c r="AA58" s="215"/>
      <c r="AB58" s="215"/>
      <c r="AC58" s="198"/>
      <c r="AD58" s="198"/>
      <c r="AE58" s="198"/>
      <c r="AF58" s="215"/>
      <c r="AG58" s="198"/>
      <c r="AH58" s="198"/>
      <c r="AI58" s="198"/>
      <c r="AJ58" s="198"/>
      <c r="AK58" s="198"/>
      <c r="AL58" s="198"/>
      <c r="AM58" s="198"/>
      <c r="AN58" s="198"/>
      <c r="AO58" s="198"/>
      <c r="AP58" s="198"/>
      <c r="AQ58" s="198"/>
      <c r="AR58" s="198"/>
      <c r="AS58" s="198"/>
      <c r="AT58" s="198"/>
      <c r="AU58" s="198"/>
      <c r="AV58" s="198"/>
      <c r="AW58" s="198"/>
      <c r="AX58" s="198"/>
      <c r="AY58" s="198"/>
      <c r="AZ58" s="198"/>
      <c r="BA58" s="198"/>
      <c r="BB58" s="198"/>
      <c r="BC58" s="198"/>
      <c r="BD58" s="198"/>
      <c r="BE58" s="198"/>
      <c r="BF58" s="198"/>
      <c r="BG58" s="198"/>
      <c r="BH58" s="198"/>
      <c r="BI58" s="198"/>
      <c r="BJ58" s="198"/>
      <c r="BK58" s="198"/>
      <c r="BL58" s="198"/>
      <c r="BM58" s="198"/>
      <c r="BN58" s="198"/>
      <c r="BO58" s="198"/>
      <c r="BP58" s="198"/>
      <c r="BQ58" s="198"/>
      <c r="BR58" s="198"/>
      <c r="BS58" s="198"/>
      <c r="BT58" s="198"/>
      <c r="BU58" s="198"/>
      <c r="BV58" s="198"/>
      <c r="BW58" s="198"/>
      <c r="BX58" s="198"/>
    </row>
    <row r="59" spans="1:76" x14ac:dyDescent="0.25">
      <c r="A59" s="2" t="str">
        <f>'Language Index'!A81</f>
        <v>Minority Int. in Earnings</v>
      </c>
      <c r="B59" s="18">
        <f>_xll.ciqfunctions.udf.CIQ($C$2, "IQ_MINORITY_INTEREST_IS", D$6,$F$2,,,Ccy,Conv)</f>
        <v>0</v>
      </c>
      <c r="C59" s="18">
        <f>_xll.ciqfunctions.udf.CIQ($C$2, "IQ_MINORITY_INTEREST_IS", E$6,$F$2,,,Ccy,Conv)</f>
        <v>0</v>
      </c>
      <c r="D59" s="18">
        <f>_xll.ciqfunctions.udf.CIQ($C$2, "IQ_MINORITY_INTEREST_IS", F$6,$F$2,,,Ccy,Conv)</f>
        <v>0</v>
      </c>
      <c r="E59" s="18">
        <f>_xll.ciqfunctions.udf.CIQ($C$2, "IQ_MINORITY_INTEREST_IS", G$6,$F$2,,,Ccy,Conv)</f>
        <v>0</v>
      </c>
      <c r="F59" s="18">
        <f>_xll.ciqfunctions.udf.CIQ($C$2, "IQ_MINORITY_INTEREST_IS", H$6,$F$2,,,Ccy,Conv)</f>
        <v>0</v>
      </c>
      <c r="G59" s="18">
        <f>_xll.ciqfunctions.udf.CIQ($C$2, "IQ_MINORITY_INTEREST_IS", I$6,$F$2,,,Ccy,Conv)</f>
        <v>0</v>
      </c>
      <c r="H59" s="18">
        <f>_xll.ciqfunctions.udf.CIQ($C$2, "IQ_MINORITY_INTEREST_IS", J$6,$F$2,,,Ccy,Conv)</f>
        <v>0</v>
      </c>
      <c r="I59" s="18">
        <f>_xll.ciqfunctions.udf.CIQ($C$2, "IQ_MINORITY_INTEREST_IS", K$6,$F$2,,,Ccy,Conv)</f>
        <v>0</v>
      </c>
      <c r="J59" s="18">
        <f>_xll.ciqfunctions.udf.CIQ($C$2, "IQ_MINORITY_INTEREST_IS", L$6,$F$2,,,Ccy,Conv)</f>
        <v>0</v>
      </c>
      <c r="K59" s="18">
        <f>_xll.ciqfunctions.udf.CIQ($C$2, "IQ_MINORITY_INTEREST_IS", M$6,$F$2,,,Ccy,Conv)</f>
        <v>0</v>
      </c>
      <c r="L59" s="18">
        <f>_xll.ciqfunctions.udf.CIQ($C$2, "IQ_MINORITY_INTEREST_IS", N$6,$F$2,,,Ccy,Conv)</f>
        <v>0</v>
      </c>
      <c r="M59" s="18"/>
      <c r="N59" s="18">
        <f>_xll.ciqfunctions.udf.CIQ($C$2, "IQ_MINORITY_INTEREST_IS", P$6,$F$2,,,Ccy,Conv)</f>
        <v>0</v>
      </c>
      <c r="O59" s="198"/>
      <c r="P59" s="198"/>
      <c r="Q59" s="198"/>
      <c r="R59" s="198"/>
      <c r="S59" s="198"/>
      <c r="T59" s="205"/>
      <c r="U59" s="205"/>
      <c r="V59" s="205"/>
      <c r="W59" s="198"/>
      <c r="X59" s="198"/>
      <c r="Y59" s="198"/>
      <c r="Z59" s="198"/>
      <c r="AA59" s="198"/>
      <c r="AB59" s="198"/>
      <c r="AC59" s="198"/>
      <c r="AD59" s="198"/>
      <c r="AE59" s="198"/>
      <c r="AF59" s="198"/>
      <c r="AG59" s="198"/>
      <c r="AH59" s="198"/>
      <c r="AI59" s="198"/>
      <c r="AJ59" s="198"/>
      <c r="AK59" s="198"/>
      <c r="AL59" s="198"/>
      <c r="AM59" s="198"/>
      <c r="AN59" s="198"/>
      <c r="AO59" s="198"/>
      <c r="AP59" s="198"/>
      <c r="AQ59" s="198"/>
      <c r="AR59" s="198"/>
      <c r="AS59" s="198"/>
      <c r="AT59" s="198"/>
      <c r="AU59" s="198"/>
      <c r="AV59" s="198"/>
      <c r="AW59" s="198"/>
      <c r="AX59" s="198"/>
      <c r="AY59" s="198"/>
      <c r="AZ59" s="198"/>
      <c r="BA59" s="198"/>
      <c r="BB59" s="198"/>
      <c r="BC59" s="198"/>
      <c r="BD59" s="198"/>
      <c r="BE59" s="198"/>
      <c r="BF59" s="198"/>
      <c r="BG59" s="198"/>
      <c r="BH59" s="198"/>
      <c r="BI59" s="198"/>
      <c r="BJ59" s="198"/>
      <c r="BK59" s="198"/>
      <c r="BL59" s="198"/>
      <c r="BM59" s="198"/>
      <c r="BN59" s="198"/>
      <c r="BO59" s="198"/>
      <c r="BP59" s="198"/>
      <c r="BQ59" s="198"/>
      <c r="BR59" s="198"/>
      <c r="BS59" s="198"/>
      <c r="BT59" s="198"/>
      <c r="BU59" s="198"/>
      <c r="BV59" s="198"/>
      <c r="BW59" s="198"/>
      <c r="BX59" s="198"/>
    </row>
    <row r="60" spans="1:76" ht="13.8" thickBot="1" x14ac:dyDescent="0.3">
      <c r="A60" s="19" t="str">
        <f>'Language Index'!A82</f>
        <v>Net Income to Parent</v>
      </c>
      <c r="B60" s="23">
        <f>_xll.ciqfunctions.udf.CIQ($C$2, "IQ_NI", D$6,$F$2,,,Ccy,Conv)</f>
        <v>12022</v>
      </c>
      <c r="C60" s="23">
        <f>_xll.ciqfunctions.udf.CIQ($C$2, "IQ_NI", E$6,$F$2,,,Ccy,Conv)</f>
        <v>13190</v>
      </c>
      <c r="D60" s="23">
        <f>_xll.ciqfunctions.udf.CIQ($C$2, "IQ_NI", F$6,$F$2,,,Ccy,Conv)</f>
        <v>11872</v>
      </c>
      <c r="E60" s="23">
        <f>_xll.ciqfunctions.udf.CIQ($C$2, "IQ_NI", G$6,$F$2,,,Ccy,Conv)</f>
        <v>5753</v>
      </c>
      <c r="F60" s="23">
        <f>_xll.ciqfunctions.udf.CIQ($C$2, "IQ_NI", H$6,$F$2,,,Ccy,Conv)</f>
        <v>8728</v>
      </c>
      <c r="G60" s="23">
        <f>_xll.ciqfunctions.udf.CIQ($C$2, "IQ_NI", I$6,$F$2,,,Ccy,Conv)</f>
        <v>9431</v>
      </c>
      <c r="H60" s="23">
        <f>_xll.ciqfunctions.udf.CIQ($C$2, "IQ_NI", J$6,$F$2,,,Ccy,Conv)</f>
        <v>5590</v>
      </c>
      <c r="I60" s="23">
        <f>_xll.ciqfunctions.udf.CIQ($C$2, "IQ_NI", K$6,$F$2,,,Ccy,Conv)</f>
        <v>5743</v>
      </c>
      <c r="J60" s="23">
        <f>_xll.ciqfunctions.udf.CIQ($C$2, "IQ_NI", L$6,$F$2,,,Ccy,Conv)</f>
        <v>1639</v>
      </c>
      <c r="K60" s="23">
        <f>_xll.ciqfunctions.udf.CIQ($C$2, "IQ_NI", M$6,$F$2,,,Ccy,Conv)</f>
        <v>7502</v>
      </c>
      <c r="L60" s="23">
        <f>_xll.ciqfunctions.udf.CIQ($C$2, "IQ_NI", N$6,$F$2,,,Ccy,Conv)</f>
        <v>6023</v>
      </c>
      <c r="M60" s="21"/>
      <c r="N60" s="23">
        <f>_xll.ciqfunctions.udf.CIQ($C$2, "IQ_NI", P$6,$F$2,,,Ccy,Conv)</f>
        <v>6023</v>
      </c>
      <c r="O60" s="198"/>
      <c r="P60" s="198"/>
      <c r="Q60" s="198"/>
      <c r="R60" s="198"/>
      <c r="S60" s="198"/>
      <c r="T60" s="205"/>
      <c r="U60" s="205"/>
      <c r="V60" s="205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8"/>
      <c r="AS60" s="198"/>
      <c r="AT60" s="198"/>
      <c r="AU60" s="198"/>
      <c r="AV60" s="198"/>
      <c r="AW60" s="198"/>
      <c r="AX60" s="198"/>
      <c r="AY60" s="198"/>
      <c r="AZ60" s="198"/>
      <c r="BA60" s="198"/>
      <c r="BB60" s="198"/>
      <c r="BC60" s="198"/>
      <c r="BD60" s="198"/>
      <c r="BE60" s="198"/>
      <c r="BF60" s="198"/>
      <c r="BG60" s="198"/>
      <c r="BH60" s="198"/>
      <c r="BI60" s="198"/>
      <c r="BJ60" s="198"/>
      <c r="BK60" s="198"/>
      <c r="BL60" s="198"/>
      <c r="BM60" s="198"/>
      <c r="BN60" s="198"/>
      <c r="BO60" s="198"/>
      <c r="BP60" s="198"/>
      <c r="BQ60" s="198"/>
      <c r="BR60" s="198"/>
      <c r="BS60" s="198"/>
      <c r="BT60" s="198"/>
      <c r="BU60" s="198"/>
      <c r="BV60" s="198"/>
      <c r="BW60" s="198"/>
      <c r="BX60" s="198"/>
    </row>
    <row r="61" spans="1:76" ht="13.8" thickTop="1" x14ac:dyDescent="0.25">
      <c r="A61" s="2" t="str">
        <f>'Language Index'!A83</f>
        <v>Pref. Dividends and Other Adj.</v>
      </c>
      <c r="B61" s="18">
        <f>_xll.ciqfunctions.udf.CIQ($C$2, "IQ_PREF_DIV_OTHER", D$6,$F$2,,,Ccy,Conv)</f>
        <v>0</v>
      </c>
      <c r="C61" s="18">
        <f>_xll.ciqfunctions.udf.CIQ($C$2, "IQ_PREF_DIV_OTHER", E$6,$F$2,,,Ccy,Conv)</f>
        <v>0</v>
      </c>
      <c r="D61" s="18">
        <f>_xll.ciqfunctions.udf.CIQ($C$2, "IQ_PREF_DIV_OTHER", F$6,$F$2,,,Ccy,Conv)</f>
        <v>0</v>
      </c>
      <c r="E61" s="18">
        <f>_xll.ciqfunctions.udf.CIQ($C$2, "IQ_PREF_DIV_OTHER", G$6,$F$2,,,Ccy,Conv)</f>
        <v>0</v>
      </c>
      <c r="F61" s="18">
        <f>_xll.ciqfunctions.udf.CIQ($C$2, "IQ_PREF_DIV_OTHER", H$6,$F$2,,,Ccy,Conv)</f>
        <v>0</v>
      </c>
      <c r="G61" s="18">
        <f>_xll.ciqfunctions.udf.CIQ($C$2, "IQ_PREF_DIV_OTHER", I$6,$F$2,,,Ccy,Conv)</f>
        <v>0</v>
      </c>
      <c r="H61" s="18">
        <f>_xll.ciqfunctions.udf.CIQ($C$2, "IQ_PREF_DIV_OTHER", J$6,$F$2,,,Ccy,Conv)</f>
        <v>0</v>
      </c>
      <c r="I61" s="18">
        <f>_xll.ciqfunctions.udf.CIQ($C$2, "IQ_PREF_DIV_OTHER", K$6,$F$2,,,Ccy,Conv)</f>
        <v>0</v>
      </c>
      <c r="J61" s="18">
        <f>_xll.ciqfunctions.udf.CIQ($C$2, "IQ_PREF_DIV_OTHER", L$6,$F$2,,,Ccy,Conv)</f>
        <v>0</v>
      </c>
      <c r="K61" s="18">
        <f>_xll.ciqfunctions.udf.CIQ($C$2, "IQ_PREF_DIV_OTHER", M$6,$F$2,,,Ccy,Conv)</f>
        <v>0</v>
      </c>
      <c r="L61" s="18">
        <f>_xll.ciqfunctions.udf.CIQ($C$2, "IQ_PREF_DIV_OTHER", N$6,$F$2,,,Ccy,Conv)</f>
        <v>0</v>
      </c>
      <c r="M61" s="18"/>
      <c r="N61" s="18">
        <f>_xll.ciqfunctions.udf.CIQ($C$2, "IQ_PREF_DIV_OTHER", P$6,$F$2,,,Ccy,Conv)</f>
        <v>0</v>
      </c>
      <c r="O61" s="215"/>
      <c r="P61" s="198"/>
      <c r="Q61" s="198"/>
      <c r="R61" s="198"/>
      <c r="S61" s="198"/>
      <c r="T61" s="216"/>
      <c r="U61" s="216"/>
      <c r="V61" s="216"/>
      <c r="W61" s="215"/>
      <c r="X61" s="215"/>
      <c r="Y61" s="215"/>
      <c r="Z61" s="215"/>
      <c r="AA61" s="215"/>
      <c r="AB61" s="215"/>
      <c r="AC61" s="198"/>
      <c r="AD61" s="198"/>
      <c r="AE61" s="198"/>
      <c r="AF61" s="215"/>
      <c r="AG61" s="198"/>
      <c r="AH61" s="198"/>
      <c r="AI61" s="198"/>
      <c r="AJ61" s="198"/>
      <c r="AK61" s="198"/>
      <c r="AL61" s="198"/>
      <c r="AM61" s="198"/>
      <c r="AN61" s="198"/>
      <c r="AO61" s="198"/>
      <c r="AP61" s="198"/>
      <c r="AQ61" s="198"/>
      <c r="AR61" s="198"/>
      <c r="AS61" s="198"/>
      <c r="AT61" s="198"/>
      <c r="AU61" s="198"/>
      <c r="AV61" s="198"/>
      <c r="AW61" s="198"/>
      <c r="AX61" s="198"/>
      <c r="AY61" s="198"/>
      <c r="AZ61" s="198"/>
      <c r="BA61" s="198"/>
      <c r="BB61" s="198"/>
      <c r="BC61" s="198"/>
      <c r="BD61" s="198"/>
      <c r="BE61" s="198"/>
      <c r="BF61" s="198"/>
      <c r="BG61" s="198"/>
      <c r="BH61" s="198"/>
      <c r="BI61" s="198"/>
      <c r="BJ61" s="198"/>
      <c r="BK61" s="198"/>
      <c r="BL61" s="198"/>
      <c r="BM61" s="198"/>
      <c r="BN61" s="198"/>
      <c r="BO61" s="198"/>
      <c r="BP61" s="198"/>
      <c r="BQ61" s="198"/>
      <c r="BR61" s="198"/>
      <c r="BS61" s="198"/>
      <c r="BT61" s="198"/>
      <c r="BU61" s="198"/>
      <c r="BV61" s="198"/>
      <c r="BW61" s="198"/>
      <c r="BX61" s="198"/>
    </row>
    <row r="62" spans="1:76" x14ac:dyDescent="0.25">
      <c r="A62" s="19" t="str">
        <f>'Language Index'!A84</f>
        <v>NI to Common Incl Extra Items</v>
      </c>
      <c r="B62" s="21">
        <f>_xll.ciqfunctions.udf.CIQ($C$2, "IQ_NI_AVAIL_INCL", D$6,$F$2,,,Ccy,Conv)</f>
        <v>12022</v>
      </c>
      <c r="C62" s="21">
        <f>_xll.ciqfunctions.udf.CIQ($C$2, "IQ_NI_AVAIL_INCL", E$6,$F$2,,,Ccy,Conv)</f>
        <v>13190</v>
      </c>
      <c r="D62" s="21">
        <f>_xll.ciqfunctions.udf.CIQ($C$2, "IQ_NI_AVAIL_INCL", F$6,$F$2,,,Ccy,Conv)</f>
        <v>11872</v>
      </c>
      <c r="E62" s="21">
        <f>_xll.ciqfunctions.udf.CIQ($C$2, "IQ_NI_AVAIL_INCL", G$6,$F$2,,,Ccy,Conv)</f>
        <v>5753</v>
      </c>
      <c r="F62" s="21">
        <f>_xll.ciqfunctions.udf.CIQ($C$2, "IQ_NI_AVAIL_INCL", H$6,$F$2,,,Ccy,Conv)</f>
        <v>8728</v>
      </c>
      <c r="G62" s="21">
        <f>_xll.ciqfunctions.udf.CIQ($C$2, "IQ_NI_AVAIL_INCL", I$6,$F$2,,,Ccy,Conv)</f>
        <v>9431</v>
      </c>
      <c r="H62" s="21">
        <f>_xll.ciqfunctions.udf.CIQ($C$2, "IQ_NI_AVAIL_INCL", J$6,$F$2,,,Ccy,Conv)</f>
        <v>5590</v>
      </c>
      <c r="I62" s="21">
        <f>_xll.ciqfunctions.udf.CIQ($C$2, "IQ_NI_AVAIL_INCL", K$6,$F$2,,,Ccy,Conv)</f>
        <v>5743</v>
      </c>
      <c r="J62" s="21">
        <f>_xll.ciqfunctions.udf.CIQ($C$2, "IQ_NI_AVAIL_INCL", L$6,$F$2,,,Ccy,Conv)</f>
        <v>1639</v>
      </c>
      <c r="K62" s="21">
        <f>_xll.ciqfunctions.udf.CIQ($C$2, "IQ_NI_AVAIL_INCL", M$6,$F$2,,,Ccy,Conv)</f>
        <v>7502</v>
      </c>
      <c r="L62" s="21">
        <f>_xll.ciqfunctions.udf.CIQ($C$2, "IQ_NI_AVAIL_INCL", N$6,$F$2,,,Ccy,Conv)</f>
        <v>6023</v>
      </c>
      <c r="M62" s="21"/>
      <c r="N62" s="21">
        <f>_xll.ciqfunctions.udf.CIQ($C$2, "IQ_NI_AVAIL_INCL", P$6,$F$2,,,Ccy,Conv)</f>
        <v>6023</v>
      </c>
      <c r="O62" s="215"/>
      <c r="P62" s="198"/>
      <c r="Q62" s="198"/>
      <c r="R62" s="198"/>
      <c r="S62" s="198"/>
      <c r="T62" s="216"/>
      <c r="U62" s="216"/>
      <c r="V62" s="216"/>
      <c r="W62" s="215"/>
      <c r="X62" s="215"/>
      <c r="Y62" s="215"/>
      <c r="Z62" s="215"/>
      <c r="AA62" s="215"/>
      <c r="AB62" s="215"/>
      <c r="AC62" s="198"/>
      <c r="AD62" s="198"/>
      <c r="AE62" s="198"/>
      <c r="AF62" s="215"/>
      <c r="AG62" s="198"/>
      <c r="AH62" s="198"/>
      <c r="AI62" s="198"/>
      <c r="AJ62" s="198"/>
      <c r="AK62" s="198"/>
      <c r="AL62" s="198"/>
      <c r="AM62" s="198"/>
      <c r="AN62" s="198"/>
      <c r="AO62" s="198"/>
      <c r="AP62" s="198"/>
      <c r="AQ62" s="198"/>
      <c r="AR62" s="198"/>
      <c r="AS62" s="198"/>
      <c r="AT62" s="198"/>
      <c r="AU62" s="198"/>
      <c r="AV62" s="198"/>
      <c r="AW62" s="198"/>
      <c r="AX62" s="198"/>
      <c r="AY62" s="198"/>
      <c r="AZ62" s="198"/>
      <c r="BA62" s="198"/>
      <c r="BB62" s="198"/>
      <c r="BC62" s="198"/>
      <c r="BD62" s="198"/>
      <c r="BE62" s="198"/>
      <c r="BF62" s="198"/>
      <c r="BG62" s="198"/>
      <c r="BH62" s="198"/>
      <c r="BI62" s="198"/>
      <c r="BJ62" s="198"/>
      <c r="BK62" s="198"/>
      <c r="BL62" s="198"/>
      <c r="BM62" s="198"/>
      <c r="BN62" s="198"/>
      <c r="BO62" s="198"/>
      <c r="BP62" s="198"/>
      <c r="BQ62" s="198"/>
      <c r="BR62" s="198"/>
      <c r="BS62" s="198"/>
      <c r="BT62" s="198"/>
      <c r="BU62" s="198"/>
      <c r="BV62" s="198"/>
      <c r="BW62" s="198"/>
      <c r="BX62" s="198"/>
    </row>
    <row r="63" spans="1:76" x14ac:dyDescent="0.25">
      <c r="A63" s="19" t="str">
        <f>'Language Index'!A85</f>
        <v>NI to Common Excl Extra Items</v>
      </c>
      <c r="B63" s="21">
        <f>_xll.ciqfunctions.udf.CIQ($C$2, "IQ_NI_AVAIL_EXCL", D$6,$F$2,,,Ccy,Conv)</f>
        <v>15751</v>
      </c>
      <c r="C63" s="21">
        <f>_xll.ciqfunctions.udf.CIQ($C$2, "IQ_NI_AVAIL_EXCL", E$6,$F$2,,,Ccy,Conv)</f>
        <v>13364</v>
      </c>
      <c r="D63" s="21">
        <f>_xll.ciqfunctions.udf.CIQ($C$2, "IQ_NI_AVAIL_EXCL", F$6,$F$2,,,Ccy,Conv)</f>
        <v>11881</v>
      </c>
      <c r="E63" s="21">
        <f>_xll.ciqfunctions.udf.CIQ($C$2, "IQ_NI_AVAIL_EXCL", G$6,$F$2,,,Ccy,Conv)</f>
        <v>5758</v>
      </c>
      <c r="F63" s="21">
        <f>_xll.ciqfunctions.udf.CIQ($C$2, "IQ_NI_AVAIL_EXCL", H$6,$F$2,,,Ccy,Conv)</f>
        <v>8723</v>
      </c>
      <c r="G63" s="21">
        <f>_xll.ciqfunctions.udf.CIQ($C$2, "IQ_NI_AVAIL_EXCL", I$6,$F$2,,,Ccy,Conv)</f>
        <v>7146</v>
      </c>
      <c r="H63" s="21">
        <f>_xll.ciqfunctions.udf.CIQ($C$2, "IQ_NI_AVAIL_EXCL", J$6,$F$2,,,Ccy,Conv)</f>
        <v>3932</v>
      </c>
      <c r="I63" s="21">
        <f>_xll.ciqfunctions.udf.CIQ($C$2, "IQ_NI_AVAIL_EXCL", K$6,$F$2,,,Ccy,Conv)</f>
        <v>4713</v>
      </c>
      <c r="J63" s="21">
        <f>_xll.ciqfunctions.udf.CIQ($C$2, "IQ_NI_AVAIL_EXCL", L$6,$F$2,,,Ccy,Conv)</f>
        <v>1782</v>
      </c>
      <c r="K63" s="21">
        <f>_xll.ciqfunctions.udf.CIQ($C$2, "IQ_NI_AVAIL_EXCL", M$6,$F$2,,,Ccy,Conv)</f>
        <v>7514</v>
      </c>
      <c r="L63" s="21">
        <f>_xll.ciqfunctions.udf.CIQ($C$2, "IQ_NI_AVAIL_EXCL", N$6,$F$2,,,Ccy,Conv)</f>
        <v>6015</v>
      </c>
      <c r="M63" s="21"/>
      <c r="N63" s="21">
        <f>_xll.ciqfunctions.udf.CIQ($C$2, "IQ_NI_AVAIL_EXCL", P$6,$F$2,,,Ccy,Conv)</f>
        <v>6015</v>
      </c>
      <c r="O63" s="215"/>
      <c r="P63" s="198"/>
      <c r="Q63" s="198"/>
      <c r="R63" s="198"/>
      <c r="S63" s="198"/>
      <c r="T63" s="216"/>
      <c r="U63" s="216"/>
      <c r="V63" s="216"/>
      <c r="W63" s="215"/>
      <c r="X63" s="215"/>
      <c r="Y63" s="215"/>
      <c r="Z63" s="215"/>
      <c r="AA63" s="215"/>
      <c r="AB63" s="215"/>
      <c r="AC63" s="198"/>
      <c r="AD63" s="198"/>
      <c r="AE63" s="198"/>
      <c r="AF63" s="215"/>
      <c r="AG63" s="198"/>
      <c r="AH63" s="198"/>
      <c r="AI63" s="198"/>
      <c r="AJ63" s="198"/>
      <c r="AK63" s="198"/>
      <c r="AL63" s="198"/>
      <c r="AM63" s="198"/>
      <c r="AN63" s="198"/>
      <c r="AO63" s="198"/>
      <c r="AP63" s="198"/>
      <c r="AQ63" s="198"/>
      <c r="AR63" s="198"/>
      <c r="AS63" s="198"/>
      <c r="AT63" s="198"/>
      <c r="AU63" s="198"/>
      <c r="AV63" s="198"/>
      <c r="AW63" s="198"/>
      <c r="AX63" s="198"/>
      <c r="AY63" s="198"/>
      <c r="AZ63" s="198"/>
      <c r="BA63" s="198"/>
      <c r="BB63" s="198"/>
      <c r="BC63" s="198"/>
      <c r="BD63" s="198"/>
      <c r="BE63" s="198"/>
      <c r="BF63" s="198"/>
      <c r="BG63" s="198"/>
      <c r="BH63" s="198"/>
      <c r="BI63" s="198"/>
      <c r="BJ63" s="198"/>
      <c r="BK63" s="198"/>
      <c r="BL63" s="198"/>
      <c r="BM63" s="198"/>
      <c r="BN63" s="198"/>
      <c r="BO63" s="198"/>
      <c r="BP63" s="198"/>
      <c r="BQ63" s="198"/>
      <c r="BR63" s="198"/>
      <c r="BS63" s="198"/>
      <c r="BT63" s="198"/>
      <c r="BU63" s="198"/>
      <c r="BV63" s="198"/>
      <c r="BW63" s="198"/>
      <c r="BX63" s="198"/>
    </row>
    <row r="64" spans="1:76" x14ac:dyDescent="0.25">
      <c r="A64" s="2" t="str">
        <f>'Language Index'!A86</f>
        <v>Basic EPS</v>
      </c>
      <c r="B64" s="26">
        <f>_xll.ciqfunctions.udf.CIQ($C$2, "IQ_BASIC_EPS_INCL", D$6,$F$2,,,Ccy,Conv)</f>
        <v>11.97085</v>
      </c>
      <c r="C64" s="26">
        <f>_xll.ciqfunctions.udf.CIQ($C$2, "IQ_BASIC_EPS_INCL", E$6,$F$2,,,Ccy,Conv)</f>
        <v>13.47645</v>
      </c>
      <c r="D64" s="26">
        <f>_xll.ciqfunctions.udf.CIQ($C$2, "IQ_BASIC_EPS_INCL", F$6,$F$2,,,Ccy,Conv)</f>
        <v>12.42592</v>
      </c>
      <c r="E64" s="26">
        <f>_xll.ciqfunctions.udf.CIQ($C$2, "IQ_BASIC_EPS_INCL", G$6,$F$2,,,Ccy,Conv)</f>
        <v>6.1672700000000003</v>
      </c>
      <c r="F64" s="26">
        <f>_xll.ciqfunctions.udf.CIQ($C$2, "IQ_BASIC_EPS_INCL", H$6,$F$2,,,Ccy,Conv)</f>
        <v>9.5696700000000003</v>
      </c>
      <c r="G64" s="26">
        <f>_xll.ciqfunctions.udf.CIQ($C$2, "IQ_BASIC_EPS_INCL", I$6,$F$2,,,Ccy,Conv)</f>
        <v>10.62965</v>
      </c>
      <c r="H64" s="26">
        <f>_xll.ciqfunctions.udf.CIQ($C$2, "IQ_BASIC_EPS_INCL", J$6,$F$2,,,Ccy,Conv)</f>
        <v>6.2784399999999998</v>
      </c>
      <c r="I64" s="26">
        <f>_xll.ciqfunctions.udf.CIQ($C$2, "IQ_BASIC_EPS_INCL", K$6,$F$2,,,Ccy,Conv)</f>
        <v>6.4096599999999997</v>
      </c>
      <c r="J64" s="26">
        <f>_xll.ciqfunctions.udf.CIQ($C$2, "IQ_BASIC_EPS_INCL", L$6,$F$2,,,Ccy,Conv)</f>
        <v>1.8157399999999999</v>
      </c>
      <c r="K64" s="26">
        <f>_xll.ciqfunctions.udf.CIQ($C$2, "IQ_BASIC_EPS_INCL", M$6,$F$2,,,Ccy,Conv)</f>
        <v>8.2330100000000002</v>
      </c>
      <c r="L64" s="26">
        <f>_xll.ciqfunctions.udf.CIQ($C$2, "IQ_BASIC_EPS_INCL", N$6,$F$2,,,Ccy,Conv)</f>
        <v>6.5341800000000001</v>
      </c>
      <c r="M64" s="26"/>
      <c r="N64" s="26">
        <f>_xll.ciqfunctions.udf.CIQ($C$2, "IQ_BASIC_EPS_INCL", P$6,$F$2,,,Ccy,Conv)</f>
        <v>6.5341800000000001</v>
      </c>
      <c r="O64" s="217"/>
      <c r="P64" s="198"/>
      <c r="Q64" s="198"/>
      <c r="R64" s="198"/>
      <c r="S64" s="198"/>
      <c r="T64" s="219"/>
      <c r="U64" s="219"/>
      <c r="V64" s="219"/>
      <c r="W64" s="220"/>
      <c r="X64" s="220"/>
      <c r="Y64" s="220"/>
      <c r="Z64" s="220"/>
      <c r="AA64" s="220"/>
      <c r="AB64" s="220"/>
      <c r="AC64" s="198"/>
      <c r="AD64" s="198"/>
      <c r="AE64" s="198"/>
      <c r="AF64" s="220"/>
      <c r="AG64" s="198"/>
      <c r="AH64" s="198"/>
      <c r="AI64" s="198"/>
      <c r="AJ64" s="198"/>
      <c r="AK64" s="198"/>
      <c r="AL64" s="198"/>
      <c r="AM64" s="198"/>
      <c r="AN64" s="198"/>
      <c r="AO64" s="198"/>
      <c r="AP64" s="198"/>
      <c r="AQ64" s="198"/>
      <c r="AR64" s="198"/>
      <c r="AS64" s="198"/>
      <c r="AT64" s="198"/>
      <c r="AU64" s="198"/>
      <c r="AV64" s="198"/>
      <c r="AW64" s="198"/>
      <c r="AX64" s="198"/>
      <c r="AY64" s="198"/>
      <c r="AZ64" s="198"/>
      <c r="BA64" s="198"/>
      <c r="BB64" s="198"/>
      <c r="BC64" s="198"/>
      <c r="BD64" s="198"/>
      <c r="BE64" s="198"/>
      <c r="BF64" s="198"/>
      <c r="BG64" s="198"/>
      <c r="BH64" s="198"/>
      <c r="BI64" s="198"/>
      <c r="BJ64" s="198"/>
      <c r="BK64" s="198"/>
      <c r="BL64" s="198"/>
      <c r="BM64" s="198"/>
      <c r="BN64" s="198"/>
      <c r="BO64" s="198"/>
      <c r="BP64" s="198"/>
      <c r="BQ64" s="198"/>
      <c r="BR64" s="198"/>
      <c r="BS64" s="198"/>
      <c r="BT64" s="198"/>
      <c r="BU64" s="198"/>
      <c r="BV64" s="198"/>
      <c r="BW64" s="198"/>
      <c r="BX64" s="198"/>
    </row>
    <row r="65" spans="1:76" x14ac:dyDescent="0.25">
      <c r="A65" s="2" t="str">
        <f>'Language Index'!A87</f>
        <v>Basic EPS Excl. Extra Items</v>
      </c>
      <c r="B65" s="26">
        <f>_xll.ciqfunctions.udf.CIQ($C$2, "IQ_BASIC_EPS_EXCL", D$6,$F$2,,,Ccy,Conv)</f>
        <v>15.68399</v>
      </c>
      <c r="C65" s="26">
        <f>_xll.ciqfunctions.udf.CIQ($C$2, "IQ_BASIC_EPS_EXCL", E$6,$F$2,,,Ccy,Conv)</f>
        <v>13.65423</v>
      </c>
      <c r="D65" s="26">
        <f>_xll.ciqfunctions.udf.CIQ($C$2, "IQ_BASIC_EPS_EXCL", F$6,$F$2,,,Ccy,Conv)</f>
        <v>12.43534</v>
      </c>
      <c r="E65" s="26">
        <f>_xll.ciqfunctions.udf.CIQ($C$2, "IQ_BASIC_EPS_EXCL", G$6,$F$2,,,Ccy,Conv)</f>
        <v>6.1726299999999998</v>
      </c>
      <c r="F65" s="26">
        <f>_xll.ciqfunctions.udf.CIQ($C$2, "IQ_BASIC_EPS_EXCL", H$6,$F$2,,,Ccy,Conv)</f>
        <v>9.56419</v>
      </c>
      <c r="G65" s="26">
        <f>_xll.ciqfunctions.udf.CIQ($C$2, "IQ_BASIC_EPS_EXCL", I$6,$F$2,,,Ccy,Conv)</f>
        <v>8.0542300000000004</v>
      </c>
      <c r="H65" s="26">
        <f>_xll.ciqfunctions.udf.CIQ($C$2, "IQ_BASIC_EPS_EXCL", J$6,$F$2,,,Ccy,Conv)</f>
        <v>4.4162499999999998</v>
      </c>
      <c r="I65" s="26">
        <f>_xll.ciqfunctions.udf.CIQ($C$2, "IQ_BASIC_EPS_EXCL", K$6,$F$2,,,Ccy,Conv)</f>
        <v>5.2601000000000004</v>
      </c>
      <c r="J65" s="26">
        <f>_xll.ciqfunctions.udf.CIQ($C$2, "IQ_BASIC_EPS_EXCL", L$6,$F$2,,,Ccy,Conv)</f>
        <v>1.9741599999999999</v>
      </c>
      <c r="K65" s="26">
        <f>_xll.ciqfunctions.udf.CIQ($C$2, "IQ_BASIC_EPS_EXCL", M$6,$F$2,,,Ccy,Conv)</f>
        <v>8.2461800000000007</v>
      </c>
      <c r="L65" s="26">
        <f>_xll.ciqfunctions.udf.CIQ($C$2, "IQ_BASIC_EPS_EXCL", N$6,$F$2,,,Ccy,Conv)</f>
        <v>6.5255000000000001</v>
      </c>
      <c r="M65" s="26"/>
      <c r="N65" s="26">
        <f>_xll.ciqfunctions.udf.CIQ($C$2, "IQ_BASIC_EPS_EXCL", P$6,$F$2,,,Ccy,Conv)</f>
        <v>6.5255000000000001</v>
      </c>
      <c r="O65" s="217"/>
      <c r="P65" s="198"/>
      <c r="Q65" s="198"/>
      <c r="R65" s="198"/>
      <c r="S65" s="198"/>
      <c r="T65" s="219"/>
      <c r="U65" s="219"/>
      <c r="V65" s="219"/>
      <c r="W65" s="220"/>
      <c r="X65" s="220"/>
      <c r="Y65" s="220"/>
      <c r="Z65" s="220"/>
      <c r="AA65" s="220"/>
      <c r="AB65" s="220"/>
      <c r="AC65" s="198"/>
      <c r="AD65" s="198"/>
      <c r="AE65" s="198"/>
      <c r="AF65" s="220"/>
      <c r="AG65" s="198"/>
      <c r="AH65" s="198"/>
      <c r="AI65" s="198"/>
      <c r="AJ65" s="198"/>
      <c r="AK65" s="198"/>
      <c r="AL65" s="198"/>
      <c r="AM65" s="198"/>
      <c r="AN65" s="198"/>
      <c r="AO65" s="198"/>
      <c r="AP65" s="198"/>
      <c r="AQ65" s="198"/>
      <c r="AR65" s="198"/>
      <c r="AS65" s="198"/>
      <c r="AT65" s="198"/>
      <c r="AU65" s="198"/>
      <c r="AV65" s="198"/>
      <c r="AW65" s="198"/>
      <c r="AX65" s="198"/>
      <c r="AY65" s="198"/>
      <c r="AZ65" s="198"/>
      <c r="BA65" s="198"/>
      <c r="BB65" s="198"/>
      <c r="BC65" s="198"/>
      <c r="BD65" s="198"/>
      <c r="BE65" s="198"/>
      <c r="BF65" s="198"/>
      <c r="BG65" s="198"/>
      <c r="BH65" s="198"/>
      <c r="BI65" s="198"/>
      <c r="BJ65" s="198"/>
      <c r="BK65" s="198"/>
      <c r="BL65" s="198"/>
      <c r="BM65" s="198"/>
      <c r="BN65" s="198"/>
      <c r="BO65" s="198"/>
      <c r="BP65" s="198"/>
      <c r="BQ65" s="198"/>
      <c r="BR65" s="198"/>
      <c r="BS65" s="198"/>
      <c r="BT65" s="198"/>
      <c r="BU65" s="198"/>
      <c r="BV65" s="198"/>
      <c r="BW65" s="198"/>
      <c r="BX65" s="198"/>
    </row>
    <row r="66" spans="1:76" x14ac:dyDescent="0.25">
      <c r="A66" s="2" t="str">
        <f>'Language Index'!A88</f>
        <v>Weighted Avg. Basic Shares Out.</v>
      </c>
      <c r="B66" s="27">
        <f>_xll.ciqfunctions.udf.CIQ($C$2, "IQ_BASIC_WEIGHT", D$6,$F$2)</f>
        <v>1004.2725799999999</v>
      </c>
      <c r="C66" s="27">
        <f>_xll.ciqfunctions.udf.CIQ($C$2, "IQ_BASIC_WEIGHT", E$6,$F$2)</f>
        <v>978.74451999999997</v>
      </c>
      <c r="D66" s="27">
        <f>_xll.ciqfunctions.udf.CIQ($C$2, "IQ_BASIC_WEIGHT", F$6,$F$2)</f>
        <v>955.42253000000005</v>
      </c>
      <c r="E66" s="27">
        <f>_xll.ciqfunctions.udf.CIQ($C$2, "IQ_BASIC_WEIGHT", G$6,$F$2)</f>
        <v>932.82830000000001</v>
      </c>
      <c r="F66" s="27">
        <f>_xll.ciqfunctions.udf.CIQ($C$2, "IQ_BASIC_WEIGHT", H$6,$F$2)</f>
        <v>912.04807000000005</v>
      </c>
      <c r="G66" s="27">
        <f>_xll.ciqfunctions.udf.CIQ($C$2, "IQ_BASIC_WEIGHT", I$6,$F$2)</f>
        <v>887.23510999999996</v>
      </c>
      <c r="H66" s="27">
        <f>_xll.ciqfunctions.udf.CIQ($C$2, "IQ_BASIC_WEIGHT", J$6,$F$2)</f>
        <v>890.34867999999994</v>
      </c>
      <c r="I66" s="27">
        <f>_xll.ciqfunctions.udf.CIQ($C$2, "IQ_BASIC_WEIGHT", K$6,$F$2)</f>
        <v>895.99077</v>
      </c>
      <c r="J66" s="27">
        <f>_xll.ciqfunctions.udf.CIQ($C$2, "IQ_BASIC_WEIGHT", L$6,$F$2)</f>
        <v>902.66418999999996</v>
      </c>
      <c r="K66" s="27">
        <f>_xll.ciqfunctions.udf.CIQ($C$2, "IQ_BASIC_WEIGHT", M$6,$F$2)</f>
        <v>911.21032000000002</v>
      </c>
      <c r="L66" s="27">
        <f>_xll.ciqfunctions.udf.CIQ($C$2, "IQ_BASIC_WEIGHT", N$6,$F$2)</f>
        <v>921.76783</v>
      </c>
      <c r="M66" s="27"/>
      <c r="N66" s="27">
        <f>_xll.ciqfunctions.udf.CIQ($C$2, "IQ_BASIC_WEIGHT", P$6,$F$2)</f>
        <v>921.76783</v>
      </c>
      <c r="O66" s="198"/>
      <c r="P66" s="198"/>
      <c r="Q66" s="198"/>
      <c r="R66" s="198"/>
      <c r="S66" s="198"/>
      <c r="T66" s="205"/>
      <c r="U66" s="205"/>
      <c r="V66" s="205"/>
      <c r="W66" s="198"/>
      <c r="X66" s="198"/>
      <c r="Y66" s="198"/>
      <c r="Z66" s="198"/>
      <c r="AA66" s="198"/>
      <c r="AB66" s="198"/>
      <c r="AC66" s="198"/>
      <c r="AD66" s="198"/>
      <c r="AE66" s="198"/>
      <c r="AF66" s="198"/>
      <c r="AG66" s="198"/>
      <c r="AH66" s="198"/>
      <c r="AI66" s="198"/>
      <c r="AJ66" s="198"/>
      <c r="AK66" s="198"/>
      <c r="AL66" s="198"/>
      <c r="AM66" s="198"/>
      <c r="AN66" s="198"/>
      <c r="AO66" s="198"/>
      <c r="AP66" s="198"/>
      <c r="AQ66" s="198"/>
      <c r="AR66" s="198"/>
      <c r="AS66" s="198"/>
      <c r="AT66" s="198"/>
      <c r="AU66" s="198"/>
      <c r="AV66" s="198"/>
      <c r="AW66" s="198"/>
      <c r="AX66" s="198"/>
      <c r="AY66" s="198"/>
      <c r="AZ66" s="198"/>
      <c r="BA66" s="198"/>
      <c r="BB66" s="198"/>
      <c r="BC66" s="198"/>
      <c r="BD66" s="198"/>
      <c r="BE66" s="198"/>
      <c r="BF66" s="198"/>
      <c r="BG66" s="198"/>
      <c r="BH66" s="198"/>
      <c r="BI66" s="198"/>
      <c r="BJ66" s="198"/>
      <c r="BK66" s="198"/>
      <c r="BL66" s="198"/>
      <c r="BM66" s="198"/>
      <c r="BN66" s="198"/>
      <c r="BO66" s="198"/>
      <c r="BP66" s="198"/>
      <c r="BQ66" s="198"/>
      <c r="BR66" s="198"/>
      <c r="BS66" s="198"/>
      <c r="BT66" s="198"/>
      <c r="BU66" s="198"/>
      <c r="BV66" s="198"/>
      <c r="BW66" s="198"/>
      <c r="BX66" s="198"/>
    </row>
    <row r="67" spans="1:76" x14ac:dyDescent="0.25">
      <c r="A67" s="2" t="str">
        <f>'Language Index'!A89</f>
        <v>Diluted EPS</v>
      </c>
      <c r="B67" s="26">
        <f>_xll.ciqfunctions.udf.CIQ($C$2, "IQ_DILUT_EPS_INCL", D$6,$F$2,,,Ccy,Conv)</f>
        <v>11.900980000000001</v>
      </c>
      <c r="C67" s="26">
        <f>_xll.ciqfunctions.udf.CIQ($C$2, "IQ_DILUT_EPS_INCL", E$6,$F$2,,,Ccy,Conv)</f>
        <v>13.42118</v>
      </c>
      <c r="D67" s="26">
        <f>_xll.ciqfunctions.udf.CIQ($C$2, "IQ_DILUT_EPS_INCL", F$6,$F$2,,,Ccy,Conv)</f>
        <v>12.380610000000001</v>
      </c>
      <c r="E67" s="26">
        <f>_xll.ciqfunctions.udf.CIQ($C$2, "IQ_DILUT_EPS_INCL", G$6,$F$2,,,Ccy,Conv)</f>
        <v>6.1351500000000003</v>
      </c>
      <c r="F67" s="26">
        <f>_xll.ciqfunctions.udf.CIQ($C$2, "IQ_DILUT_EPS_INCL", H$6,$F$2,,,Ccy,Conv)</f>
        <v>9.5196400000000008</v>
      </c>
      <c r="G67" s="26">
        <f>_xll.ciqfunctions.udf.CIQ($C$2, "IQ_DILUT_EPS_INCL", I$6,$F$2,,,Ccy,Conv)</f>
        <v>10.559329999999999</v>
      </c>
      <c r="H67" s="26">
        <f>_xll.ciqfunctions.udf.CIQ($C$2, "IQ_DILUT_EPS_INCL", J$6,$F$2,,,Ccy,Conv)</f>
        <v>6.2326800000000002</v>
      </c>
      <c r="I67" s="26">
        <f>_xll.ciqfunctions.udf.CIQ($C$2, "IQ_DILUT_EPS_INCL", K$6,$F$2,,,Ccy,Conv)</f>
        <v>6.3485699999999996</v>
      </c>
      <c r="J67" s="26">
        <f>_xll.ciqfunctions.udf.CIQ($C$2, "IQ_DILUT_EPS_INCL", L$6,$F$2,,,Ccy,Conv)</f>
        <v>1.79325</v>
      </c>
      <c r="K67" s="26">
        <f>_xll.ciqfunctions.udf.CIQ($C$2, "IQ_DILUT_EPS_INCL", M$6,$F$2,,,Ccy,Conv)</f>
        <v>8.1369900000000008</v>
      </c>
      <c r="L67" s="26">
        <f>_xll.ciqfunctions.udf.CIQ($C$2, "IQ_DILUT_EPS_INCL", N$6,$F$2,,,Ccy,Conv)</f>
        <v>6.4285399999999999</v>
      </c>
      <c r="M67" s="26"/>
      <c r="N67" s="26">
        <f>_xll.ciqfunctions.udf.CIQ($C$2, "IQ_DILUT_EPS_INCL", P$6,$F$2,,,Ccy,Conv)</f>
        <v>6.4285399999999999</v>
      </c>
      <c r="O67" s="220"/>
      <c r="P67" s="198"/>
      <c r="Q67" s="198"/>
      <c r="R67" s="198"/>
      <c r="S67" s="198"/>
      <c r="T67" s="205"/>
      <c r="U67" s="205"/>
      <c r="V67" s="205"/>
      <c r="W67" s="198"/>
      <c r="X67" s="198"/>
      <c r="Y67" s="198"/>
      <c r="Z67" s="198"/>
      <c r="AA67" s="198"/>
      <c r="AB67" s="198"/>
      <c r="AC67" s="198"/>
      <c r="AD67" s="198"/>
      <c r="AE67" s="198"/>
      <c r="AF67" s="198"/>
      <c r="AG67" s="198"/>
      <c r="AH67" s="198"/>
      <c r="AI67" s="198"/>
      <c r="AJ67" s="198"/>
      <c r="AK67" s="198"/>
      <c r="AL67" s="198"/>
      <c r="AM67" s="198"/>
      <c r="AN67" s="198"/>
      <c r="AO67" s="198"/>
      <c r="AP67" s="198"/>
      <c r="AQ67" s="198"/>
      <c r="AR67" s="198"/>
      <c r="AS67" s="198"/>
      <c r="AT67" s="198"/>
      <c r="AU67" s="198"/>
      <c r="AV67" s="198"/>
      <c r="AW67" s="198"/>
      <c r="AX67" s="198"/>
      <c r="AY67" s="198"/>
      <c r="AZ67" s="198"/>
      <c r="BA67" s="198"/>
      <c r="BB67" s="198"/>
      <c r="BC67" s="198"/>
      <c r="BD67" s="198"/>
      <c r="BE67" s="198"/>
      <c r="BF67" s="198"/>
      <c r="BG67" s="198"/>
      <c r="BH67" s="198"/>
      <c r="BI67" s="198"/>
      <c r="BJ67" s="198"/>
      <c r="BK67" s="198"/>
      <c r="BL67" s="198"/>
      <c r="BM67" s="198"/>
      <c r="BN67" s="198"/>
      <c r="BO67" s="198"/>
      <c r="BP67" s="198"/>
      <c r="BQ67" s="198"/>
      <c r="BR67" s="198"/>
      <c r="BS67" s="198"/>
      <c r="BT67" s="198"/>
      <c r="BU67" s="198"/>
      <c r="BV67" s="198"/>
      <c r="BW67" s="198"/>
      <c r="BX67" s="198"/>
    </row>
    <row r="68" spans="1:76" x14ac:dyDescent="0.25">
      <c r="A68" s="2" t="str">
        <f>'Language Index'!A90</f>
        <v>Diluted EPS Excl Extra Items</v>
      </c>
      <c r="B68" s="26">
        <f>_xll.ciqfunctions.udf.CIQ($C$2, "IQ_DILUT_EPS_EXCL", D$6,$F$2,,,Ccy,Conv)</f>
        <v>15.593059999999999</v>
      </c>
      <c r="C68" s="26">
        <f>_xll.ciqfunctions.udf.CIQ($C$2, "IQ_DILUT_EPS_EXCL", E$6,$F$2,,,Ccy,Conv)</f>
        <v>13.59825</v>
      </c>
      <c r="D68" s="26">
        <f>_xll.ciqfunctions.udf.CIQ($C$2, "IQ_DILUT_EPS_EXCL", F$6,$F$2,,,Ccy,Conv)</f>
        <v>12.39</v>
      </c>
      <c r="E68" s="26">
        <f>_xll.ciqfunctions.udf.CIQ($C$2, "IQ_DILUT_EPS_EXCL", G$6,$F$2,,,Ccy,Conv)</f>
        <v>6.1404800000000002</v>
      </c>
      <c r="F68" s="26">
        <f>_xll.ciqfunctions.udf.CIQ($C$2, "IQ_DILUT_EPS_EXCL", H$6,$F$2,,,Ccy,Conv)</f>
        <v>9.5141899999999993</v>
      </c>
      <c r="G68" s="26">
        <f>_xll.ciqfunctions.udf.CIQ($C$2, "IQ_DILUT_EPS_EXCL", I$6,$F$2,,,Ccy,Conv)</f>
        <v>8</v>
      </c>
      <c r="H68" s="26">
        <f>_xll.ciqfunctions.udf.CIQ($C$2, "IQ_DILUT_EPS_EXCL", J$6,$F$2,,,Ccy,Conv)</f>
        <v>4.3834</v>
      </c>
      <c r="I68" s="26">
        <f>_xll.ciqfunctions.udf.CIQ($C$2, "IQ_DILUT_EPS_EXCL", K$6,$F$2,,,Ccy,Conv)</f>
        <v>5.21</v>
      </c>
      <c r="J68" s="26">
        <f>_xll.ciqfunctions.udf.CIQ($C$2, "IQ_DILUT_EPS_EXCL", L$6,$F$2,,,Ccy,Conv)</f>
        <v>1.95</v>
      </c>
      <c r="K68" s="26">
        <f>_xll.ciqfunctions.udf.CIQ($C$2, "IQ_DILUT_EPS_EXCL", M$6,$F$2,,,Ccy,Conv)</f>
        <v>8.15</v>
      </c>
      <c r="L68" s="26">
        <f>_xll.ciqfunctions.udf.CIQ($C$2, "IQ_DILUT_EPS_EXCL", N$6,$F$2,,,Ccy,Conv)</f>
        <v>6.42</v>
      </c>
      <c r="M68" s="26"/>
      <c r="N68" s="26">
        <f>_xll.ciqfunctions.udf.CIQ($C$2, "IQ_DILUT_EPS_EXCL", P$6,$F$2,,,Ccy,Conv)</f>
        <v>6.42</v>
      </c>
      <c r="O68" s="220"/>
      <c r="P68" s="198"/>
      <c r="Q68" s="198"/>
      <c r="R68" s="198"/>
      <c r="S68" s="198"/>
      <c r="T68" s="205"/>
      <c r="U68" s="205"/>
      <c r="V68" s="205"/>
      <c r="W68" s="198"/>
      <c r="X68" s="198"/>
      <c r="Y68" s="198"/>
      <c r="Z68" s="198"/>
      <c r="AA68" s="198"/>
      <c r="AB68" s="198"/>
      <c r="AC68" s="198"/>
      <c r="AD68" s="198"/>
      <c r="AE68" s="198"/>
      <c r="AF68" s="198"/>
      <c r="AG68" s="198"/>
      <c r="AH68" s="198"/>
      <c r="AI68" s="198"/>
      <c r="AJ68" s="198"/>
      <c r="AK68" s="198"/>
      <c r="AL68" s="198"/>
      <c r="AM68" s="198"/>
      <c r="AN68" s="198"/>
      <c r="AO68" s="198"/>
      <c r="AP68" s="198"/>
      <c r="AQ68" s="198"/>
      <c r="AR68" s="198"/>
      <c r="AS68" s="198"/>
      <c r="AT68" s="198"/>
      <c r="AU68" s="198"/>
      <c r="AV68" s="198"/>
      <c r="AW68" s="198"/>
      <c r="AX68" s="198"/>
      <c r="AY68" s="198"/>
      <c r="AZ68" s="198"/>
      <c r="BA68" s="198"/>
      <c r="BB68" s="198"/>
      <c r="BC68" s="198"/>
      <c r="BD68" s="198"/>
      <c r="BE68" s="198"/>
      <c r="BF68" s="198"/>
      <c r="BG68" s="198"/>
      <c r="BH68" s="198"/>
      <c r="BI68" s="198"/>
      <c r="BJ68" s="198"/>
      <c r="BK68" s="198"/>
      <c r="BL68" s="198"/>
      <c r="BM68" s="198"/>
      <c r="BN68" s="198"/>
      <c r="BO68" s="198"/>
      <c r="BP68" s="198"/>
      <c r="BQ68" s="198"/>
      <c r="BR68" s="198"/>
      <c r="BS68" s="198"/>
      <c r="BT68" s="198"/>
      <c r="BU68" s="198"/>
      <c r="BV68" s="198"/>
      <c r="BW68" s="198"/>
      <c r="BX68" s="198"/>
    </row>
    <row r="69" spans="1:76" x14ac:dyDescent="0.25">
      <c r="A69" s="2" t="str">
        <f>'Language Index'!A91</f>
        <v>Weighted Avg. Diluted Shares Out.</v>
      </c>
      <c r="B69" s="27">
        <f>_xll.ciqfunctions.udf.CIQ($C$2, "IQ_DILUT_WEIGHT", D$6,$F$2)</f>
        <v>1010.00048</v>
      </c>
      <c r="C69" s="27">
        <f>_xll.ciqfunctions.udf.CIQ($C$2, "IQ_DILUT_WEIGHT", E$6,$F$2)</f>
        <v>982.70027000000005</v>
      </c>
      <c r="D69" s="27">
        <f>_xll.ciqfunctions.udf.CIQ($C$2, "IQ_DILUT_WEIGHT", F$6,$F$2)</f>
        <v>958.71410000000003</v>
      </c>
      <c r="E69" s="27">
        <f>_xll.ciqfunctions.udf.CIQ($C$2, "IQ_DILUT_WEIGHT", G$6,$F$2)</f>
        <v>937.38562999999999</v>
      </c>
      <c r="F69" s="27">
        <f>_xll.ciqfunctions.udf.CIQ($C$2, "IQ_DILUT_WEIGHT", H$6,$F$2)</f>
        <v>916.31570999999997</v>
      </c>
      <c r="G69" s="27">
        <f>_xll.ciqfunctions.udf.CIQ($C$2, "IQ_DILUT_WEIGHT", I$6,$F$2)</f>
        <v>892.81338000000005</v>
      </c>
      <c r="H69" s="27">
        <f>_xll.ciqfunctions.udf.CIQ($C$2, "IQ_DILUT_WEIGHT", J$6,$F$2)</f>
        <v>896.56397000000004</v>
      </c>
      <c r="I69" s="27">
        <f>_xll.ciqfunctions.udf.CIQ($C$2, "IQ_DILUT_WEIGHT", K$6,$F$2)</f>
        <v>904.64099999999996</v>
      </c>
      <c r="J69" s="27">
        <f>_xll.ciqfunctions.udf.CIQ($C$2, "IQ_DILUT_WEIGHT", L$6,$F$2)</f>
        <v>912.26905999999997</v>
      </c>
      <c r="K69" s="27">
        <f>_xll.ciqfunctions.udf.CIQ($C$2, "IQ_DILUT_WEIGHT", M$6,$F$2)</f>
        <v>922.07383000000004</v>
      </c>
      <c r="L69" s="27">
        <f>_xll.ciqfunctions.udf.CIQ($C$2, "IQ_DILUT_WEIGHT", N$6,$F$2)</f>
        <v>937.16121999999996</v>
      </c>
      <c r="M69" s="27"/>
      <c r="N69" s="27">
        <f>_xll.ciqfunctions.udf.CIQ($C$2, "IQ_DILUT_WEIGHT", P$6,$F$2)</f>
        <v>937.16121999999996</v>
      </c>
      <c r="O69" s="198"/>
      <c r="P69" s="198"/>
      <c r="Q69" s="198"/>
      <c r="R69" s="198"/>
      <c r="S69" s="198"/>
      <c r="T69" s="205"/>
      <c r="U69" s="205"/>
      <c r="V69" s="205"/>
      <c r="W69" s="198"/>
      <c r="X69" s="198"/>
      <c r="Y69" s="198"/>
      <c r="Z69" s="198"/>
      <c r="AA69" s="198"/>
      <c r="AB69" s="198"/>
      <c r="AC69" s="198"/>
      <c r="AD69" s="198"/>
      <c r="AE69" s="198"/>
      <c r="AF69" s="198"/>
      <c r="AG69" s="198"/>
      <c r="AH69" s="198"/>
      <c r="AI69" s="198"/>
      <c r="AJ69" s="198"/>
      <c r="AK69" s="198"/>
      <c r="AL69" s="198"/>
      <c r="AM69" s="198"/>
      <c r="AN69" s="198"/>
      <c r="AO69" s="198"/>
      <c r="AP69" s="198"/>
      <c r="AQ69" s="198"/>
      <c r="AR69" s="198"/>
      <c r="AS69" s="198"/>
      <c r="AT69" s="198"/>
      <c r="AU69" s="198"/>
      <c r="AV69" s="198"/>
      <c r="AW69" s="198"/>
      <c r="AX69" s="198"/>
      <c r="AY69" s="198"/>
      <c r="AZ69" s="198"/>
      <c r="BA69" s="198"/>
      <c r="BB69" s="198"/>
      <c r="BC69" s="198"/>
      <c r="BD69" s="198"/>
      <c r="BE69" s="198"/>
      <c r="BF69" s="198"/>
      <c r="BG69" s="198"/>
      <c r="BH69" s="198"/>
      <c r="BI69" s="198"/>
      <c r="BJ69" s="198"/>
      <c r="BK69" s="198"/>
      <c r="BL69" s="198"/>
      <c r="BM69" s="198"/>
      <c r="BN69" s="198"/>
      <c r="BO69" s="198"/>
      <c r="BP69" s="198"/>
      <c r="BQ69" s="198"/>
      <c r="BR69" s="198"/>
      <c r="BS69" s="198"/>
      <c r="BT69" s="198"/>
      <c r="BU69" s="198"/>
      <c r="BV69" s="198"/>
      <c r="BW69" s="198"/>
      <c r="BX69" s="198"/>
    </row>
    <row r="70" spans="1:76" x14ac:dyDescent="0.25">
      <c r="A70" s="2" t="str">
        <f>'Language Index'!A92</f>
        <v>Normalized Basic EPS</v>
      </c>
      <c r="B70" s="26">
        <f>_xll.ciqfunctions.udf.CIQ($C$2, "IQ_EPS_NORM", D$6,$F$2,,,Ccy,Conv)</f>
        <v>13.282</v>
      </c>
      <c r="C70" s="26">
        <f>_xll.ciqfunctions.udf.CIQ($C$2, "IQ_EPS_NORM", E$6,$F$2,,,Ccy,Conv)</f>
        <v>10.740159999999999</v>
      </c>
      <c r="D70" s="26">
        <f>_xll.ciqfunctions.udf.CIQ($C$2, "IQ_EPS_NORM", F$6,$F$2,,,Ccy,Conv)</f>
        <v>8.7821099999999994</v>
      </c>
      <c r="E70" s="26">
        <f>_xll.ciqfunctions.udf.CIQ($C$2, "IQ_EPS_NORM", G$6,$F$2,,,Ccy,Conv)</f>
        <v>7.6380600000000003</v>
      </c>
      <c r="F70" s="26">
        <f>_xll.ciqfunctions.udf.CIQ($C$2, "IQ_EPS_NORM", H$6,$F$2,,,Ccy,Conv)</f>
        <v>7.7723399999999998</v>
      </c>
      <c r="G70" s="26">
        <f>_xll.ciqfunctions.udf.CIQ($C$2, "IQ_EPS_NORM", I$6,$F$2,,,Ccy,Conv)</f>
        <v>4.5393800000000004</v>
      </c>
      <c r="H70" s="26">
        <f>_xll.ciqfunctions.udf.CIQ($C$2, "IQ_EPS_NORM", J$6,$F$2,,,Ccy,Conv)</f>
        <v>1.8054699999999999</v>
      </c>
      <c r="I70" s="26">
        <f>_xll.ciqfunctions.udf.CIQ($C$2, "IQ_EPS_NORM", K$6,$F$2,,,Ccy,Conv)</f>
        <v>3.2812800000000002</v>
      </c>
      <c r="J70" s="26">
        <f>_xll.ciqfunctions.udf.CIQ($C$2, "IQ_EPS_NORM", L$6,$F$2,,,Ccy,Conv)</f>
        <v>5.0738700000000003</v>
      </c>
      <c r="K70" s="26">
        <f>_xll.ciqfunctions.udf.CIQ($C$2, "IQ_EPS_NORM", M$6,$F$2,,,Ccy,Conv)</f>
        <v>6.2567899999999996</v>
      </c>
      <c r="L70" s="26">
        <f>_xll.ciqfunctions.udf.CIQ($C$2, "IQ_EPS_NORM", N$6,$F$2,,,Ccy,Conv)</f>
        <v>6.5831400000000002</v>
      </c>
      <c r="M70" s="26"/>
      <c r="N70" s="26">
        <f>_xll.ciqfunctions.udf.CIQ($C$2, "IQ_EPS_NORM", P$6,$F$2,,,Ccy,Conv)</f>
        <v>6.5831400000000002</v>
      </c>
      <c r="O70" s="198"/>
      <c r="P70" s="198"/>
      <c r="Q70" s="198"/>
      <c r="R70" s="198"/>
      <c r="S70" s="198"/>
      <c r="T70" s="205"/>
      <c r="U70" s="205"/>
      <c r="V70" s="205"/>
      <c r="W70" s="198"/>
      <c r="X70" s="198"/>
      <c r="Y70" s="198"/>
      <c r="Z70" s="198"/>
      <c r="AA70" s="198"/>
      <c r="AB70" s="198"/>
      <c r="AC70" s="198"/>
      <c r="AD70" s="198"/>
      <c r="AE70" s="198"/>
      <c r="AF70" s="198"/>
      <c r="AG70" s="198"/>
      <c r="AH70" s="198"/>
      <c r="AI70" s="198"/>
      <c r="AJ70" s="198"/>
      <c r="AK70" s="198"/>
      <c r="AL70" s="198"/>
      <c r="AM70" s="198"/>
      <c r="AN70" s="198"/>
      <c r="AO70" s="198"/>
      <c r="AP70" s="198"/>
      <c r="AQ70" s="198"/>
      <c r="AR70" s="198"/>
      <c r="AS70" s="198"/>
      <c r="AT70" s="198"/>
      <c r="AU70" s="198"/>
      <c r="AV70" s="198"/>
      <c r="AW70" s="198"/>
      <c r="AX70" s="198"/>
      <c r="AY70" s="198"/>
      <c r="AZ70" s="198"/>
      <c r="BA70" s="198"/>
      <c r="BB70" s="198"/>
      <c r="BC70" s="198"/>
      <c r="BD70" s="198"/>
      <c r="BE70" s="198"/>
      <c r="BF70" s="198"/>
      <c r="BG70" s="198"/>
      <c r="BH70" s="198"/>
      <c r="BI70" s="198"/>
      <c r="BJ70" s="198"/>
      <c r="BK70" s="198"/>
      <c r="BL70" s="198"/>
      <c r="BM70" s="198"/>
      <c r="BN70" s="198"/>
      <c r="BO70" s="198"/>
      <c r="BP70" s="198"/>
      <c r="BQ70" s="198"/>
      <c r="BR70" s="198"/>
      <c r="BS70" s="198"/>
      <c r="BT70" s="198"/>
      <c r="BU70" s="198"/>
      <c r="BV70" s="198"/>
      <c r="BW70" s="198"/>
      <c r="BX70" s="198"/>
    </row>
    <row r="71" spans="1:76" x14ac:dyDescent="0.25">
      <c r="A71" s="2" t="str">
        <f>'Language Index'!A93</f>
        <v>Normalized Diluted EPS</v>
      </c>
      <c r="B71" s="26">
        <f>_xll.ciqfunctions.udf.CIQ($C$2, "IQ_DILUT_EPS_NORM", D$6,$F$2,,,Ccy,Conv)</f>
        <v>13.20668</v>
      </c>
      <c r="C71" s="26">
        <f>_xll.ciqfunctions.udf.CIQ($C$2, "IQ_DILUT_EPS_NORM", E$6,$F$2,,,Ccy,Conv)</f>
        <v>10.69693</v>
      </c>
      <c r="D71" s="26">
        <f>_xll.ciqfunctions.udf.CIQ($C$2, "IQ_DILUT_EPS_NORM", F$6,$F$2,,,Ccy,Conv)</f>
        <v>8.7519600000000004</v>
      </c>
      <c r="E71" s="26">
        <f>_xll.ciqfunctions.udf.CIQ($C$2, "IQ_DILUT_EPS_NORM", G$6,$F$2,,,Ccy,Conv)</f>
        <v>7.60093</v>
      </c>
      <c r="F71" s="26">
        <f>_xll.ciqfunctions.udf.CIQ($C$2, "IQ_DILUT_EPS_NORM", H$6,$F$2,,,Ccy,Conv)</f>
        <v>7.7361399999999998</v>
      </c>
      <c r="G71" s="26">
        <f>_xll.ciqfunctions.udf.CIQ($C$2, "IQ_DILUT_EPS_NORM", I$6,$F$2,,,Ccy,Conv)</f>
        <v>4.5110200000000003</v>
      </c>
      <c r="H71" s="26">
        <f>_xll.ciqfunctions.udf.CIQ($C$2, "IQ_DILUT_EPS_NORM", J$6,$F$2,,,Ccy,Conv)</f>
        <v>1.7929600000000001</v>
      </c>
      <c r="I71" s="26">
        <f>_xll.ciqfunctions.udf.CIQ($C$2, "IQ_DILUT_EPS_NORM", K$6,$F$2,,,Ccy,Conv)</f>
        <v>3.2499099999999999</v>
      </c>
      <c r="J71" s="26">
        <f>_xll.ciqfunctions.udf.CIQ($C$2, "IQ_DILUT_EPS_NORM", L$6,$F$2,,,Ccy,Conv)</f>
        <v>5.0204500000000003</v>
      </c>
      <c r="K71" s="26">
        <f>_xll.ciqfunctions.udf.CIQ($C$2, "IQ_DILUT_EPS_NORM", M$6,$F$2,,,Ccy,Conv)</f>
        <v>6.1830699999999998</v>
      </c>
      <c r="L71" s="26">
        <f>_xll.ciqfunctions.udf.CIQ($C$2, "IQ_DILUT_EPS_NORM", N$6,$F$2,,,Ccy,Conv)</f>
        <v>6.4750100000000002</v>
      </c>
      <c r="M71" s="26"/>
      <c r="N71" s="26">
        <f>_xll.ciqfunctions.udf.CIQ($C$2, "IQ_DILUT_EPS_NORM", P$6,$F$2,,,Ccy,Conv)</f>
        <v>6.4750100000000002</v>
      </c>
      <c r="O71" s="198"/>
      <c r="P71" s="198"/>
      <c r="Q71" s="198"/>
      <c r="R71" s="198"/>
      <c r="S71" s="198"/>
      <c r="T71" s="205"/>
      <c r="U71" s="205"/>
      <c r="V71" s="205"/>
      <c r="W71" s="198"/>
      <c r="X71" s="198"/>
      <c r="Y71" s="198"/>
      <c r="Z71" s="198"/>
      <c r="AA71" s="198"/>
      <c r="AB71" s="198"/>
      <c r="AC71" s="198"/>
      <c r="AD71" s="198"/>
      <c r="AE71" s="198"/>
      <c r="AF71" s="198"/>
      <c r="AG71" s="198"/>
      <c r="AH71" s="198"/>
      <c r="AI71" s="198"/>
      <c r="AJ71" s="198"/>
      <c r="AK71" s="198"/>
      <c r="AL71" s="198"/>
      <c r="AM71" s="198"/>
      <c r="AN71" s="198"/>
      <c r="AO71" s="198"/>
      <c r="AP71" s="198"/>
      <c r="AQ71" s="198"/>
      <c r="AR71" s="198"/>
      <c r="AS71" s="198"/>
      <c r="AT71" s="198"/>
      <c r="AU71" s="198"/>
      <c r="AV71" s="198"/>
      <c r="AW71" s="198"/>
      <c r="AX71" s="198"/>
      <c r="AY71" s="198"/>
      <c r="AZ71" s="198"/>
      <c r="BA71" s="198"/>
      <c r="BB71" s="198"/>
      <c r="BC71" s="198"/>
      <c r="BD71" s="198"/>
      <c r="BE71" s="198"/>
      <c r="BF71" s="198"/>
      <c r="BG71" s="198"/>
      <c r="BH71" s="198"/>
      <c r="BI71" s="198"/>
      <c r="BJ71" s="198"/>
      <c r="BK71" s="198"/>
      <c r="BL71" s="198"/>
      <c r="BM71" s="198"/>
      <c r="BN71" s="198"/>
      <c r="BO71" s="198"/>
      <c r="BP71" s="198"/>
      <c r="BQ71" s="198"/>
      <c r="BR71" s="198"/>
      <c r="BS71" s="198"/>
      <c r="BT71" s="198"/>
      <c r="BU71" s="198"/>
      <c r="BV71" s="198"/>
      <c r="BW71" s="198"/>
      <c r="BX71" s="198"/>
    </row>
    <row r="72" spans="1:76" x14ac:dyDescent="0.25">
      <c r="A72" s="2" t="str">
        <f>'Language Index'!A94</f>
        <v>Distributable Cash per Share (Diluted)</v>
      </c>
      <c r="B72" s="18">
        <f>_xll.ciqfunctions.udf.CIQ($C$2, "IQ_DISTRIBUTABLE_CASH_PER_SHARE_DILUTED", D$6,$F$2,,,Ccy,Conv)</f>
        <v>0</v>
      </c>
      <c r="C72" s="18">
        <f>_xll.ciqfunctions.udf.CIQ($C$2, "IQ_DISTRIBUTABLE_CASH_PER_SHARE_DILUTED", E$6,$F$2,,,Ccy,Conv)</f>
        <v>0</v>
      </c>
      <c r="D72" s="18">
        <f>_xll.ciqfunctions.udf.CIQ($C$2, "IQ_DISTRIBUTABLE_CASH_PER_SHARE_DILUTED", F$6,$F$2,,,Ccy,Conv)</f>
        <v>0</v>
      </c>
      <c r="E72" s="18">
        <f>_xll.ciqfunctions.udf.CIQ($C$2, "IQ_DISTRIBUTABLE_CASH_PER_SHARE_DILUTED", G$6,$F$2,,,Ccy,Conv)</f>
        <v>0</v>
      </c>
      <c r="F72" s="18">
        <f>_xll.ciqfunctions.udf.CIQ($C$2, "IQ_DISTRIBUTABLE_CASH_PER_SHARE_DILUTED", H$6,$F$2,,,Ccy,Conv)</f>
        <v>0</v>
      </c>
      <c r="G72" s="18">
        <f>_xll.ciqfunctions.udf.CIQ($C$2, "IQ_DISTRIBUTABLE_CASH_PER_SHARE_DILUTED", I$6,$F$2,,,Ccy,Conv)</f>
        <v>0</v>
      </c>
      <c r="H72" s="18">
        <f>_xll.ciqfunctions.udf.CIQ($C$2, "IQ_DISTRIBUTABLE_CASH_PER_SHARE_DILUTED", J$6,$F$2,,,Ccy,Conv)</f>
        <v>0</v>
      </c>
      <c r="I72" s="18">
        <f>_xll.ciqfunctions.udf.CIQ($C$2, "IQ_DISTRIBUTABLE_CASH_PER_SHARE_DILUTED", K$6,$F$2,,,Ccy,Conv)</f>
        <v>0</v>
      </c>
      <c r="J72" s="18">
        <f>_xll.ciqfunctions.udf.CIQ($C$2, "IQ_DISTRIBUTABLE_CASH_PER_SHARE_DILUTED", L$6,$F$2,,,Ccy,Conv)</f>
        <v>0</v>
      </c>
      <c r="K72" s="18">
        <f>_xll.ciqfunctions.udf.CIQ($C$2, "IQ_DISTRIBUTABLE_CASH_PER_SHARE_DILUTED", M$6,$F$2,,,Ccy,Conv)</f>
        <v>0</v>
      </c>
      <c r="L72" s="18">
        <f>_xll.ciqfunctions.udf.CIQ($C$2, "IQ_DISTRIBUTABLE_CASH_PER_SHARE_DILUTED", N$6,$F$2,,,Ccy,Conv)</f>
        <v>0</v>
      </c>
      <c r="M72" s="18"/>
      <c r="N72" s="18">
        <f>_xll.ciqfunctions.udf.CIQ($C$2, "IQ_DISTRIBUTABLE_CASH_PER_SHARE_DILUTED", P$6,$F$2,,,Ccy,Conv)</f>
        <v>0</v>
      </c>
      <c r="O72" s="198"/>
      <c r="P72" s="198"/>
      <c r="Q72" s="198"/>
      <c r="R72" s="198"/>
      <c r="S72" s="198"/>
      <c r="T72" s="218"/>
      <c r="U72" s="218"/>
      <c r="V72" s="218"/>
      <c r="W72" s="220"/>
      <c r="X72" s="220"/>
      <c r="Y72" s="220"/>
      <c r="Z72" s="220"/>
      <c r="AA72" s="220"/>
      <c r="AB72" s="220"/>
      <c r="AC72" s="198"/>
      <c r="AD72" s="198"/>
      <c r="AE72" s="198"/>
      <c r="AF72" s="220"/>
      <c r="AG72" s="198"/>
      <c r="AH72" s="198"/>
      <c r="AI72" s="198"/>
      <c r="AJ72" s="198"/>
      <c r="AK72" s="198"/>
      <c r="AL72" s="198"/>
      <c r="AM72" s="198"/>
      <c r="AN72" s="198"/>
      <c r="AO72" s="198"/>
      <c r="AP72" s="198"/>
      <c r="AQ72" s="198"/>
      <c r="AR72" s="198"/>
      <c r="AS72" s="198"/>
      <c r="AT72" s="198"/>
      <c r="AU72" s="198"/>
      <c r="AV72" s="198"/>
      <c r="AW72" s="198"/>
      <c r="AX72" s="198"/>
      <c r="AY72" s="198"/>
      <c r="AZ72" s="198"/>
      <c r="BA72" s="198"/>
      <c r="BB72" s="198"/>
      <c r="BC72" s="198"/>
      <c r="BD72" s="198"/>
      <c r="BE72" s="198"/>
      <c r="BF72" s="198"/>
      <c r="BG72" s="198"/>
      <c r="BH72" s="198"/>
      <c r="BI72" s="198"/>
      <c r="BJ72" s="198"/>
      <c r="BK72" s="198"/>
      <c r="BL72" s="198"/>
      <c r="BM72" s="198"/>
      <c r="BN72" s="198"/>
      <c r="BO72" s="198"/>
      <c r="BP72" s="198"/>
      <c r="BQ72" s="198"/>
      <c r="BR72" s="198"/>
      <c r="BS72" s="198"/>
      <c r="BT72" s="198"/>
      <c r="BU72" s="198"/>
      <c r="BV72" s="198"/>
      <c r="BW72" s="198"/>
      <c r="BX72" s="198"/>
    </row>
    <row r="73" spans="1:76" x14ac:dyDescent="0.25">
      <c r="A73" s="2" t="str">
        <f>'Language Index'!A95</f>
        <v>Distributable Cash Shares (Basic)</v>
      </c>
      <c r="B73" s="18">
        <f>_xll.ciqfunctions.udf.CIQ($C$2, "IQ_DISTRIBUTABLE_CASH_SHARES_BASIC", D$6,$F$2)</f>
        <v>0</v>
      </c>
      <c r="C73" s="18">
        <f>_xll.ciqfunctions.udf.CIQ($C$2, "IQ_DISTRIBUTABLE_CASH_SHARES_BASIC", E$6,$F$2)</f>
        <v>0</v>
      </c>
      <c r="D73" s="18">
        <f>_xll.ciqfunctions.udf.CIQ($C$2, "IQ_DISTRIBUTABLE_CASH_SHARES_BASIC", F$6,$F$2)</f>
        <v>0</v>
      </c>
      <c r="E73" s="18">
        <f>_xll.ciqfunctions.udf.CIQ($C$2, "IQ_DISTRIBUTABLE_CASH_SHARES_BASIC", G$6,$F$2)</f>
        <v>0</v>
      </c>
      <c r="F73" s="18">
        <f>_xll.ciqfunctions.udf.CIQ($C$2, "IQ_DISTRIBUTABLE_CASH_SHARES_BASIC", H$6,$F$2)</f>
        <v>0</v>
      </c>
      <c r="G73" s="18">
        <f>_xll.ciqfunctions.udf.CIQ($C$2, "IQ_DISTRIBUTABLE_CASH_SHARES_BASIC", I$6,$F$2)</f>
        <v>0</v>
      </c>
      <c r="H73" s="18">
        <f>_xll.ciqfunctions.udf.CIQ($C$2, "IQ_DISTRIBUTABLE_CASH_SHARES_BASIC", J$6,$F$2)</f>
        <v>0</v>
      </c>
      <c r="I73" s="18">
        <f>_xll.ciqfunctions.udf.CIQ($C$2, "IQ_DISTRIBUTABLE_CASH_SHARES_BASIC", K$6,$F$2)</f>
        <v>0</v>
      </c>
      <c r="J73" s="18">
        <f>_xll.ciqfunctions.udf.CIQ($C$2, "IQ_DISTRIBUTABLE_CASH_SHARES_BASIC", L$6,$F$2)</f>
        <v>0</v>
      </c>
      <c r="K73" s="18">
        <f>_xll.ciqfunctions.udf.CIQ($C$2, "IQ_DISTRIBUTABLE_CASH_SHARES_BASIC", M$6,$F$2)</f>
        <v>0</v>
      </c>
      <c r="L73" s="18">
        <f>_xll.ciqfunctions.udf.CIQ($C$2, "IQ_DISTRIBUTABLE_CASH_SHARES_BASIC", N$6,$F$2)</f>
        <v>0</v>
      </c>
      <c r="M73" s="18"/>
      <c r="N73" s="18">
        <f>_xll.ciqfunctions.udf.CIQ($C$2, "IQ_DISTRIBUTABLE_CASH_SHARES_BASIC", P$6,$F$2)</f>
        <v>0</v>
      </c>
      <c r="O73" s="221"/>
      <c r="P73" s="198"/>
      <c r="Q73" s="198"/>
      <c r="R73" s="198"/>
      <c r="S73" s="198"/>
      <c r="T73" s="219"/>
      <c r="U73" s="219"/>
      <c r="V73" s="219"/>
      <c r="W73" s="220"/>
      <c r="X73" s="220"/>
      <c r="Y73" s="220"/>
      <c r="Z73" s="220"/>
      <c r="AA73" s="220"/>
      <c r="AB73" s="220"/>
      <c r="AC73" s="198"/>
      <c r="AD73" s="198"/>
      <c r="AE73" s="198"/>
      <c r="AF73" s="220"/>
      <c r="AG73" s="198"/>
      <c r="AH73" s="198"/>
      <c r="AI73" s="198"/>
      <c r="AJ73" s="198"/>
      <c r="AK73" s="198"/>
      <c r="AL73" s="198"/>
      <c r="AM73" s="198"/>
      <c r="AN73" s="198"/>
      <c r="AO73" s="198"/>
      <c r="AP73" s="198"/>
      <c r="AQ73" s="198"/>
      <c r="AR73" s="198"/>
      <c r="AS73" s="198"/>
      <c r="AT73" s="198"/>
      <c r="AU73" s="198"/>
      <c r="AV73" s="198"/>
      <c r="AW73" s="198"/>
      <c r="AX73" s="198"/>
      <c r="AY73" s="198"/>
      <c r="AZ73" s="198"/>
      <c r="BA73" s="198"/>
      <c r="BB73" s="198"/>
      <c r="BC73" s="198"/>
      <c r="BD73" s="198"/>
      <c r="BE73" s="198"/>
      <c r="BF73" s="198"/>
      <c r="BG73" s="198"/>
      <c r="BH73" s="198"/>
      <c r="BI73" s="198"/>
      <c r="BJ73" s="198"/>
      <c r="BK73" s="198"/>
      <c r="BL73" s="198"/>
      <c r="BM73" s="198"/>
      <c r="BN73" s="198"/>
      <c r="BO73" s="198"/>
      <c r="BP73" s="198"/>
      <c r="BQ73" s="198"/>
      <c r="BR73" s="198"/>
      <c r="BS73" s="198"/>
      <c r="BT73" s="198"/>
      <c r="BU73" s="198"/>
      <c r="BV73" s="198"/>
      <c r="BW73" s="198"/>
      <c r="BX73" s="198"/>
    </row>
    <row r="74" spans="1:76" x14ac:dyDescent="0.25">
      <c r="A74" s="2" t="str">
        <f>'Language Index'!A96</f>
        <v>Distributable Cash Shares (Diluted)</v>
      </c>
      <c r="B74" s="18">
        <f>_xll.ciqfunctions.udf.CIQ($C$2, "IQ_DISTRIBUTABLE_CASH_SHARES_DILUTED", D$6,$F$2)</f>
        <v>0</v>
      </c>
      <c r="C74" s="18">
        <f>_xll.ciqfunctions.udf.CIQ($C$2, "IQ_DISTRIBUTABLE_CASH_SHARES_DILUTED", E$6,$F$2)</f>
        <v>0</v>
      </c>
      <c r="D74" s="18">
        <f>_xll.ciqfunctions.udf.CIQ($C$2, "IQ_DISTRIBUTABLE_CASH_SHARES_DILUTED", F$6,$F$2)</f>
        <v>0</v>
      </c>
      <c r="E74" s="18">
        <f>_xll.ciqfunctions.udf.CIQ($C$2, "IQ_DISTRIBUTABLE_CASH_SHARES_DILUTED", G$6,$F$2)</f>
        <v>0</v>
      </c>
      <c r="F74" s="18">
        <f>_xll.ciqfunctions.udf.CIQ($C$2, "IQ_DISTRIBUTABLE_CASH_SHARES_DILUTED", H$6,$F$2)</f>
        <v>0</v>
      </c>
      <c r="G74" s="18">
        <f>_xll.ciqfunctions.udf.CIQ($C$2, "IQ_DISTRIBUTABLE_CASH_SHARES_DILUTED", I$6,$F$2)</f>
        <v>0</v>
      </c>
      <c r="H74" s="18">
        <f>_xll.ciqfunctions.udf.CIQ($C$2, "IQ_DISTRIBUTABLE_CASH_SHARES_DILUTED", J$6,$F$2)</f>
        <v>0</v>
      </c>
      <c r="I74" s="18">
        <f>_xll.ciqfunctions.udf.CIQ($C$2, "IQ_DISTRIBUTABLE_CASH_SHARES_DILUTED", K$6,$F$2)</f>
        <v>0</v>
      </c>
      <c r="J74" s="18">
        <f>_xll.ciqfunctions.udf.CIQ($C$2, "IQ_DISTRIBUTABLE_CASH_SHARES_DILUTED", L$6,$F$2)</f>
        <v>0</v>
      </c>
      <c r="K74" s="18">
        <f>_xll.ciqfunctions.udf.CIQ($C$2, "IQ_DISTRIBUTABLE_CASH_SHARES_DILUTED", M$6,$F$2)</f>
        <v>0</v>
      </c>
      <c r="L74" s="18">
        <f>_xll.ciqfunctions.udf.CIQ($C$2, "IQ_DISTRIBUTABLE_CASH_SHARES_DILUTED", N$6,$F$2)</f>
        <v>0</v>
      </c>
      <c r="M74" s="18"/>
      <c r="N74" s="18">
        <f>_xll.ciqfunctions.udf.CIQ($C$2, "IQ_DISTRIBUTABLE_CASH_SHARES_DILUTED", P$6,$F$2)</f>
        <v>0</v>
      </c>
      <c r="O74" s="221"/>
      <c r="P74" s="198"/>
      <c r="Q74" s="198"/>
      <c r="R74" s="198"/>
      <c r="S74" s="198"/>
      <c r="T74" s="219"/>
      <c r="U74" s="219"/>
      <c r="V74" s="219"/>
      <c r="W74" s="220"/>
      <c r="X74" s="220"/>
      <c r="Y74" s="220"/>
      <c r="Z74" s="220"/>
      <c r="AA74" s="220"/>
      <c r="AB74" s="220"/>
      <c r="AC74" s="198"/>
      <c r="AD74" s="198"/>
      <c r="AE74" s="198"/>
      <c r="AF74" s="220"/>
      <c r="AG74" s="198"/>
      <c r="AH74" s="198"/>
      <c r="AI74" s="198"/>
      <c r="AJ74" s="198"/>
      <c r="AK74" s="198"/>
      <c r="AL74" s="198"/>
      <c r="AM74" s="198"/>
      <c r="AN74" s="198"/>
      <c r="AO74" s="198"/>
      <c r="AP74" s="198"/>
      <c r="AQ74" s="198"/>
      <c r="AR74" s="198"/>
      <c r="AS74" s="198"/>
      <c r="AT74" s="198"/>
      <c r="AU74" s="198"/>
      <c r="AV74" s="198"/>
      <c r="AW74" s="198"/>
      <c r="AX74" s="198"/>
      <c r="AY74" s="198"/>
      <c r="AZ74" s="198"/>
      <c r="BA74" s="198"/>
      <c r="BB74" s="198"/>
      <c r="BC74" s="198"/>
      <c r="BD74" s="198"/>
      <c r="BE74" s="198"/>
      <c r="BF74" s="198"/>
      <c r="BG74" s="198"/>
      <c r="BH74" s="198"/>
      <c r="BI74" s="198"/>
      <c r="BJ74" s="198"/>
      <c r="BK74" s="198"/>
      <c r="BL74" s="198"/>
      <c r="BM74" s="198"/>
      <c r="BN74" s="198"/>
      <c r="BO74" s="198"/>
      <c r="BP74" s="198"/>
      <c r="BQ74" s="198"/>
      <c r="BR74" s="198"/>
      <c r="BS74" s="198"/>
      <c r="BT74" s="198"/>
      <c r="BU74" s="198"/>
      <c r="BV74" s="198"/>
      <c r="BW74" s="198"/>
      <c r="BX74" s="198"/>
    </row>
    <row r="75" spans="1:76" x14ac:dyDescent="0.25">
      <c r="A75" s="2" t="str">
        <f>'Language Index'!A97</f>
        <v>Dividends per Share</v>
      </c>
      <c r="B75" s="26">
        <f>_xll.ciqfunctions.udf.CIQ($C$2, "IQ_DIV_SHARE", D$6,$F$2,,,Ccy,Conv)</f>
        <v>4.25</v>
      </c>
      <c r="C75" s="26">
        <f>_xll.ciqfunctions.udf.CIQ($C$2, "IQ_DIV_SHARE", E$6,$F$2,,,Ccy,Conv)</f>
        <v>5</v>
      </c>
      <c r="D75" s="26">
        <f>_xll.ciqfunctions.udf.CIQ($C$2, "IQ_DIV_SHARE", F$6,$F$2,,,Ccy,Conv)</f>
        <v>5.5</v>
      </c>
      <c r="E75" s="26">
        <f>_xll.ciqfunctions.udf.CIQ($C$2, "IQ_DIV_SHARE", G$6,$F$2,,,Ccy,Conv)</f>
        <v>5.9</v>
      </c>
      <c r="F75" s="26">
        <f>_xll.ciqfunctions.udf.CIQ($C$2, "IQ_DIV_SHARE", H$6,$F$2,,,Ccy,Conv)</f>
        <v>6.21</v>
      </c>
      <c r="G75" s="26">
        <f>_xll.ciqfunctions.udf.CIQ($C$2, "IQ_DIV_SHARE", I$6,$F$2,,,Ccy,Conv)</f>
        <v>6.43</v>
      </c>
      <c r="H75" s="26">
        <f>_xll.ciqfunctions.udf.CIQ($C$2, "IQ_DIV_SHARE", J$6,$F$2,,,Ccy,Conv)</f>
        <v>6.51</v>
      </c>
      <c r="I75" s="26">
        <f>_xll.ciqfunctions.udf.CIQ($C$2, "IQ_DIV_SHARE", K$6,$F$2,,,Ccy,Conv)</f>
        <v>6.55</v>
      </c>
      <c r="J75" s="26">
        <f>_xll.ciqfunctions.udf.CIQ($C$2, "IQ_DIV_SHARE", L$6,$F$2,,,Ccy,Conv)</f>
        <v>6.59</v>
      </c>
      <c r="K75" s="26">
        <f>_xll.ciqfunctions.udf.CIQ($C$2, "IQ_DIV_SHARE", M$6,$F$2,,,Ccy,Conv)</f>
        <v>6.63</v>
      </c>
      <c r="L75" s="26">
        <f>_xll.ciqfunctions.udf.CIQ($C$2, "IQ_DIV_SHARE", N$6,$F$2,,,Ccy,Conv)</f>
        <v>6.67</v>
      </c>
      <c r="M75" s="26"/>
      <c r="N75" s="26">
        <f>_xll.ciqfunctions.udf.CIQ($C$2, "IQ_DIV_SHARE", P$6,$F$2,,,Ccy,Conv)</f>
        <v>6.67</v>
      </c>
      <c r="O75" s="217"/>
      <c r="P75" s="198"/>
      <c r="Q75" s="198"/>
      <c r="R75" s="198"/>
      <c r="S75" s="198"/>
      <c r="T75" s="219"/>
      <c r="U75" s="219"/>
      <c r="V75" s="219"/>
      <c r="W75" s="220"/>
      <c r="X75" s="220"/>
      <c r="Y75" s="220"/>
      <c r="Z75" s="220"/>
      <c r="AA75" s="220"/>
      <c r="AB75" s="220"/>
      <c r="AC75" s="198"/>
      <c r="AD75" s="198"/>
      <c r="AE75" s="198"/>
      <c r="AF75" s="220"/>
      <c r="AG75" s="198"/>
      <c r="AH75" s="198"/>
      <c r="AI75" s="198"/>
      <c r="AJ75" s="198"/>
      <c r="AK75" s="198"/>
      <c r="AL75" s="198"/>
      <c r="AM75" s="198"/>
      <c r="AN75" s="198"/>
      <c r="AO75" s="198"/>
      <c r="AP75" s="198"/>
      <c r="AQ75" s="198"/>
      <c r="AR75" s="198"/>
      <c r="AS75" s="198"/>
      <c r="AT75" s="198"/>
      <c r="AU75" s="198"/>
      <c r="AV75" s="198"/>
      <c r="AW75" s="198"/>
      <c r="AX75" s="198"/>
      <c r="AY75" s="198"/>
      <c r="AZ75" s="198"/>
      <c r="BA75" s="198"/>
      <c r="BB75" s="198"/>
      <c r="BC75" s="198"/>
      <c r="BD75" s="198"/>
      <c r="BE75" s="198"/>
      <c r="BF75" s="198"/>
      <c r="BG75" s="198"/>
      <c r="BH75" s="198"/>
      <c r="BI75" s="198"/>
      <c r="BJ75" s="198"/>
      <c r="BK75" s="198"/>
      <c r="BL75" s="198"/>
      <c r="BM75" s="198"/>
      <c r="BN75" s="198"/>
      <c r="BO75" s="198"/>
      <c r="BP75" s="198"/>
      <c r="BQ75" s="198"/>
      <c r="BR75" s="198"/>
      <c r="BS75" s="198"/>
      <c r="BT75" s="198"/>
      <c r="BU75" s="198"/>
      <c r="BV75" s="198"/>
      <c r="BW75" s="198"/>
      <c r="BX75" s="198"/>
    </row>
    <row r="76" spans="1:76" x14ac:dyDescent="0.25">
      <c r="A76" s="2" t="str">
        <f>'Language Index'!A98</f>
        <v>Shares per Depository Receipt</v>
      </c>
      <c r="B76" s="18">
        <f>_xll.ciqfunctions.udf.CIQ($C$2, "IQ_DR_RATIO_PRIMARY", D$6,$F$2)</f>
        <v>1</v>
      </c>
      <c r="C76" s="18">
        <f>_xll.ciqfunctions.udf.CIQ($C$2, "IQ_DR_RATIO_PRIMARY", E$6,$F$2)</f>
        <v>1</v>
      </c>
      <c r="D76" s="18">
        <f>_xll.ciqfunctions.udf.CIQ($C$2, "IQ_DR_RATIO_PRIMARY", F$6,$F$2)</f>
        <v>1</v>
      </c>
      <c r="E76" s="18">
        <f>_xll.ciqfunctions.udf.CIQ($C$2, "IQ_DR_RATIO_PRIMARY", G$6,$F$2)</f>
        <v>1</v>
      </c>
      <c r="F76" s="18">
        <f>_xll.ciqfunctions.udf.CIQ($C$2, "IQ_DR_RATIO_PRIMARY", H$6,$F$2)</f>
        <v>1</v>
      </c>
      <c r="G76" s="18">
        <f>_xll.ciqfunctions.udf.CIQ($C$2, "IQ_DR_RATIO_PRIMARY", I$6,$F$2)</f>
        <v>1</v>
      </c>
      <c r="H76" s="18">
        <f>_xll.ciqfunctions.udf.CIQ($C$2, "IQ_DR_RATIO_PRIMARY", J$6,$F$2)</f>
        <v>1</v>
      </c>
      <c r="I76" s="18">
        <f>_xll.ciqfunctions.udf.CIQ($C$2, "IQ_DR_RATIO_PRIMARY", K$6,$F$2)</f>
        <v>1</v>
      </c>
      <c r="J76" s="18">
        <f>_xll.ciqfunctions.udf.CIQ($C$2, "IQ_DR_RATIO_PRIMARY", L$6,$F$2)</f>
        <v>1</v>
      </c>
      <c r="K76" s="18">
        <f>_xll.ciqfunctions.udf.CIQ($C$2, "IQ_DR_RATIO_PRIMARY", M$6,$F$2)</f>
        <v>1</v>
      </c>
      <c r="L76" s="18">
        <f>_xll.ciqfunctions.udf.CIQ($C$2, "IQ_DR_RATIO_PRIMARY", N$6,$F$2)</f>
        <v>1</v>
      </c>
      <c r="M76" s="18"/>
      <c r="N76" s="18">
        <f>_xll.ciqfunctions.udf.CIQ($C$2, "IQ_DR_RATIO_PRIMARY", P$6,$F$2)</f>
        <v>1</v>
      </c>
      <c r="O76" s="220"/>
      <c r="P76" s="198"/>
      <c r="Q76" s="198"/>
      <c r="R76" s="198"/>
      <c r="S76" s="198"/>
      <c r="T76" s="219"/>
      <c r="U76" s="219"/>
      <c r="V76" s="219"/>
      <c r="W76" s="220"/>
      <c r="X76" s="220"/>
      <c r="Y76" s="220"/>
      <c r="Z76" s="220"/>
      <c r="AA76" s="220"/>
      <c r="AB76" s="220"/>
      <c r="AC76" s="198"/>
      <c r="AD76" s="198"/>
      <c r="AE76" s="198"/>
      <c r="AF76" s="220"/>
      <c r="AG76" s="198"/>
      <c r="AH76" s="198"/>
      <c r="AI76" s="198"/>
      <c r="AJ76" s="198"/>
      <c r="AK76" s="198"/>
      <c r="AL76" s="198"/>
      <c r="AM76" s="198"/>
      <c r="AN76" s="198"/>
      <c r="AO76" s="198"/>
      <c r="AP76" s="198"/>
      <c r="AQ76" s="198"/>
      <c r="AR76" s="198"/>
      <c r="AS76" s="198"/>
      <c r="AT76" s="198"/>
      <c r="AU76" s="198"/>
      <c r="AV76" s="198"/>
      <c r="AW76" s="198"/>
      <c r="AX76" s="198"/>
      <c r="AY76" s="198"/>
      <c r="AZ76" s="198"/>
      <c r="BA76" s="198"/>
      <c r="BB76" s="198"/>
      <c r="BC76" s="198"/>
      <c r="BD76" s="198"/>
      <c r="BE76" s="198"/>
      <c r="BF76" s="198"/>
      <c r="BG76" s="198"/>
      <c r="BH76" s="198"/>
      <c r="BI76" s="198"/>
      <c r="BJ76" s="198"/>
      <c r="BK76" s="198"/>
      <c r="BL76" s="198"/>
      <c r="BM76" s="198"/>
      <c r="BN76" s="198"/>
      <c r="BO76" s="198"/>
      <c r="BP76" s="198"/>
      <c r="BQ76" s="198"/>
      <c r="BR76" s="198"/>
      <c r="BS76" s="198"/>
      <c r="BT76" s="198"/>
      <c r="BU76" s="198"/>
      <c r="BV76" s="198"/>
      <c r="BW76" s="198"/>
      <c r="BX76" s="198"/>
    </row>
    <row r="77" spans="1:76" x14ac:dyDescent="0.25">
      <c r="A77" s="2" t="str">
        <f>'Language Index'!A99</f>
        <v>Revenues per Share</v>
      </c>
      <c r="B77" s="26">
        <f>_xll.ciqfunctions.udf.CIQ($C$2, "IQ_TOTAL_REV_SHARE", D$6,$F$2,,,Ccy,Conv)</f>
        <v>92.398219999999995</v>
      </c>
      <c r="C77" s="26">
        <f>_xll.ciqfunctions.udf.CIQ($C$2, "IQ_TOTAL_REV_SHARE", E$6,$F$2,,,Ccy,Conv)</f>
        <v>83.516180000000006</v>
      </c>
      <c r="D77" s="26">
        <f>_xll.ciqfunctions.udf.CIQ($C$2, "IQ_TOTAL_REV_SHARE", F$6,$F$2,,,Ccy,Conv)</f>
        <v>83.647810000000007</v>
      </c>
      <c r="E77" s="26">
        <f>_xll.ciqfunctions.udf.CIQ($C$2, "IQ_TOTAL_REV_SHARE", G$6,$F$2,,,Ccy,Conv)</f>
        <v>84.837689999999995</v>
      </c>
      <c r="F77" s="26">
        <f>_xll.ciqfunctions.udf.CIQ($C$2, "IQ_TOTAL_REV_SHARE", H$6,$F$2,,,Ccy,Conv)</f>
        <v>87.266229999999993</v>
      </c>
      <c r="G77" s="26">
        <f>_xll.ciqfunctions.udf.CIQ($C$2, "IQ_TOTAL_REV_SHARE", I$6,$F$2,,,Ccy,Conv)</f>
        <v>65.049270000000007</v>
      </c>
      <c r="H77" s="26">
        <f>_xll.ciqfunctions.udf.CIQ($C$2, "IQ_TOTAL_REV_SHARE", J$6,$F$2,,,Ccy,Conv)</f>
        <v>61.974600000000002</v>
      </c>
      <c r="I77" s="26">
        <f>_xll.ciqfunctions.udf.CIQ($C$2, "IQ_TOTAL_REV_SHARE", K$6,$F$2,,,Ccy,Conv)</f>
        <v>64.008470000000003</v>
      </c>
      <c r="J77" s="26">
        <f>_xll.ciqfunctions.udf.CIQ($C$2, "IQ_TOTAL_REV_SHARE", L$6,$F$2,,,Ccy,Conv)</f>
        <v>67.057050000000004</v>
      </c>
      <c r="K77" s="26">
        <f>_xll.ciqfunctions.udf.CIQ($C$2, "IQ_TOTAL_REV_SHARE", M$6,$F$2,,,Ccy,Conv)</f>
        <v>67.887730000000005</v>
      </c>
      <c r="L77" s="26">
        <f>_xll.ciqfunctions.udf.CIQ($C$2, "IQ_TOTAL_REV_SHARE", N$6,$F$2,,,Ccy,Conv)</f>
        <v>68.078959999999995</v>
      </c>
      <c r="M77" s="26"/>
      <c r="N77" s="26">
        <f>_xll.ciqfunctions.udf.CIQ($C$2, "IQ_TOTAL_REV_SHARE", P$6,$F$2,,,Ccy,Conv)</f>
        <v>68.078959999999995</v>
      </c>
      <c r="O77" s="220"/>
      <c r="P77" s="198"/>
      <c r="Q77" s="198"/>
      <c r="R77" s="198"/>
      <c r="S77" s="198"/>
      <c r="T77" s="219"/>
      <c r="U77" s="219"/>
      <c r="V77" s="219"/>
      <c r="W77" s="220"/>
      <c r="X77" s="220"/>
      <c r="Y77" s="220"/>
      <c r="Z77" s="220"/>
      <c r="AA77" s="220"/>
      <c r="AB77" s="220"/>
      <c r="AC77" s="198"/>
      <c r="AD77" s="198"/>
      <c r="AE77" s="198"/>
      <c r="AF77" s="220"/>
      <c r="AG77" s="198"/>
      <c r="AH77" s="198"/>
      <c r="AI77" s="198"/>
      <c r="AJ77" s="198"/>
      <c r="AK77" s="198"/>
      <c r="AL77" s="198"/>
      <c r="AM77" s="198"/>
      <c r="AN77" s="198"/>
      <c r="AO77" s="198"/>
      <c r="AP77" s="198"/>
      <c r="AQ77" s="198"/>
      <c r="AR77" s="198"/>
      <c r="AS77" s="198"/>
      <c r="AT77" s="198"/>
      <c r="AU77" s="198"/>
      <c r="AV77" s="198"/>
      <c r="AW77" s="198"/>
      <c r="AX77" s="198"/>
      <c r="AY77" s="198"/>
      <c r="AZ77" s="198"/>
      <c r="BA77" s="198"/>
      <c r="BB77" s="198"/>
      <c r="BC77" s="198"/>
      <c r="BD77" s="198"/>
      <c r="BE77" s="198"/>
      <c r="BF77" s="198"/>
      <c r="BG77" s="198"/>
      <c r="BH77" s="198"/>
      <c r="BI77" s="198"/>
      <c r="BJ77" s="198"/>
      <c r="BK77" s="198"/>
      <c r="BL77" s="198"/>
      <c r="BM77" s="198"/>
      <c r="BN77" s="198"/>
      <c r="BO77" s="198"/>
      <c r="BP77" s="198"/>
      <c r="BQ77" s="198"/>
      <c r="BR77" s="198"/>
      <c r="BS77" s="198"/>
      <c r="BT77" s="198"/>
      <c r="BU77" s="198"/>
      <c r="BV77" s="198"/>
      <c r="BW77" s="198"/>
      <c r="BX77" s="198"/>
    </row>
    <row r="78" spans="1:76" x14ac:dyDescent="0.25">
      <c r="A78" s="2" t="str">
        <f>'Language Index'!A100</f>
        <v>Distributable Cash per Share</v>
      </c>
      <c r="B78" s="26">
        <f>_xll.ciqfunctions.udf.CIQ($C$2, "IQ_DISTRIBUTABLE_CASH_SHARE", D$6,$F$2,,,Ccy,Conv)</f>
        <v>0</v>
      </c>
      <c r="C78" s="26">
        <f>_xll.ciqfunctions.udf.CIQ($C$2, "IQ_DISTRIBUTABLE_CASH_SHARE", E$6,$F$2,,,Ccy,Conv)</f>
        <v>0</v>
      </c>
      <c r="D78" s="26">
        <f>_xll.ciqfunctions.udf.CIQ($C$2, "IQ_DISTRIBUTABLE_CASH_SHARE", F$6,$F$2,,,Ccy,Conv)</f>
        <v>0</v>
      </c>
      <c r="E78" s="26">
        <f>_xll.ciqfunctions.udf.CIQ($C$2, "IQ_DISTRIBUTABLE_CASH_SHARE", G$6,$F$2,,,Ccy,Conv)</f>
        <v>0</v>
      </c>
      <c r="F78" s="26">
        <f>_xll.ciqfunctions.udf.CIQ($C$2, "IQ_DISTRIBUTABLE_CASH_SHARE", H$6,$F$2,,,Ccy,Conv)</f>
        <v>0</v>
      </c>
      <c r="G78" s="26">
        <f>_xll.ciqfunctions.udf.CIQ($C$2, "IQ_DISTRIBUTABLE_CASH_SHARE", I$6,$F$2,,,Ccy,Conv)</f>
        <v>0</v>
      </c>
      <c r="H78" s="26">
        <f>_xll.ciqfunctions.udf.CIQ($C$2, "IQ_DISTRIBUTABLE_CASH_SHARE", J$6,$F$2,,,Ccy,Conv)</f>
        <v>0</v>
      </c>
      <c r="I78" s="26">
        <f>_xll.ciqfunctions.udf.CIQ($C$2, "IQ_DISTRIBUTABLE_CASH_SHARE", K$6,$F$2,,,Ccy,Conv)</f>
        <v>0</v>
      </c>
      <c r="J78" s="26">
        <f>_xll.ciqfunctions.udf.CIQ($C$2, "IQ_DISTRIBUTABLE_CASH_SHARE", L$6,$F$2,,,Ccy,Conv)</f>
        <v>0</v>
      </c>
      <c r="K78" s="26">
        <f>_xll.ciqfunctions.udf.CIQ($C$2, "IQ_DISTRIBUTABLE_CASH_SHARE", M$6,$F$2,,,Ccy,Conv)</f>
        <v>0</v>
      </c>
      <c r="L78" s="26">
        <f>_xll.ciqfunctions.udf.CIQ($C$2, "IQ_DISTRIBUTABLE_CASH_SHARE", N$6,$F$2,,,Ccy,Conv)</f>
        <v>0</v>
      </c>
      <c r="M78" s="26"/>
      <c r="N78" s="26">
        <f>_xll.ciqfunctions.udf.CIQ($C$2, "IQ_DISTRIBUTABLE_CASH_SHARE", P$6,$F$2,,,Ccy,Conv)</f>
        <v>0</v>
      </c>
      <c r="O78" s="220"/>
      <c r="P78" s="198"/>
      <c r="Q78" s="198"/>
      <c r="R78" s="198"/>
      <c r="S78" s="198"/>
      <c r="T78" s="219"/>
      <c r="U78" s="219"/>
      <c r="V78" s="219"/>
      <c r="W78" s="220"/>
      <c r="X78" s="220"/>
      <c r="Y78" s="220"/>
      <c r="Z78" s="220"/>
      <c r="AA78" s="220"/>
      <c r="AB78" s="220"/>
      <c r="AC78" s="198"/>
      <c r="AD78" s="198"/>
      <c r="AE78" s="198"/>
      <c r="AF78" s="220"/>
      <c r="AG78" s="198"/>
      <c r="AH78" s="198"/>
      <c r="AI78" s="198"/>
      <c r="AJ78" s="198"/>
      <c r="AK78" s="198"/>
      <c r="AL78" s="198"/>
      <c r="AM78" s="198"/>
      <c r="AN78" s="198"/>
      <c r="AO78" s="198"/>
      <c r="AP78" s="198"/>
      <c r="AQ78" s="198"/>
      <c r="AR78" s="198"/>
      <c r="AS78" s="198"/>
      <c r="AT78" s="198"/>
      <c r="AU78" s="198"/>
      <c r="AV78" s="198"/>
      <c r="AW78" s="198"/>
      <c r="AX78" s="198"/>
      <c r="AY78" s="198"/>
      <c r="AZ78" s="198"/>
      <c r="BA78" s="198"/>
      <c r="BB78" s="198"/>
      <c r="BC78" s="198"/>
      <c r="BD78" s="198"/>
      <c r="BE78" s="198"/>
      <c r="BF78" s="198"/>
      <c r="BG78" s="198"/>
      <c r="BH78" s="198"/>
      <c r="BI78" s="198"/>
      <c r="BJ78" s="198"/>
      <c r="BK78" s="198"/>
      <c r="BL78" s="198"/>
      <c r="BM78" s="198"/>
      <c r="BN78" s="198"/>
      <c r="BO78" s="198"/>
      <c r="BP78" s="198"/>
      <c r="BQ78" s="198"/>
      <c r="BR78" s="198"/>
      <c r="BS78" s="198"/>
      <c r="BT78" s="198"/>
      <c r="BU78" s="198"/>
      <c r="BV78" s="198"/>
      <c r="BW78" s="198"/>
      <c r="BX78" s="198"/>
    </row>
    <row r="79" spans="1:76" x14ac:dyDescent="0.25">
      <c r="A79" s="2" t="str">
        <f>'Language Index'!A101</f>
        <v>Special Dividend per Share</v>
      </c>
      <c r="B79" s="26">
        <f>_xll.ciqfunctions.udf.CIQ($C$2, "IQ_SPECIAL_DIV_SHARE", D$6,$F$2,,,Ccy,Conv)</f>
        <v>0</v>
      </c>
      <c r="C79" s="26">
        <f>_xll.ciqfunctions.udf.CIQ($C$2, "IQ_SPECIAL_DIV_SHARE", E$6,$F$2,,,Ccy,Conv)</f>
        <v>0</v>
      </c>
      <c r="D79" s="26">
        <f>_xll.ciqfunctions.udf.CIQ($C$2, "IQ_SPECIAL_DIV_SHARE", F$6,$F$2,,,Ccy,Conv)</f>
        <v>0</v>
      </c>
      <c r="E79" s="26">
        <f>_xll.ciqfunctions.udf.CIQ($C$2, "IQ_SPECIAL_DIV_SHARE", G$6,$F$2,,,Ccy,Conv)</f>
        <v>0</v>
      </c>
      <c r="F79" s="26">
        <f>_xll.ciqfunctions.udf.CIQ($C$2, "IQ_SPECIAL_DIV_SHARE", H$6,$F$2,,,Ccy,Conv)</f>
        <v>0</v>
      </c>
      <c r="G79" s="26">
        <f>_xll.ciqfunctions.udf.CIQ($C$2, "IQ_SPECIAL_DIV_SHARE", I$6,$F$2,,,Ccy,Conv)</f>
        <v>0</v>
      </c>
      <c r="H79" s="26">
        <f>_xll.ciqfunctions.udf.CIQ($C$2, "IQ_SPECIAL_DIV_SHARE", J$6,$F$2,,,Ccy,Conv)</f>
        <v>0</v>
      </c>
      <c r="I79" s="26">
        <f>_xll.ciqfunctions.udf.CIQ($C$2, "IQ_SPECIAL_DIV_SHARE", K$6,$F$2,,,Ccy,Conv)</f>
        <v>0</v>
      </c>
      <c r="J79" s="26">
        <f>_xll.ciqfunctions.udf.CIQ($C$2, "IQ_SPECIAL_DIV_SHARE", L$6,$F$2,,,Ccy,Conv)</f>
        <v>0</v>
      </c>
      <c r="K79" s="26">
        <f>_xll.ciqfunctions.udf.CIQ($C$2, "IQ_SPECIAL_DIV_SHARE", M$6,$F$2,,,Ccy,Conv)</f>
        <v>0</v>
      </c>
      <c r="L79" s="26">
        <f>_xll.ciqfunctions.udf.CIQ($C$2, "IQ_SPECIAL_DIV_SHARE", N$6,$F$2,,,Ccy,Conv)</f>
        <v>0</v>
      </c>
      <c r="M79" s="26"/>
      <c r="N79" s="26">
        <f>_xll.ciqfunctions.udf.CIQ($C$2, "IQ_SPECIAL_DIV_SHARE", P$6,$F$2,,,Ccy,Conv)</f>
        <v>0</v>
      </c>
      <c r="O79" s="220"/>
      <c r="P79" s="198"/>
      <c r="Q79" s="198"/>
      <c r="R79" s="198"/>
      <c r="S79" s="198"/>
      <c r="T79" s="219"/>
      <c r="U79" s="219"/>
      <c r="V79" s="219"/>
      <c r="W79" s="220"/>
      <c r="X79" s="220"/>
      <c r="Y79" s="220"/>
      <c r="Z79" s="220"/>
      <c r="AA79" s="220"/>
      <c r="AB79" s="220"/>
      <c r="AC79" s="198"/>
      <c r="AD79" s="198"/>
      <c r="AE79" s="198"/>
      <c r="AF79" s="220"/>
      <c r="AG79" s="198"/>
      <c r="AH79" s="198"/>
      <c r="AI79" s="198"/>
      <c r="AJ79" s="198"/>
      <c r="AK79" s="198"/>
      <c r="AL79" s="198"/>
      <c r="AM79" s="198"/>
      <c r="AN79" s="198"/>
      <c r="AO79" s="198"/>
      <c r="AP79" s="198"/>
      <c r="AQ79" s="198"/>
      <c r="AR79" s="198"/>
      <c r="AS79" s="198"/>
      <c r="AT79" s="198"/>
      <c r="AU79" s="198"/>
      <c r="AV79" s="198"/>
      <c r="AW79" s="198"/>
      <c r="AX79" s="198"/>
      <c r="AY79" s="198"/>
      <c r="AZ79" s="198"/>
      <c r="BA79" s="198"/>
      <c r="BB79" s="198"/>
      <c r="BC79" s="198"/>
      <c r="BD79" s="198"/>
      <c r="BE79" s="198"/>
      <c r="BF79" s="198"/>
      <c r="BG79" s="198"/>
      <c r="BH79" s="198"/>
      <c r="BI79" s="198"/>
      <c r="BJ79" s="198"/>
      <c r="BK79" s="198"/>
      <c r="BL79" s="198"/>
      <c r="BM79" s="198"/>
      <c r="BN79" s="198"/>
      <c r="BO79" s="198"/>
      <c r="BP79" s="198"/>
      <c r="BQ79" s="198"/>
      <c r="BR79" s="198"/>
      <c r="BS79" s="198"/>
      <c r="BT79" s="198"/>
      <c r="BU79" s="198"/>
      <c r="BV79" s="198"/>
      <c r="BW79" s="198"/>
      <c r="BX79" s="198"/>
    </row>
    <row r="80" spans="1:76" x14ac:dyDescent="0.25">
      <c r="A80" s="2" t="str">
        <f>'Language Index'!A104</f>
        <v>Period Length in Months</v>
      </c>
      <c r="B80" s="39">
        <f>_xll.ciqfunctions.udf.CIQ($C$2,"IQ_PERIODLENGTH_IS", D$6,$F$2)</f>
        <v>12</v>
      </c>
      <c r="C80" s="39">
        <f>_xll.ciqfunctions.udf.CIQ($C$2,"IQ_PERIODLENGTH_IS", E$6,$F$2)</f>
        <v>12</v>
      </c>
      <c r="D80" s="39">
        <f>_xll.ciqfunctions.udf.CIQ($C$2,"IQ_PERIODLENGTH_IS", F$6,$F$2)</f>
        <v>12</v>
      </c>
      <c r="E80" s="39">
        <f>_xll.ciqfunctions.udf.CIQ($C$2,"IQ_PERIODLENGTH_IS", G$6,$F$2)</f>
        <v>12</v>
      </c>
      <c r="F80" s="39">
        <f>_xll.ciqfunctions.udf.CIQ($C$2,"IQ_PERIODLENGTH_IS", H$6,$F$2)</f>
        <v>12</v>
      </c>
      <c r="G80" s="39">
        <f>_xll.ciqfunctions.udf.CIQ($C$2,"IQ_PERIODLENGTH_IS", I$6,$F$2)</f>
        <v>12</v>
      </c>
      <c r="H80" s="39">
        <f>_xll.ciqfunctions.udf.CIQ($C$2,"IQ_PERIODLENGTH_IS", J$6,$F$2)</f>
        <v>12</v>
      </c>
      <c r="I80" s="39">
        <f>_xll.ciqfunctions.udf.CIQ($C$2,"IQ_PERIODLENGTH_IS", K$6,$F$2)</f>
        <v>12</v>
      </c>
      <c r="J80" s="39">
        <f>_xll.ciqfunctions.udf.CIQ($C$2,"IQ_PERIODLENGTH_IS", L$6,$F$2)</f>
        <v>12</v>
      </c>
      <c r="K80" s="39">
        <f>_xll.ciqfunctions.udf.CIQ($C$2,"IQ_PERIODLENGTH_IS", M$6,$F$2)</f>
        <v>12</v>
      </c>
      <c r="L80" s="39">
        <f>_xll.ciqfunctions.udf.CIQ($C$2,"IQ_PERIODLENGTH_IS", N$6,$F$2)</f>
        <v>12</v>
      </c>
      <c r="M80" s="39"/>
      <c r="N80" s="39">
        <f>_xll.ciqfunctions.udf.CIQ($C$2,"IQ_PERIODLENGTH_IS", P$6,$F$2)</f>
        <v>12</v>
      </c>
      <c r="O80" s="198"/>
      <c r="P80" s="198"/>
      <c r="Q80" s="198"/>
      <c r="R80" s="198"/>
      <c r="S80" s="198"/>
      <c r="T80" s="223"/>
      <c r="U80" s="223"/>
      <c r="V80" s="223"/>
      <c r="W80" s="222"/>
      <c r="X80" s="215"/>
      <c r="Y80" s="215"/>
      <c r="Z80" s="215"/>
      <c r="AA80" s="215"/>
      <c r="AB80" s="215"/>
      <c r="AC80" s="198"/>
      <c r="AD80" s="198"/>
      <c r="AE80" s="198"/>
      <c r="AF80" s="215"/>
      <c r="AG80" s="198"/>
      <c r="AH80" s="198"/>
      <c r="AI80" s="198"/>
      <c r="AJ80" s="198"/>
      <c r="AK80" s="198"/>
      <c r="AL80" s="198"/>
      <c r="AM80" s="198"/>
      <c r="AN80" s="198"/>
      <c r="AO80" s="198"/>
      <c r="AP80" s="198"/>
      <c r="AQ80" s="198"/>
      <c r="AR80" s="198"/>
      <c r="AS80" s="198"/>
      <c r="AT80" s="198"/>
      <c r="AU80" s="198"/>
      <c r="AV80" s="198"/>
      <c r="AW80" s="198"/>
      <c r="AX80" s="198"/>
      <c r="AY80" s="198"/>
      <c r="AZ80" s="198"/>
      <c r="BA80" s="198"/>
      <c r="BB80" s="198"/>
      <c r="BC80" s="198"/>
      <c r="BD80" s="198"/>
      <c r="BE80" s="198"/>
      <c r="BF80" s="198"/>
      <c r="BG80" s="198"/>
      <c r="BH80" s="198"/>
      <c r="BI80" s="198"/>
      <c r="BJ80" s="198"/>
      <c r="BK80" s="198"/>
      <c r="BL80" s="198"/>
      <c r="BM80" s="198"/>
      <c r="BN80" s="198"/>
      <c r="BO80" s="198"/>
      <c r="BP80" s="198"/>
      <c r="BQ80" s="198"/>
      <c r="BR80" s="198"/>
      <c r="BS80" s="198"/>
      <c r="BT80" s="198"/>
      <c r="BU80" s="198"/>
      <c r="BV80" s="198"/>
      <c r="BW80" s="198"/>
      <c r="BX80" s="198"/>
    </row>
    <row r="81" spans="1:76" x14ac:dyDescent="0.25">
      <c r="A81" s="2" t="str">
        <f>'Language Index'!A105</f>
        <v>EBITDA</v>
      </c>
      <c r="B81" s="18">
        <f>_xll.ciqfunctions.udf.CIQ($C$2,"IQ_EBITDA", D$6,$F$2,,,Ccy,Conv)</f>
        <v>24621</v>
      </c>
      <c r="C81" s="18">
        <f>_xll.ciqfunctions.udf.CIQ($C$2,"IQ_EBITDA", E$6,$F$2,,,Ccy,Conv)</f>
        <v>20372</v>
      </c>
      <c r="D81" s="18">
        <f>_xll.ciqfunctions.udf.CIQ($C$2,"IQ_EBITDA", F$6,$F$2,,,Ccy,Conv)</f>
        <v>18551</v>
      </c>
      <c r="E81" s="18">
        <f>_xll.ciqfunctions.udf.CIQ($C$2,"IQ_EBITDA", G$6,$F$2,,,Ccy,Conv)</f>
        <v>16223</v>
      </c>
      <c r="F81" s="18">
        <f>_xll.ciqfunctions.udf.CIQ($C$2,"IQ_EBITDA", H$6,$F$2,,,Ccy,Conv)</f>
        <v>17698</v>
      </c>
      <c r="G81" s="18">
        <f>_xll.ciqfunctions.udf.CIQ($C$2,"IQ_EBITDA", I$6,$F$2,,,Ccy,Conv)</f>
        <v>13598</v>
      </c>
      <c r="H81" s="18">
        <f>_xll.ciqfunctions.udf.CIQ($C$2,"IQ_EBITDA", J$6,$F$2,,,Ccy,Conv)</f>
        <v>11357</v>
      </c>
      <c r="I81" s="18">
        <f>_xll.ciqfunctions.udf.CIQ($C$2,"IQ_EBITDA", K$6,$F$2,,,Ccy,Conv)</f>
        <v>12000</v>
      </c>
      <c r="J81" s="18">
        <f>_xll.ciqfunctions.udf.CIQ($C$2,"IQ_EBITDA", L$6,$F$2,,,Ccy,Conv)</f>
        <v>5529</v>
      </c>
      <c r="K81" s="18">
        <f>_xll.ciqfunctions.udf.CIQ($C$2,"IQ_EBITDA", M$6,$F$2,,,Ccy,Conv)</f>
        <v>13399</v>
      </c>
      <c r="L81" s="18">
        <f>_xll.ciqfunctions.udf.CIQ($C$2,"IQ_EBITDA", N$6,$F$2,,,Ccy,Conv)</f>
        <v>10442</v>
      </c>
      <c r="M81" s="18"/>
      <c r="N81" s="18">
        <f>_xll.ciqfunctions.udf.CIQ($C$2,"IQ_EBITDA", P$6,$F$2,,,Ccy,Conv)</f>
        <v>10442</v>
      </c>
      <c r="O81" s="198"/>
      <c r="P81" s="198"/>
      <c r="Q81" s="198"/>
      <c r="R81" s="198"/>
      <c r="S81" s="198"/>
      <c r="T81" s="223"/>
      <c r="U81" s="223"/>
      <c r="V81" s="223"/>
      <c r="W81" s="222"/>
      <c r="X81" s="215"/>
      <c r="Y81" s="215"/>
      <c r="Z81" s="215"/>
      <c r="AA81" s="215"/>
      <c r="AB81" s="215"/>
      <c r="AC81" s="198"/>
      <c r="AD81" s="198"/>
      <c r="AE81" s="198"/>
      <c r="AF81" s="215"/>
      <c r="AG81" s="198"/>
      <c r="AH81" s="198"/>
      <c r="AI81" s="198"/>
      <c r="AJ81" s="198"/>
      <c r="AK81" s="198"/>
      <c r="AL81" s="198"/>
      <c r="AM81" s="198"/>
      <c r="AN81" s="198"/>
      <c r="AO81" s="198"/>
      <c r="AP81" s="198"/>
      <c r="AQ81" s="198"/>
      <c r="AR81" s="198"/>
      <c r="AS81" s="198"/>
      <c r="AT81" s="198"/>
      <c r="AU81" s="198"/>
      <c r="AV81" s="198"/>
      <c r="AW81" s="198"/>
      <c r="AX81" s="198"/>
      <c r="AY81" s="198"/>
      <c r="AZ81" s="198"/>
      <c r="BA81" s="198"/>
      <c r="BB81" s="198"/>
      <c r="BC81" s="198"/>
      <c r="BD81" s="198"/>
      <c r="BE81" s="198"/>
      <c r="BF81" s="198"/>
      <c r="BG81" s="198"/>
      <c r="BH81" s="198"/>
      <c r="BI81" s="198"/>
      <c r="BJ81" s="198"/>
      <c r="BK81" s="198"/>
      <c r="BL81" s="198"/>
      <c r="BM81" s="198"/>
      <c r="BN81" s="198"/>
      <c r="BO81" s="198"/>
      <c r="BP81" s="198"/>
      <c r="BQ81" s="198"/>
      <c r="BR81" s="198"/>
      <c r="BS81" s="198"/>
      <c r="BT81" s="198"/>
      <c r="BU81" s="198"/>
      <c r="BV81" s="198"/>
      <c r="BW81" s="198"/>
      <c r="BX81" s="198"/>
    </row>
    <row r="82" spans="1:76" x14ac:dyDescent="0.25">
      <c r="A82" s="2" t="str">
        <f>'Language Index'!A106</f>
        <v>EBITDA (Incl. Equity Inc. from Affiliates)</v>
      </c>
      <c r="B82" s="18">
        <f>_xll.ciqfunctions.udf.CIQ($C$2,"IQ_EBITDA_EQ_INC", D$6,$F$2,,,Ccy,Conv)</f>
        <v>24621</v>
      </c>
      <c r="C82" s="18">
        <f>_xll.ciqfunctions.udf.CIQ($C$2,"IQ_EBITDA_EQ_INC", E$6,$F$2,,,Ccy,Conv)</f>
        <v>20372</v>
      </c>
      <c r="D82" s="18">
        <f>_xll.ciqfunctions.udf.CIQ($C$2,"IQ_EBITDA_EQ_INC", F$6,$F$2,,,Ccy,Conv)</f>
        <v>18551</v>
      </c>
      <c r="E82" s="18">
        <f>_xll.ciqfunctions.udf.CIQ($C$2,"IQ_EBITDA_EQ_INC", G$6,$F$2,,,Ccy,Conv)</f>
        <v>16223</v>
      </c>
      <c r="F82" s="18">
        <f>_xll.ciqfunctions.udf.CIQ($C$2,"IQ_EBITDA_EQ_INC", H$6,$F$2,,,Ccy,Conv)</f>
        <v>17698</v>
      </c>
      <c r="G82" s="18">
        <f>_xll.ciqfunctions.udf.CIQ($C$2,"IQ_EBITDA_EQ_INC", I$6,$F$2,,,Ccy,Conv)</f>
        <v>15221</v>
      </c>
      <c r="H82" s="18">
        <f>_xll.ciqfunctions.udf.CIQ($C$2,"IQ_EBITDA_EQ_INC", J$6,$F$2,,,Ccy,Conv)</f>
        <v>12881</v>
      </c>
      <c r="I82" s="18">
        <f>_xll.ciqfunctions.udf.CIQ($C$2,"IQ_EBITDA_EQ_INC", K$6,$F$2,,,Ccy,Conv)</f>
        <v>13437</v>
      </c>
      <c r="J82" s="18">
        <f>_xll.ciqfunctions.udf.CIQ($C$2,"IQ_EBITDA_EQ_INC", L$6,$F$2,,,Ccy,Conv)</f>
        <v>6776</v>
      </c>
      <c r="K82" s="18">
        <f>_xll.ciqfunctions.udf.CIQ($C$2,"IQ_EBITDA_EQ_INC", M$6,$F$2,,,Ccy,Conv)</f>
        <v>14691</v>
      </c>
      <c r="L82" s="18">
        <f>_xll.ciqfunctions.udf.CIQ($C$2,"IQ_EBITDA_EQ_INC", N$6,$F$2,,,Ccy,Conv)</f>
        <v>11751</v>
      </c>
      <c r="M82" s="18"/>
      <c r="N82" s="18">
        <f>_xll.ciqfunctions.udf.CIQ($C$2,"IQ_EBITDA_EQ_INC", P$6,$F$2,,,Ccy,Conv)</f>
        <v>11751</v>
      </c>
      <c r="O82" s="222"/>
      <c r="P82" s="198"/>
      <c r="Q82" s="198"/>
      <c r="R82" s="198"/>
      <c r="S82" s="198"/>
      <c r="T82" s="223"/>
      <c r="U82" s="223"/>
      <c r="V82" s="223"/>
      <c r="W82" s="222"/>
      <c r="X82" s="215"/>
      <c r="Y82" s="215"/>
      <c r="Z82" s="215"/>
      <c r="AA82" s="215"/>
      <c r="AB82" s="215"/>
      <c r="AC82" s="198"/>
      <c r="AD82" s="198"/>
      <c r="AE82" s="198"/>
      <c r="AF82" s="215"/>
      <c r="AG82" s="198"/>
      <c r="AH82" s="198"/>
      <c r="AI82" s="198"/>
      <c r="AJ82" s="198"/>
      <c r="AK82" s="198"/>
      <c r="AL82" s="198"/>
      <c r="AM82" s="198"/>
      <c r="AN82" s="198"/>
      <c r="AO82" s="198"/>
      <c r="AP82" s="198"/>
      <c r="AQ82" s="198"/>
      <c r="AR82" s="198"/>
      <c r="AS82" s="198"/>
      <c r="AT82" s="198"/>
      <c r="AU82" s="198"/>
      <c r="AV82" s="198"/>
      <c r="AW82" s="198"/>
      <c r="AX82" s="198"/>
      <c r="AY82" s="198"/>
      <c r="AZ82" s="198"/>
      <c r="BA82" s="198"/>
      <c r="BB82" s="198"/>
      <c r="BC82" s="198"/>
      <c r="BD82" s="198"/>
      <c r="BE82" s="198"/>
      <c r="BF82" s="198"/>
      <c r="BG82" s="198"/>
      <c r="BH82" s="198"/>
      <c r="BI82" s="198"/>
      <c r="BJ82" s="198"/>
      <c r="BK82" s="198"/>
      <c r="BL82" s="198"/>
      <c r="BM82" s="198"/>
      <c r="BN82" s="198"/>
      <c r="BO82" s="198"/>
      <c r="BP82" s="198"/>
      <c r="BQ82" s="198"/>
      <c r="BR82" s="198"/>
      <c r="BS82" s="198"/>
      <c r="BT82" s="198"/>
      <c r="BU82" s="198"/>
      <c r="BV82" s="198"/>
      <c r="BW82" s="198"/>
      <c r="BX82" s="198"/>
    </row>
    <row r="83" spans="1:76" x14ac:dyDescent="0.25">
      <c r="A83" s="2" t="str">
        <f>'Language Index'!A107</f>
        <v>EBITDA (Excl. SBC and Incl. Equity Inc. from Affiliates)</v>
      </c>
      <c r="B83" s="18">
        <f>_xll.ciqfunctions.udf.CIQ($C$2,"IQ_EBITDA_EQ_INC_EXCL_SBC", D$6,$F$2,,,Ccy,Conv)</f>
        <v>25133</v>
      </c>
      <c r="C83" s="18">
        <f>_xll.ciqfunctions.udf.CIQ($C$2,"IQ_EBITDA_EQ_INC_EXCL_SBC", E$6,$F$2,,,Ccy,Conv)</f>
        <v>20840</v>
      </c>
      <c r="D83" s="18">
        <f>_xll.ciqfunctions.udf.CIQ($C$2,"IQ_EBITDA_EQ_INC_EXCL_SBC", F$6,$F$2,,,Ccy,Conv)</f>
        <v>19095</v>
      </c>
      <c r="E83" s="18">
        <f>_xll.ciqfunctions.udf.CIQ($C$2,"IQ_EBITDA_EQ_INC_EXCL_SBC", G$6,$F$2,,,Ccy,Conv)</f>
        <v>16757</v>
      </c>
      <c r="F83" s="18">
        <f>_xll.ciqfunctions.udf.CIQ($C$2,"IQ_EBITDA_EQ_INC_EXCL_SBC", H$6,$F$2,,,Ccy,Conv)</f>
        <v>18208</v>
      </c>
      <c r="G83" s="18">
        <f>_xll.ciqfunctions.udf.CIQ($C$2,"IQ_EBITDA_EQ_INC_EXCL_SBC", I$6,$F$2,,,Ccy,Conv)</f>
        <v>14277</v>
      </c>
      <c r="H83" s="18">
        <f>_xll.ciqfunctions.udf.CIQ($C$2,"IQ_EBITDA_EQ_INC_EXCL_SBC", J$6,$F$2,,,Ccy,Conv)</f>
        <v>12294</v>
      </c>
      <c r="I83" s="18">
        <f>_xll.ciqfunctions.udf.CIQ($C$2,"IQ_EBITDA_EQ_INC_EXCL_SBC", K$6,$F$2,,,Ccy,Conv)</f>
        <v>12982</v>
      </c>
      <c r="J83" s="18">
        <f>_xll.ciqfunctions.udf.CIQ($C$2,"IQ_EBITDA_EQ_INC_EXCL_SBC", L$6,$F$2,,,Ccy,Conv)</f>
        <v>6517</v>
      </c>
      <c r="K83" s="18">
        <f>_xll.ciqfunctions.udf.CIQ($C$2,"IQ_EBITDA_EQ_INC_EXCL_SBC", M$6,$F$2,,,Ccy,Conv)</f>
        <v>14533</v>
      </c>
      <c r="L83" s="18">
        <f>_xll.ciqfunctions.udf.CIQ($C$2,"IQ_EBITDA_EQ_INC_EXCL_SBC", N$6,$F$2,,,Ccy,Conv)</f>
        <v>11753</v>
      </c>
      <c r="M83" s="18"/>
      <c r="N83" s="18">
        <f>_xll.ciqfunctions.udf.CIQ($C$2,"IQ_EBITDA_EQ_INC_EXCL_SBC", P$6,$F$2,,,Ccy,Conv)</f>
        <v>11753</v>
      </c>
      <c r="O83" s="222"/>
      <c r="P83" s="198"/>
      <c r="Q83" s="198"/>
      <c r="R83" s="198"/>
      <c r="S83" s="198"/>
      <c r="T83" s="223"/>
      <c r="U83" s="223"/>
      <c r="V83" s="223"/>
      <c r="W83" s="222"/>
      <c r="X83" s="215"/>
      <c r="Y83" s="215"/>
      <c r="Z83" s="215"/>
      <c r="AA83" s="215"/>
      <c r="AB83" s="215"/>
      <c r="AC83" s="198"/>
      <c r="AD83" s="198"/>
      <c r="AE83" s="198"/>
      <c r="AF83" s="215"/>
      <c r="AG83" s="198"/>
      <c r="AH83" s="198"/>
      <c r="AI83" s="198"/>
      <c r="AJ83" s="198"/>
      <c r="AK83" s="198"/>
      <c r="AL83" s="198"/>
      <c r="AM83" s="198"/>
      <c r="AN83" s="198"/>
      <c r="AO83" s="198"/>
      <c r="AP83" s="198"/>
      <c r="AQ83" s="198"/>
      <c r="AR83" s="198"/>
      <c r="AS83" s="198"/>
      <c r="AT83" s="198"/>
      <c r="AU83" s="198"/>
      <c r="AV83" s="198"/>
      <c r="AW83" s="198"/>
      <c r="AX83" s="198"/>
      <c r="AY83" s="198"/>
      <c r="AZ83" s="198"/>
      <c r="BA83" s="198"/>
      <c r="BB83" s="198"/>
      <c r="BC83" s="198"/>
      <c r="BD83" s="198"/>
      <c r="BE83" s="198"/>
      <c r="BF83" s="198"/>
      <c r="BG83" s="198"/>
      <c r="BH83" s="198"/>
      <c r="BI83" s="198"/>
      <c r="BJ83" s="198"/>
      <c r="BK83" s="198"/>
      <c r="BL83" s="198"/>
      <c r="BM83" s="198"/>
      <c r="BN83" s="198"/>
      <c r="BO83" s="198"/>
      <c r="BP83" s="198"/>
      <c r="BQ83" s="198"/>
      <c r="BR83" s="198"/>
      <c r="BS83" s="198"/>
      <c r="BT83" s="198"/>
      <c r="BU83" s="198"/>
      <c r="BV83" s="198"/>
      <c r="BW83" s="198"/>
      <c r="BX83" s="198"/>
    </row>
    <row r="84" spans="1:76" x14ac:dyDescent="0.25">
      <c r="A84" s="2" t="str">
        <f>'Language Index'!A108</f>
        <v>EBITDA (Excl. SBC)</v>
      </c>
      <c r="B84" s="18">
        <f>_xll.ciqfunctions.udf.CIQ($C$2,"IQ_EBITDA_EXCL_SBC", D$6,$F$2,,,Ccy,Conv)</f>
        <v>25133</v>
      </c>
      <c r="C84" s="18">
        <f>_xll.ciqfunctions.udf.CIQ($C$2,"IQ_EBITDA_EXCL_SBC", E$6,$F$2,,,Ccy,Conv)</f>
        <v>20840</v>
      </c>
      <c r="D84" s="18">
        <f>_xll.ciqfunctions.udf.CIQ($C$2,"IQ_EBITDA_EXCL_SBC", F$6,$F$2,,,Ccy,Conv)</f>
        <v>19095</v>
      </c>
      <c r="E84" s="18">
        <f>_xll.ciqfunctions.udf.CIQ($C$2,"IQ_EBITDA_EXCL_SBC", G$6,$F$2,,,Ccy,Conv)</f>
        <v>16757</v>
      </c>
      <c r="F84" s="18">
        <f>_xll.ciqfunctions.udf.CIQ($C$2,"IQ_EBITDA_EXCL_SBC", H$6,$F$2,,,Ccy,Conv)</f>
        <v>18208</v>
      </c>
      <c r="G84" s="18">
        <f>_xll.ciqfunctions.udf.CIQ($C$2,"IQ_EBITDA_EXCL_SBC", I$6,$F$2,,,Ccy,Conv)</f>
        <v>14277</v>
      </c>
      <c r="H84" s="18">
        <f>_xll.ciqfunctions.udf.CIQ($C$2,"IQ_EBITDA_EXCL_SBC", J$6,$F$2,,,Ccy,Conv)</f>
        <v>12294</v>
      </c>
      <c r="I84" s="18">
        <f>_xll.ciqfunctions.udf.CIQ($C$2,"IQ_EBITDA_EXCL_SBC", K$6,$F$2,,,Ccy,Conv)</f>
        <v>12982</v>
      </c>
      <c r="J84" s="18">
        <f>_xll.ciqfunctions.udf.CIQ($C$2,"IQ_EBITDA_EXCL_SBC", L$6,$F$2,,,Ccy,Conv)</f>
        <v>6517</v>
      </c>
      <c r="K84" s="18">
        <f>_xll.ciqfunctions.udf.CIQ($C$2,"IQ_EBITDA_EXCL_SBC", M$6,$F$2,,,Ccy,Conv)</f>
        <v>14533</v>
      </c>
      <c r="L84" s="18">
        <f>_xll.ciqfunctions.udf.CIQ($C$2,"IQ_EBITDA_EXCL_SBC", N$6,$F$2,,,Ccy,Conv)</f>
        <v>11753</v>
      </c>
      <c r="M84" s="18"/>
      <c r="N84" s="18">
        <f>_xll.ciqfunctions.udf.CIQ($C$2,"IQ_EBITDA_EXCL_SBC", P$6,$F$2,,,Ccy,Conv)</f>
        <v>11753</v>
      </c>
      <c r="O84" s="222"/>
      <c r="P84" s="198"/>
      <c r="Q84" s="198"/>
      <c r="R84" s="198"/>
      <c r="S84" s="198"/>
      <c r="T84" s="223"/>
      <c r="U84" s="223"/>
      <c r="V84" s="223"/>
      <c r="W84" s="222"/>
      <c r="X84" s="215"/>
      <c r="Y84" s="215"/>
      <c r="Z84" s="215"/>
      <c r="AA84" s="215"/>
      <c r="AB84" s="215"/>
      <c r="AC84" s="198"/>
      <c r="AD84" s="198"/>
      <c r="AE84" s="198"/>
      <c r="AF84" s="215"/>
      <c r="AG84" s="198"/>
      <c r="AH84" s="198"/>
      <c r="AI84" s="198"/>
      <c r="AJ84" s="198"/>
      <c r="AK84" s="198"/>
      <c r="AL84" s="198"/>
      <c r="AM84" s="198"/>
      <c r="AN84" s="198"/>
      <c r="AO84" s="198"/>
      <c r="AP84" s="198"/>
      <c r="AQ84" s="198"/>
      <c r="AR84" s="198"/>
      <c r="AS84" s="198"/>
      <c r="AT84" s="198"/>
      <c r="AU84" s="198"/>
      <c r="AV84" s="198"/>
      <c r="AW84" s="198"/>
      <c r="AX84" s="198"/>
      <c r="AY84" s="198"/>
      <c r="AZ84" s="198"/>
      <c r="BA84" s="198"/>
      <c r="BB84" s="198"/>
      <c r="BC84" s="198"/>
      <c r="BD84" s="198"/>
      <c r="BE84" s="198"/>
      <c r="BF84" s="198"/>
      <c r="BG84" s="198"/>
      <c r="BH84" s="198"/>
      <c r="BI84" s="198"/>
      <c r="BJ84" s="198"/>
      <c r="BK84" s="198"/>
      <c r="BL84" s="198"/>
      <c r="BM84" s="198"/>
      <c r="BN84" s="198"/>
      <c r="BO84" s="198"/>
      <c r="BP84" s="198"/>
      <c r="BQ84" s="198"/>
      <c r="BR84" s="198"/>
      <c r="BS84" s="198"/>
      <c r="BT84" s="198"/>
      <c r="BU84" s="198"/>
      <c r="BV84" s="198"/>
      <c r="BW84" s="198"/>
      <c r="BX84" s="198"/>
    </row>
    <row r="85" spans="1:76" x14ac:dyDescent="0.25">
      <c r="A85" s="2" t="str">
        <f>'Language Index'!A109</f>
        <v>EBITDA, Lease Adjusted</v>
      </c>
      <c r="B85" s="18">
        <f>_xll.ciqfunctions.udf.CIQ($C$2,"IQ_EBITDA_LEASE_ADJUSTED", D$6,$F$2,,,Ccy,Conv)</f>
        <v>24621</v>
      </c>
      <c r="C85" s="18">
        <f>_xll.ciqfunctions.udf.CIQ($C$2,"IQ_EBITDA_LEASE_ADJUSTED", E$6,$F$2,,,Ccy,Conv)</f>
        <v>20372</v>
      </c>
      <c r="D85" s="18">
        <f>_xll.ciqfunctions.udf.CIQ($C$2,"IQ_EBITDA_LEASE_ADJUSTED", F$6,$F$2,,,Ccy,Conv)</f>
        <v>18551</v>
      </c>
      <c r="E85" s="18">
        <f>_xll.ciqfunctions.udf.CIQ($C$2,"IQ_EBITDA_LEASE_ADJUSTED", G$6,$F$2,,,Ccy,Conv)</f>
        <v>16223</v>
      </c>
      <c r="F85" s="18">
        <f>_xll.ciqfunctions.udf.CIQ($C$2,"IQ_EBITDA_LEASE_ADJUSTED", H$6,$F$2,,,Ccy,Conv)</f>
        <v>17698</v>
      </c>
      <c r="G85" s="18">
        <f>_xll.ciqfunctions.udf.CIQ($C$2,"IQ_EBITDA_LEASE_ADJUSTED", I$6,$F$2,,,Ccy,Conv)</f>
        <v>15221</v>
      </c>
      <c r="H85" s="18">
        <f>_xll.ciqfunctions.udf.CIQ($C$2,"IQ_EBITDA_LEASE_ADJUSTED", J$6,$F$2,,,Ccy,Conv)</f>
        <v>12881</v>
      </c>
      <c r="I85" s="18">
        <f>_xll.ciqfunctions.udf.CIQ($C$2,"IQ_EBITDA_LEASE_ADJUSTED", K$6,$F$2,,,Ccy,Conv)</f>
        <v>13437</v>
      </c>
      <c r="J85" s="18">
        <f>_xll.ciqfunctions.udf.CIQ($C$2,"IQ_EBITDA_LEASE_ADJUSTED", L$6,$F$2,,,Ccy,Conv)</f>
        <v>6776</v>
      </c>
      <c r="K85" s="18">
        <f>_xll.ciqfunctions.udf.CIQ($C$2,"IQ_EBITDA_LEASE_ADJUSTED", M$6,$F$2,,,Ccy,Conv)</f>
        <v>14691</v>
      </c>
      <c r="L85" s="18">
        <f>_xll.ciqfunctions.udf.CIQ($C$2,"IQ_EBITDA_LEASE_ADJUSTED", N$6,$F$2,,,Ccy,Conv)</f>
        <v>11751</v>
      </c>
      <c r="M85" s="18"/>
      <c r="N85" s="18">
        <f>_xll.ciqfunctions.udf.CIQ($C$2,"IQ_EBITDA_LEASE_ADJUSTED", P$6,$F$2,,,Ccy,Conv)</f>
        <v>11751</v>
      </c>
      <c r="O85" s="222"/>
      <c r="P85" s="198"/>
      <c r="Q85" s="198"/>
      <c r="R85" s="198"/>
      <c r="S85" s="198"/>
      <c r="T85" s="223"/>
      <c r="U85" s="223"/>
      <c r="V85" s="223"/>
      <c r="W85" s="222"/>
      <c r="X85" s="215"/>
      <c r="Y85" s="215"/>
      <c r="Z85" s="215"/>
      <c r="AA85" s="215"/>
      <c r="AB85" s="215"/>
      <c r="AC85" s="198"/>
      <c r="AD85" s="198"/>
      <c r="AE85" s="198"/>
      <c r="AF85" s="215"/>
      <c r="AG85" s="198"/>
      <c r="AH85" s="198"/>
      <c r="AI85" s="198"/>
      <c r="AJ85" s="198"/>
      <c r="AK85" s="198"/>
      <c r="AL85" s="198"/>
      <c r="AM85" s="198"/>
      <c r="AN85" s="198"/>
      <c r="AO85" s="198"/>
      <c r="AP85" s="198"/>
      <c r="AQ85" s="198"/>
      <c r="AR85" s="198"/>
      <c r="AS85" s="198"/>
      <c r="AT85" s="198"/>
      <c r="AU85" s="198"/>
      <c r="AV85" s="198"/>
      <c r="AW85" s="198"/>
      <c r="AX85" s="198"/>
      <c r="AY85" s="198"/>
      <c r="AZ85" s="198"/>
      <c r="BA85" s="198"/>
      <c r="BB85" s="198"/>
      <c r="BC85" s="198"/>
      <c r="BD85" s="198"/>
      <c r="BE85" s="198"/>
      <c r="BF85" s="198"/>
      <c r="BG85" s="198"/>
      <c r="BH85" s="198"/>
      <c r="BI85" s="198"/>
      <c r="BJ85" s="198"/>
      <c r="BK85" s="198"/>
      <c r="BL85" s="198"/>
      <c r="BM85" s="198"/>
      <c r="BN85" s="198"/>
      <c r="BO85" s="198"/>
      <c r="BP85" s="198"/>
      <c r="BQ85" s="198"/>
      <c r="BR85" s="198"/>
      <c r="BS85" s="198"/>
      <c r="BT85" s="198"/>
      <c r="BU85" s="198"/>
      <c r="BV85" s="198"/>
      <c r="BW85" s="198"/>
      <c r="BX85" s="198"/>
    </row>
    <row r="86" spans="1:76" x14ac:dyDescent="0.25">
      <c r="A86" s="2" t="str">
        <f>'Language Index'!A110</f>
        <v>Lease Adjustment for EBITDA</v>
      </c>
      <c r="B86" s="18">
        <f>_xll.ciqfunctions.udf.CIQ($C$2,"IQ_LEASE_ADJUSTMENT_EBITDA", D$6,$F$2,,,Ccy,Conv)</f>
        <v>0</v>
      </c>
      <c r="C86" s="18">
        <f>_xll.ciqfunctions.udf.CIQ($C$2,"IQ_LEASE_ADJUSTMENT_EBITDA", E$6,$F$2,,,Ccy,Conv)</f>
        <v>0</v>
      </c>
      <c r="D86" s="18">
        <f>_xll.ciqfunctions.udf.CIQ($C$2,"IQ_LEASE_ADJUSTMENT_EBITDA", F$6,$F$2,,,Ccy,Conv)</f>
        <v>0</v>
      </c>
      <c r="E86" s="18">
        <f>_xll.ciqfunctions.udf.CIQ($C$2,"IQ_LEASE_ADJUSTMENT_EBITDA", G$6,$F$2,,,Ccy,Conv)</f>
        <v>0</v>
      </c>
      <c r="F86" s="18">
        <f>_xll.ciqfunctions.udf.CIQ($C$2,"IQ_LEASE_ADJUSTMENT_EBITDA", H$6,$F$2,,,Ccy,Conv)</f>
        <v>0</v>
      </c>
      <c r="G86" s="18">
        <f>_xll.ciqfunctions.udf.CIQ($C$2,"IQ_LEASE_ADJUSTMENT_EBITDA", I$6,$F$2,,,Ccy,Conv)</f>
        <v>1623</v>
      </c>
      <c r="H86" s="18">
        <f>_xll.ciqfunctions.udf.CIQ($C$2,"IQ_LEASE_ADJUSTMENT_EBITDA", J$6,$F$2,,,Ccy,Conv)</f>
        <v>1524</v>
      </c>
      <c r="I86" s="18">
        <f>_xll.ciqfunctions.udf.CIQ($C$2,"IQ_LEASE_ADJUSTMENT_EBITDA", K$6,$F$2,,,Ccy,Conv)</f>
        <v>1437</v>
      </c>
      <c r="J86" s="18">
        <f>_xll.ciqfunctions.udf.CIQ($C$2,"IQ_LEASE_ADJUSTMENT_EBITDA", L$6,$F$2,,,Ccy,Conv)</f>
        <v>1247</v>
      </c>
      <c r="K86" s="18">
        <f>_xll.ciqfunctions.udf.CIQ($C$2,"IQ_LEASE_ADJUSTMENT_EBITDA", M$6,$F$2,,,Ccy,Conv)</f>
        <v>1292</v>
      </c>
      <c r="L86" s="18">
        <f>_xll.ciqfunctions.udf.CIQ($C$2,"IQ_LEASE_ADJUSTMENT_EBITDA", N$6,$F$2,,,Ccy,Conv)</f>
        <v>1309</v>
      </c>
      <c r="M86" s="18"/>
      <c r="N86" s="18">
        <f>_xll.ciqfunctions.udf.CIQ($C$2,"IQ_LEASE_ADJUSTMENT_EBITDA", P$6,$F$2,,,Ccy,Conv)</f>
        <v>1309</v>
      </c>
      <c r="O86" s="222"/>
      <c r="P86" s="198"/>
      <c r="Q86" s="198"/>
      <c r="R86" s="198"/>
      <c r="S86" s="198"/>
      <c r="T86" s="223"/>
      <c r="U86" s="223"/>
      <c r="V86" s="223"/>
      <c r="W86" s="222"/>
      <c r="X86" s="215"/>
      <c r="Y86" s="215"/>
      <c r="Z86" s="215"/>
      <c r="AA86" s="215"/>
      <c r="AB86" s="215"/>
      <c r="AC86" s="198"/>
      <c r="AD86" s="198"/>
      <c r="AE86" s="198"/>
      <c r="AF86" s="215"/>
      <c r="AG86" s="198"/>
      <c r="AH86" s="198"/>
      <c r="AI86" s="198"/>
      <c r="AJ86" s="198"/>
      <c r="AK86" s="198"/>
      <c r="AL86" s="198"/>
      <c r="AM86" s="198"/>
      <c r="AN86" s="198"/>
      <c r="AO86" s="198"/>
      <c r="AP86" s="198"/>
      <c r="AQ86" s="198"/>
      <c r="AR86" s="198"/>
      <c r="AS86" s="198"/>
      <c r="AT86" s="198"/>
      <c r="AU86" s="198"/>
      <c r="AV86" s="198"/>
      <c r="AW86" s="198"/>
      <c r="AX86" s="198"/>
      <c r="AY86" s="198"/>
      <c r="AZ86" s="198"/>
      <c r="BA86" s="198"/>
      <c r="BB86" s="198"/>
      <c r="BC86" s="198"/>
      <c r="BD86" s="198"/>
      <c r="BE86" s="198"/>
      <c r="BF86" s="198"/>
      <c r="BG86" s="198"/>
      <c r="BH86" s="198"/>
      <c r="BI86" s="198"/>
      <c r="BJ86" s="198"/>
      <c r="BK86" s="198"/>
      <c r="BL86" s="198"/>
      <c r="BM86" s="198"/>
      <c r="BN86" s="198"/>
      <c r="BO86" s="198"/>
      <c r="BP86" s="198"/>
      <c r="BQ86" s="198"/>
      <c r="BR86" s="198"/>
      <c r="BS86" s="198"/>
      <c r="BT86" s="198"/>
      <c r="BU86" s="198"/>
      <c r="BV86" s="198"/>
      <c r="BW86" s="198"/>
      <c r="BX86" s="198"/>
    </row>
    <row r="87" spans="1:76" x14ac:dyDescent="0.25">
      <c r="A87" s="2" t="str">
        <f>'Language Index'!A111</f>
        <v>EBITDA (Incl. Equity Inc. from Affiliates, Excl. Op. Lease Adj.)</v>
      </c>
      <c r="B87" s="18">
        <f>_xll.ciqfunctions.udf.CIQ($C$2,"IQ_EBITDA_EQ_INC_EXCL_OPER_LEASE_ADJ", D$6,$F$2,,,Ccy,Conv)</f>
        <v>24621</v>
      </c>
      <c r="C87" s="18">
        <f>_xll.ciqfunctions.udf.CIQ($C$2,"IQ_EBITDA_EQ_INC_EXCL_OPER_LEASE_ADJ", E$6,$F$2,,,Ccy,Conv)</f>
        <v>20372</v>
      </c>
      <c r="D87" s="18">
        <f>_xll.ciqfunctions.udf.CIQ($C$2,"IQ_EBITDA_EQ_INC_EXCL_OPER_LEASE_ADJ", F$6,$F$2,,,Ccy,Conv)</f>
        <v>18551</v>
      </c>
      <c r="E87" s="18">
        <f>_xll.ciqfunctions.udf.CIQ($C$2,"IQ_EBITDA_EQ_INC_EXCL_OPER_LEASE_ADJ", G$6,$F$2,,,Ccy,Conv)</f>
        <v>16223</v>
      </c>
      <c r="F87" s="18">
        <f>_xll.ciqfunctions.udf.CIQ($C$2,"IQ_EBITDA_EQ_INC_EXCL_OPER_LEASE_ADJ", H$6,$F$2,,,Ccy,Conv)</f>
        <v>17698</v>
      </c>
      <c r="G87" s="18">
        <f>_xll.ciqfunctions.udf.CIQ($C$2,"IQ_EBITDA_EQ_INC_EXCL_OPER_LEASE_ADJ", I$6,$F$2,,,Ccy,Conv)</f>
        <v>13598</v>
      </c>
      <c r="H87" s="18">
        <f>_xll.ciqfunctions.udf.CIQ($C$2,"IQ_EBITDA_EQ_INC_EXCL_OPER_LEASE_ADJ", J$6,$F$2,,,Ccy,Conv)</f>
        <v>11357</v>
      </c>
      <c r="I87" s="18">
        <f>_xll.ciqfunctions.udf.CIQ($C$2,"IQ_EBITDA_EQ_INC_EXCL_OPER_LEASE_ADJ", K$6,$F$2,,,Ccy,Conv)</f>
        <v>12000</v>
      </c>
      <c r="J87" s="18">
        <f>_xll.ciqfunctions.udf.CIQ($C$2,"IQ_EBITDA_EQ_INC_EXCL_OPER_LEASE_ADJ", L$6,$F$2,,,Ccy,Conv)</f>
        <v>5529</v>
      </c>
      <c r="K87" s="18">
        <f>_xll.ciqfunctions.udf.CIQ($C$2,"IQ_EBITDA_EQ_INC_EXCL_OPER_LEASE_ADJ", M$6,$F$2,,,Ccy,Conv)</f>
        <v>13399</v>
      </c>
      <c r="L87" s="18">
        <f>_xll.ciqfunctions.udf.CIQ($C$2,"IQ_EBITDA_EQ_INC_EXCL_OPER_LEASE_ADJ", N$6,$F$2,,,Ccy,Conv)</f>
        <v>10442</v>
      </c>
      <c r="M87" s="18"/>
      <c r="N87" s="18">
        <f>_xll.ciqfunctions.udf.CIQ($C$2,"IQ_EBITDA_EQ_INC_EXCL_OPER_LEASE_ADJ", P$6,$F$2,,,Ccy,Conv)</f>
        <v>10442</v>
      </c>
      <c r="O87" s="222"/>
      <c r="P87" s="198"/>
      <c r="Q87" s="198"/>
      <c r="R87" s="198"/>
      <c r="S87" s="198"/>
      <c r="T87" s="223"/>
      <c r="U87" s="223"/>
      <c r="V87" s="223"/>
      <c r="W87" s="222"/>
      <c r="X87" s="215"/>
      <c r="Y87" s="215"/>
      <c r="Z87" s="215"/>
      <c r="AA87" s="215"/>
      <c r="AB87" s="215"/>
      <c r="AC87" s="198"/>
      <c r="AD87" s="198"/>
      <c r="AE87" s="198"/>
      <c r="AF87" s="215"/>
      <c r="AG87" s="198"/>
      <c r="AH87" s="198"/>
      <c r="AI87" s="198"/>
      <c r="AJ87" s="198"/>
      <c r="AK87" s="198"/>
      <c r="AL87" s="198"/>
      <c r="AM87" s="198"/>
      <c r="AN87" s="198"/>
      <c r="AO87" s="198"/>
      <c r="AP87" s="198"/>
      <c r="AQ87" s="198"/>
      <c r="AR87" s="198"/>
      <c r="AS87" s="198"/>
      <c r="AT87" s="198"/>
      <c r="AU87" s="198"/>
      <c r="AV87" s="198"/>
      <c r="AW87" s="198"/>
      <c r="AX87" s="198"/>
      <c r="AY87" s="198"/>
      <c r="AZ87" s="198"/>
      <c r="BA87" s="198"/>
      <c r="BB87" s="198"/>
      <c r="BC87" s="198"/>
      <c r="BD87" s="198"/>
      <c r="BE87" s="198"/>
      <c r="BF87" s="198"/>
      <c r="BG87" s="198"/>
      <c r="BH87" s="198"/>
      <c r="BI87" s="198"/>
      <c r="BJ87" s="198"/>
      <c r="BK87" s="198"/>
      <c r="BL87" s="198"/>
      <c r="BM87" s="198"/>
      <c r="BN87" s="198"/>
      <c r="BO87" s="198"/>
      <c r="BP87" s="198"/>
      <c r="BQ87" s="198"/>
      <c r="BR87" s="198"/>
      <c r="BS87" s="198"/>
      <c r="BT87" s="198"/>
      <c r="BU87" s="198"/>
      <c r="BV87" s="198"/>
      <c r="BW87" s="198"/>
      <c r="BX87" s="198"/>
    </row>
    <row r="88" spans="1:76" x14ac:dyDescent="0.25">
      <c r="A88" s="2" t="str">
        <f>'Language Index'!A112</f>
        <v>EBIT</v>
      </c>
      <c r="B88" s="18">
        <f>_xll.ciqfunctions.udf.CIQ($C$2,"IQ_EBIT", D$6,$F$2,,,Ccy,Conv)</f>
        <v>20129</v>
      </c>
      <c r="C88" s="18">
        <f>_xll.ciqfunctions.udf.CIQ($C$2,"IQ_EBIT", E$6,$F$2,,,Ccy,Conv)</f>
        <v>16517</v>
      </c>
      <c r="D88" s="18">
        <f>_xll.ciqfunctions.udf.CIQ($C$2,"IQ_EBIT", F$6,$F$2,,,Ccy,Conv)</f>
        <v>14170</v>
      </c>
      <c r="E88" s="18">
        <f>_xll.ciqfunctions.udf.CIQ($C$2,"IQ_EBIT", G$6,$F$2,,,Ccy,Conv)</f>
        <v>11682</v>
      </c>
      <c r="F88" s="18">
        <f>_xll.ciqfunctions.udf.CIQ($C$2,"IQ_EBIT", H$6,$F$2,,,Ccy,Conv)</f>
        <v>13218</v>
      </c>
      <c r="G88" s="18">
        <f>_xll.ciqfunctions.udf.CIQ($C$2,"IQ_EBIT", I$6,$F$2,,,Ccy,Conv)</f>
        <v>7539</v>
      </c>
      <c r="H88" s="18">
        <f>_xll.ciqfunctions.udf.CIQ($C$2,"IQ_EBIT", J$6,$F$2,,,Ccy,Conv)</f>
        <v>4662</v>
      </c>
      <c r="I88" s="18">
        <f>_xll.ciqfunctions.udf.CIQ($C$2,"IQ_EBIT", K$6,$F$2,,,Ccy,Conv)</f>
        <v>5583</v>
      </c>
      <c r="J88" s="18">
        <f>_xll.ciqfunctions.udf.CIQ($C$2,"IQ_EBIT", L$6,$F$2,,,Ccy,Conv)</f>
        <v>1627</v>
      </c>
      <c r="K88" s="18">
        <f>_xll.ciqfunctions.udf.CIQ($C$2,"IQ_EBIT", M$6,$F$2,,,Ccy,Conv)</f>
        <v>9903</v>
      </c>
      <c r="L88" s="18">
        <f>_xll.ciqfunctions.udf.CIQ($C$2,"IQ_EBIT", N$6,$F$2,,,Ccy,Conv)</f>
        <v>6675</v>
      </c>
      <c r="M88" s="18"/>
      <c r="N88" s="18">
        <f>_xll.ciqfunctions.udf.CIQ($C$2,"IQ_EBIT", P$6,$F$2,,,Ccy,Conv)</f>
        <v>6675</v>
      </c>
      <c r="O88" s="222"/>
      <c r="P88" s="198"/>
      <c r="Q88" s="198"/>
      <c r="R88" s="198"/>
      <c r="S88" s="198"/>
      <c r="T88" s="223"/>
      <c r="U88" s="223"/>
      <c r="V88" s="223"/>
      <c r="W88" s="222"/>
      <c r="X88" s="215"/>
      <c r="Y88" s="215"/>
      <c r="Z88" s="215"/>
      <c r="AA88" s="215"/>
      <c r="AB88" s="215"/>
      <c r="AC88" s="198"/>
      <c r="AD88" s="198"/>
      <c r="AE88" s="198"/>
      <c r="AF88" s="215"/>
      <c r="AG88" s="198"/>
      <c r="AH88" s="198"/>
      <c r="AI88" s="198"/>
      <c r="AJ88" s="198"/>
      <c r="AK88" s="198"/>
      <c r="AL88" s="198"/>
      <c r="AM88" s="198"/>
      <c r="AN88" s="198"/>
      <c r="AO88" s="198"/>
      <c r="AP88" s="198"/>
      <c r="AQ88" s="198"/>
      <c r="AR88" s="198"/>
      <c r="AS88" s="198"/>
      <c r="AT88" s="198"/>
      <c r="AU88" s="198"/>
      <c r="AV88" s="198"/>
      <c r="AW88" s="198"/>
      <c r="AX88" s="198"/>
      <c r="AY88" s="198"/>
      <c r="AZ88" s="198"/>
      <c r="BA88" s="198"/>
      <c r="BB88" s="198"/>
      <c r="BC88" s="198"/>
      <c r="BD88" s="198"/>
      <c r="BE88" s="198"/>
      <c r="BF88" s="198"/>
      <c r="BG88" s="198"/>
      <c r="BH88" s="198"/>
      <c r="BI88" s="198"/>
      <c r="BJ88" s="198"/>
      <c r="BK88" s="198"/>
      <c r="BL88" s="198"/>
      <c r="BM88" s="198"/>
      <c r="BN88" s="198"/>
      <c r="BO88" s="198"/>
      <c r="BP88" s="198"/>
      <c r="BQ88" s="198"/>
      <c r="BR88" s="198"/>
      <c r="BS88" s="198"/>
      <c r="BT88" s="198"/>
      <c r="BU88" s="198"/>
      <c r="BV88" s="198"/>
      <c r="BW88" s="198"/>
      <c r="BX88" s="198"/>
    </row>
    <row r="89" spans="1:76" x14ac:dyDescent="0.25">
      <c r="A89" s="2" t="str">
        <f>'Language Index'!A113</f>
        <v>EBIT (Incl. Equity Inc. from Affiliates)</v>
      </c>
      <c r="B89" s="18">
        <f>_xll.ciqfunctions.udf.CIQ($C$2,"IQ_EBIT_EQ_INC", D$6,$F$2,,,Ccy,Conv)</f>
        <v>20129</v>
      </c>
      <c r="C89" s="18">
        <f>_xll.ciqfunctions.udf.CIQ($C$2,"IQ_EBIT_EQ_INC", E$6,$F$2,,,Ccy,Conv)</f>
        <v>16517</v>
      </c>
      <c r="D89" s="18">
        <f>_xll.ciqfunctions.udf.CIQ($C$2,"IQ_EBIT_EQ_INC", F$6,$F$2,,,Ccy,Conv)</f>
        <v>14170</v>
      </c>
      <c r="E89" s="18">
        <f>_xll.ciqfunctions.udf.CIQ($C$2,"IQ_EBIT_EQ_INC", G$6,$F$2,,,Ccy,Conv)</f>
        <v>11682</v>
      </c>
      <c r="F89" s="18">
        <f>_xll.ciqfunctions.udf.CIQ($C$2,"IQ_EBIT_EQ_INC", H$6,$F$2,,,Ccy,Conv)</f>
        <v>13218</v>
      </c>
      <c r="G89" s="18">
        <f>_xll.ciqfunctions.udf.CIQ($C$2,"IQ_EBIT_EQ_INC", I$6,$F$2,,,Ccy,Conv)</f>
        <v>7539</v>
      </c>
      <c r="H89" s="18">
        <f>_xll.ciqfunctions.udf.CIQ($C$2,"IQ_EBIT_EQ_INC", J$6,$F$2,,,Ccy,Conv)</f>
        <v>4662</v>
      </c>
      <c r="I89" s="18">
        <f>_xll.ciqfunctions.udf.CIQ($C$2,"IQ_EBIT_EQ_INC", K$6,$F$2,,,Ccy,Conv)</f>
        <v>5583</v>
      </c>
      <c r="J89" s="18">
        <f>_xll.ciqfunctions.udf.CIQ($C$2,"IQ_EBIT_EQ_INC", L$6,$F$2,,,Ccy,Conv)</f>
        <v>1627</v>
      </c>
      <c r="K89" s="18">
        <f>_xll.ciqfunctions.udf.CIQ($C$2,"IQ_EBIT_EQ_INC", M$6,$F$2,,,Ccy,Conv)</f>
        <v>9903</v>
      </c>
      <c r="L89" s="18">
        <f>_xll.ciqfunctions.udf.CIQ($C$2,"IQ_EBIT_EQ_INC", N$6,$F$2,,,Ccy,Conv)</f>
        <v>6675</v>
      </c>
      <c r="M89" s="18"/>
      <c r="N89" s="18">
        <f>_xll.ciqfunctions.udf.CIQ($C$2,"IQ_EBIT_EQ_INC", P$6,$F$2,,,Ccy,Conv)</f>
        <v>6675</v>
      </c>
      <c r="O89" s="222"/>
      <c r="P89" s="198"/>
      <c r="Q89" s="198"/>
      <c r="R89" s="198"/>
      <c r="S89" s="198"/>
      <c r="T89" s="223"/>
      <c r="U89" s="223"/>
      <c r="V89" s="223"/>
      <c r="W89" s="222"/>
      <c r="X89" s="215"/>
      <c r="Y89" s="215"/>
      <c r="Z89" s="215"/>
      <c r="AA89" s="215"/>
      <c r="AB89" s="215"/>
      <c r="AC89" s="198"/>
      <c r="AD89" s="198"/>
      <c r="AE89" s="198"/>
      <c r="AF89" s="215"/>
      <c r="AG89" s="198"/>
      <c r="AH89" s="198"/>
      <c r="AI89" s="198"/>
      <c r="AJ89" s="198"/>
      <c r="AK89" s="198"/>
      <c r="AL89" s="198"/>
      <c r="AM89" s="198"/>
      <c r="AN89" s="198"/>
      <c r="AO89" s="198"/>
      <c r="AP89" s="198"/>
      <c r="AQ89" s="198"/>
      <c r="AR89" s="198"/>
      <c r="AS89" s="198"/>
      <c r="AT89" s="198"/>
      <c r="AU89" s="198"/>
      <c r="AV89" s="198"/>
      <c r="AW89" s="198"/>
      <c r="AX89" s="198"/>
      <c r="AY89" s="198"/>
      <c r="AZ89" s="198"/>
      <c r="BA89" s="198"/>
      <c r="BB89" s="198"/>
      <c r="BC89" s="198"/>
      <c r="BD89" s="198"/>
      <c r="BE89" s="198"/>
      <c r="BF89" s="198"/>
      <c r="BG89" s="198"/>
      <c r="BH89" s="198"/>
      <c r="BI89" s="198"/>
      <c r="BJ89" s="198"/>
      <c r="BK89" s="198"/>
      <c r="BL89" s="198"/>
      <c r="BM89" s="198"/>
      <c r="BN89" s="198"/>
      <c r="BO89" s="198"/>
      <c r="BP89" s="198"/>
      <c r="BQ89" s="198"/>
      <c r="BR89" s="198"/>
      <c r="BS89" s="198"/>
      <c r="BT89" s="198"/>
      <c r="BU89" s="198"/>
      <c r="BV89" s="198"/>
      <c r="BW89" s="198"/>
      <c r="BX89" s="198"/>
    </row>
    <row r="90" spans="1:76" x14ac:dyDescent="0.25">
      <c r="A90" s="2" t="str">
        <f>'Language Index'!A114</f>
        <v>EBIT (Excl. SBC and Incl. Equity Inc. from Affiliates)</v>
      </c>
      <c r="B90" s="18">
        <f>_xll.ciqfunctions.udf.CIQ($C$2,"IQ_EBIT_EQ_INC_EXCL_SBC", D$6,$F$2,,,Ccy,Conv)</f>
        <v>20641</v>
      </c>
      <c r="C90" s="18">
        <f>_xll.ciqfunctions.udf.CIQ($C$2,"IQ_EBIT_EQ_INC_EXCL_SBC", E$6,$F$2,,,Ccy,Conv)</f>
        <v>16985</v>
      </c>
      <c r="D90" s="18">
        <f>_xll.ciqfunctions.udf.CIQ($C$2,"IQ_EBIT_EQ_INC_EXCL_SBC", F$6,$F$2,,,Ccy,Conv)</f>
        <v>14714</v>
      </c>
      <c r="E90" s="18">
        <f>_xll.ciqfunctions.udf.CIQ($C$2,"IQ_EBIT_EQ_INC_EXCL_SBC", G$6,$F$2,,,Ccy,Conv)</f>
        <v>12216</v>
      </c>
      <c r="F90" s="18">
        <f>_xll.ciqfunctions.udf.CIQ($C$2,"IQ_EBIT_EQ_INC_EXCL_SBC", H$6,$F$2,,,Ccy,Conv)</f>
        <v>13728</v>
      </c>
      <c r="G90" s="18">
        <f>_xll.ciqfunctions.udf.CIQ($C$2,"IQ_EBIT_EQ_INC_EXCL_SBC", I$6,$F$2,,,Ccy,Conv)</f>
        <v>8218</v>
      </c>
      <c r="H90" s="18">
        <f>_xll.ciqfunctions.udf.CIQ($C$2,"IQ_EBIT_EQ_INC_EXCL_SBC", J$6,$F$2,,,Ccy,Conv)</f>
        <v>5599</v>
      </c>
      <c r="I90" s="18">
        <f>_xll.ciqfunctions.udf.CIQ($C$2,"IQ_EBIT_EQ_INC_EXCL_SBC", K$6,$F$2,,,Ccy,Conv)</f>
        <v>6565</v>
      </c>
      <c r="J90" s="18">
        <f>_xll.ciqfunctions.udf.CIQ($C$2,"IQ_EBIT_EQ_INC_EXCL_SBC", L$6,$F$2,,,Ccy,Conv)</f>
        <v>2615</v>
      </c>
      <c r="K90" s="18">
        <f>_xll.ciqfunctions.udf.CIQ($C$2,"IQ_EBIT_EQ_INC_EXCL_SBC", M$6,$F$2,,,Ccy,Conv)</f>
        <v>11037</v>
      </c>
      <c r="L90" s="18">
        <f>_xll.ciqfunctions.udf.CIQ($C$2,"IQ_EBIT_EQ_INC_EXCL_SBC", N$6,$F$2,,,Ccy,Conv)</f>
        <v>7986</v>
      </c>
      <c r="M90" s="18"/>
      <c r="N90" s="18">
        <f>_xll.ciqfunctions.udf.CIQ($C$2,"IQ_EBIT_EQ_INC_EXCL_SBC", P$6,$F$2,,,Ccy,Conv)</f>
        <v>7986</v>
      </c>
      <c r="O90" s="222"/>
      <c r="P90" s="198"/>
      <c r="Q90" s="198"/>
      <c r="R90" s="198"/>
      <c r="S90" s="198"/>
      <c r="T90" s="223"/>
      <c r="U90" s="223"/>
      <c r="V90" s="223"/>
      <c r="W90" s="222"/>
      <c r="X90" s="215"/>
      <c r="Y90" s="215"/>
      <c r="Z90" s="215"/>
      <c r="AA90" s="215"/>
      <c r="AB90" s="215"/>
      <c r="AC90" s="198"/>
      <c r="AD90" s="198"/>
      <c r="AE90" s="198"/>
      <c r="AF90" s="215"/>
      <c r="AG90" s="198"/>
      <c r="AH90" s="198"/>
      <c r="AI90" s="198"/>
      <c r="AJ90" s="198"/>
      <c r="AK90" s="198"/>
      <c r="AL90" s="198"/>
      <c r="AM90" s="198"/>
      <c r="AN90" s="198"/>
      <c r="AO90" s="198"/>
      <c r="AP90" s="198"/>
      <c r="AQ90" s="198"/>
      <c r="AR90" s="198"/>
      <c r="AS90" s="198"/>
      <c r="AT90" s="198"/>
      <c r="AU90" s="198"/>
      <c r="AV90" s="198"/>
      <c r="AW90" s="198"/>
      <c r="AX90" s="198"/>
      <c r="AY90" s="198"/>
      <c r="AZ90" s="198"/>
      <c r="BA90" s="198"/>
      <c r="BB90" s="198"/>
      <c r="BC90" s="198"/>
      <c r="BD90" s="198"/>
      <c r="BE90" s="198"/>
      <c r="BF90" s="198"/>
      <c r="BG90" s="198"/>
      <c r="BH90" s="198"/>
      <c r="BI90" s="198"/>
      <c r="BJ90" s="198"/>
      <c r="BK90" s="198"/>
      <c r="BL90" s="198"/>
      <c r="BM90" s="198"/>
      <c r="BN90" s="198"/>
      <c r="BO90" s="198"/>
      <c r="BP90" s="198"/>
      <c r="BQ90" s="198"/>
      <c r="BR90" s="198"/>
      <c r="BS90" s="198"/>
      <c r="BT90" s="198"/>
      <c r="BU90" s="198"/>
      <c r="BV90" s="198"/>
      <c r="BW90" s="198"/>
      <c r="BX90" s="198"/>
    </row>
    <row r="91" spans="1:76" x14ac:dyDescent="0.25">
      <c r="A91" s="2" t="str">
        <f>'Language Index'!A115</f>
        <v>EBIT (Excl. SBC)</v>
      </c>
      <c r="B91" s="18">
        <f>_xll.ciqfunctions.udf.CIQ($C$2,"IQ_EBIT_EXCL_SBC", D$6,$F$2,,,Ccy,Conv)</f>
        <v>20641</v>
      </c>
      <c r="C91" s="18">
        <f>_xll.ciqfunctions.udf.CIQ($C$2,"IQ_EBIT_EXCL_SBC", E$6,$F$2,,,Ccy,Conv)</f>
        <v>16985</v>
      </c>
      <c r="D91" s="18">
        <f>_xll.ciqfunctions.udf.CIQ($C$2,"IQ_EBIT_EXCL_SBC", F$6,$F$2,,,Ccy,Conv)</f>
        <v>14714</v>
      </c>
      <c r="E91" s="18">
        <f>_xll.ciqfunctions.udf.CIQ($C$2,"IQ_EBIT_EXCL_SBC", G$6,$F$2,,,Ccy,Conv)</f>
        <v>12216</v>
      </c>
      <c r="F91" s="18">
        <f>_xll.ciqfunctions.udf.CIQ($C$2,"IQ_EBIT_EXCL_SBC", H$6,$F$2,,,Ccy,Conv)</f>
        <v>13728</v>
      </c>
      <c r="G91" s="18">
        <f>_xll.ciqfunctions.udf.CIQ($C$2,"IQ_EBIT_EXCL_SBC", I$6,$F$2,,,Ccy,Conv)</f>
        <v>8218</v>
      </c>
      <c r="H91" s="18">
        <f>_xll.ciqfunctions.udf.CIQ($C$2,"IQ_EBIT_EXCL_SBC", J$6,$F$2,,,Ccy,Conv)</f>
        <v>5599</v>
      </c>
      <c r="I91" s="18">
        <f>_xll.ciqfunctions.udf.CIQ($C$2,"IQ_EBIT_EXCL_SBC", K$6,$F$2,,,Ccy,Conv)</f>
        <v>6565</v>
      </c>
      <c r="J91" s="18">
        <f>_xll.ciqfunctions.udf.CIQ($C$2,"IQ_EBIT_EXCL_SBC", L$6,$F$2,,,Ccy,Conv)</f>
        <v>2615</v>
      </c>
      <c r="K91" s="18">
        <f>_xll.ciqfunctions.udf.CIQ($C$2,"IQ_EBIT_EXCL_SBC", M$6,$F$2,,,Ccy,Conv)</f>
        <v>11037</v>
      </c>
      <c r="L91" s="18">
        <f>_xll.ciqfunctions.udf.CIQ($C$2,"IQ_EBIT_EXCL_SBC", N$6,$F$2,,,Ccy,Conv)</f>
        <v>7986</v>
      </c>
      <c r="M91" s="18"/>
      <c r="N91" s="18">
        <f>_xll.ciqfunctions.udf.CIQ($C$2,"IQ_EBIT_EXCL_SBC", P$6,$F$2,,,Ccy,Conv)</f>
        <v>7986</v>
      </c>
      <c r="O91" s="222"/>
      <c r="P91" s="198"/>
      <c r="Q91" s="198"/>
      <c r="R91" s="198"/>
      <c r="S91" s="198"/>
      <c r="T91" s="223"/>
      <c r="U91" s="223"/>
      <c r="V91" s="223"/>
      <c r="W91" s="222"/>
      <c r="X91" s="215"/>
      <c r="Y91" s="215"/>
      <c r="Z91" s="215"/>
      <c r="AA91" s="215"/>
      <c r="AB91" s="215"/>
      <c r="AC91" s="198"/>
      <c r="AD91" s="198"/>
      <c r="AE91" s="198"/>
      <c r="AF91" s="215"/>
      <c r="AG91" s="198"/>
      <c r="AH91" s="198"/>
      <c r="AI91" s="198"/>
      <c r="AJ91" s="198"/>
      <c r="AK91" s="198"/>
      <c r="AL91" s="198"/>
      <c r="AM91" s="198"/>
      <c r="AN91" s="198"/>
      <c r="AO91" s="198"/>
      <c r="AP91" s="198"/>
      <c r="AQ91" s="198"/>
      <c r="AR91" s="198"/>
      <c r="AS91" s="198"/>
      <c r="AT91" s="198"/>
      <c r="AU91" s="198"/>
      <c r="AV91" s="198"/>
      <c r="AW91" s="198"/>
      <c r="AX91" s="198"/>
      <c r="AY91" s="198"/>
      <c r="AZ91" s="198"/>
      <c r="BA91" s="198"/>
      <c r="BB91" s="198"/>
      <c r="BC91" s="198"/>
      <c r="BD91" s="198"/>
      <c r="BE91" s="198"/>
      <c r="BF91" s="198"/>
      <c r="BG91" s="198"/>
      <c r="BH91" s="198"/>
      <c r="BI91" s="198"/>
      <c r="BJ91" s="198"/>
      <c r="BK91" s="198"/>
      <c r="BL91" s="198"/>
      <c r="BM91" s="198"/>
      <c r="BN91" s="198"/>
      <c r="BO91" s="198"/>
      <c r="BP91" s="198"/>
      <c r="BQ91" s="198"/>
      <c r="BR91" s="198"/>
      <c r="BS91" s="198"/>
      <c r="BT91" s="198"/>
      <c r="BU91" s="198"/>
      <c r="BV91" s="198"/>
      <c r="BW91" s="198"/>
      <c r="BX91" s="198"/>
    </row>
    <row r="92" spans="1:76" x14ac:dyDescent="0.25">
      <c r="A92" s="2" t="str">
        <f>'Language Index'!A116</f>
        <v>EBITA</v>
      </c>
      <c r="B92" s="18">
        <f>_xll.ciqfunctions.udf.CIQ($C$2,"IQ_EBITA", D$6,$F$2,,,Ccy,Conv)</f>
        <v>21476</v>
      </c>
      <c r="C92" s="18">
        <f>_xll.ciqfunctions.udf.CIQ($C$2,"IQ_EBITA", E$6,$F$2,,,Ccy,Conv)</f>
        <v>17710</v>
      </c>
      <c r="D92" s="18">
        <f>_xll.ciqfunctions.udf.CIQ($C$2,"IQ_EBITA", F$6,$F$2,,,Ccy,Conv)</f>
        <v>15714</v>
      </c>
      <c r="E92" s="18">
        <f>_xll.ciqfunctions.udf.CIQ($C$2,"IQ_EBITA", G$6,$F$2,,,Ccy,Conv)</f>
        <v>13202</v>
      </c>
      <c r="F92" s="18">
        <f>_xll.ciqfunctions.udf.CIQ($C$2,"IQ_EBITA", H$6,$F$2,,,Ccy,Conv)</f>
        <v>14571</v>
      </c>
      <c r="G92" s="18">
        <f>_xll.ciqfunctions.udf.CIQ($C$2,"IQ_EBITA", I$6,$F$2,,,Ccy,Conv)</f>
        <v>9389</v>
      </c>
      <c r="H92" s="18">
        <f>_xll.ciqfunctions.udf.CIQ($C$2,"IQ_EBITA", J$6,$F$2,,,Ccy,Conv)</f>
        <v>7130</v>
      </c>
      <c r="I92" s="18">
        <f>_xll.ciqfunctions.udf.CIQ($C$2,"IQ_EBITA", K$6,$F$2,,,Ccy,Conv)</f>
        <v>8112</v>
      </c>
      <c r="J92" s="18">
        <f>_xll.ciqfunctions.udf.CIQ($C$2,"IQ_EBITA", L$6,$F$2,,,Ccy,Conv)</f>
        <v>4022</v>
      </c>
      <c r="K92" s="18">
        <f>_xll.ciqfunctions.udf.CIQ($C$2,"IQ_EBITA", M$6,$F$2,,,Ccy,Conv)</f>
        <v>12190</v>
      </c>
      <c r="L92" s="18">
        <f>_xll.ciqfunctions.udf.CIQ($C$2,"IQ_EBITA", N$6,$F$2,,,Ccy,Conv)</f>
        <v>9174</v>
      </c>
      <c r="M92" s="18"/>
      <c r="N92" s="18">
        <f>_xll.ciqfunctions.udf.CIQ($C$2,"IQ_EBITA", P$6,$F$2,,,Ccy,Conv)</f>
        <v>9174</v>
      </c>
      <c r="O92" s="222"/>
      <c r="P92" s="198"/>
      <c r="Q92" s="198"/>
      <c r="R92" s="198"/>
      <c r="S92" s="198"/>
      <c r="T92" s="223"/>
      <c r="U92" s="223"/>
      <c r="V92" s="223"/>
      <c r="W92" s="222"/>
      <c r="X92" s="215"/>
      <c r="Y92" s="215"/>
      <c r="Z92" s="215"/>
      <c r="AA92" s="215"/>
      <c r="AB92" s="215"/>
      <c r="AC92" s="198"/>
      <c r="AD92" s="198"/>
      <c r="AE92" s="198"/>
      <c r="AF92" s="215"/>
      <c r="AG92" s="198"/>
      <c r="AH92" s="198"/>
      <c r="AI92" s="198"/>
      <c r="AJ92" s="198"/>
      <c r="AK92" s="198"/>
      <c r="AL92" s="198"/>
      <c r="AM92" s="198"/>
      <c r="AN92" s="198"/>
      <c r="AO92" s="198"/>
      <c r="AP92" s="198"/>
      <c r="AQ92" s="198"/>
      <c r="AR92" s="198"/>
      <c r="AS92" s="198"/>
      <c r="AT92" s="198"/>
      <c r="AU92" s="198"/>
      <c r="AV92" s="198"/>
      <c r="AW92" s="198"/>
      <c r="AX92" s="198"/>
      <c r="AY92" s="198"/>
      <c r="AZ92" s="198"/>
      <c r="BA92" s="198"/>
      <c r="BB92" s="198"/>
      <c r="BC92" s="198"/>
      <c r="BD92" s="198"/>
      <c r="BE92" s="198"/>
      <c r="BF92" s="198"/>
      <c r="BG92" s="198"/>
      <c r="BH92" s="198"/>
      <c r="BI92" s="198"/>
      <c r="BJ92" s="198"/>
      <c r="BK92" s="198"/>
      <c r="BL92" s="198"/>
      <c r="BM92" s="198"/>
      <c r="BN92" s="198"/>
      <c r="BO92" s="198"/>
      <c r="BP92" s="198"/>
      <c r="BQ92" s="198"/>
      <c r="BR92" s="198"/>
      <c r="BS92" s="198"/>
      <c r="BT92" s="198"/>
      <c r="BU92" s="198"/>
      <c r="BV92" s="198"/>
      <c r="BW92" s="198"/>
      <c r="BX92" s="198"/>
    </row>
    <row r="93" spans="1:76" x14ac:dyDescent="0.25">
      <c r="A93" s="2" t="str">
        <f>'Language Index'!A117</f>
        <v>EBITA (Incl. Equity Inc. from Affiliates)</v>
      </c>
      <c r="B93" s="18">
        <f>_xll.ciqfunctions.udf.CIQ($C$2,"IQ_EBITA_EQ_INC", D$6,$F$2,,,Ccy,Conv)</f>
        <v>21476</v>
      </c>
      <c r="C93" s="18">
        <f>_xll.ciqfunctions.udf.CIQ($C$2,"IQ_EBITA_EQ_INC", E$6,$F$2,,,Ccy,Conv)</f>
        <v>17710</v>
      </c>
      <c r="D93" s="18">
        <f>_xll.ciqfunctions.udf.CIQ($C$2,"IQ_EBITA_EQ_INC", F$6,$F$2,,,Ccy,Conv)</f>
        <v>15714</v>
      </c>
      <c r="E93" s="18">
        <f>_xll.ciqfunctions.udf.CIQ($C$2,"IQ_EBITA_EQ_INC", G$6,$F$2,,,Ccy,Conv)</f>
        <v>13202</v>
      </c>
      <c r="F93" s="18">
        <f>_xll.ciqfunctions.udf.CIQ($C$2,"IQ_EBITA_EQ_INC", H$6,$F$2,,,Ccy,Conv)</f>
        <v>14571</v>
      </c>
      <c r="G93" s="18">
        <f>_xll.ciqfunctions.udf.CIQ($C$2,"IQ_EBITA_EQ_INC", I$6,$F$2,,,Ccy,Conv)</f>
        <v>9389</v>
      </c>
      <c r="H93" s="18">
        <f>_xll.ciqfunctions.udf.CIQ($C$2,"IQ_EBITA_EQ_INC", J$6,$F$2,,,Ccy,Conv)</f>
        <v>7130</v>
      </c>
      <c r="I93" s="18">
        <f>_xll.ciqfunctions.udf.CIQ($C$2,"IQ_EBITA_EQ_INC", K$6,$F$2,,,Ccy,Conv)</f>
        <v>8112</v>
      </c>
      <c r="J93" s="18">
        <f>_xll.ciqfunctions.udf.CIQ($C$2,"IQ_EBITA_EQ_INC", L$6,$F$2,,,Ccy,Conv)</f>
        <v>4022</v>
      </c>
      <c r="K93" s="18">
        <f>_xll.ciqfunctions.udf.CIQ($C$2,"IQ_EBITA_EQ_INC", M$6,$F$2,,,Ccy,Conv)</f>
        <v>12190</v>
      </c>
      <c r="L93" s="18">
        <f>_xll.ciqfunctions.udf.CIQ($C$2,"IQ_EBITA_EQ_INC", N$6,$F$2,,,Ccy,Conv)</f>
        <v>9174</v>
      </c>
      <c r="M93" s="18"/>
      <c r="N93" s="18">
        <f>_xll.ciqfunctions.udf.CIQ($C$2,"IQ_EBITA_EQ_INC", P$6,$F$2,,,Ccy,Conv)</f>
        <v>9174</v>
      </c>
      <c r="O93" s="222"/>
      <c r="P93" s="198"/>
      <c r="Q93" s="198"/>
      <c r="R93" s="198"/>
      <c r="S93" s="198"/>
      <c r="T93" s="223"/>
      <c r="U93" s="223"/>
      <c r="V93" s="223"/>
      <c r="W93" s="222"/>
      <c r="X93" s="215"/>
      <c r="Y93" s="215"/>
      <c r="Z93" s="215"/>
      <c r="AA93" s="215"/>
      <c r="AB93" s="215"/>
      <c r="AC93" s="198"/>
      <c r="AD93" s="198"/>
      <c r="AE93" s="198"/>
      <c r="AF93" s="215"/>
      <c r="AG93" s="198"/>
      <c r="AH93" s="198"/>
      <c r="AI93" s="198"/>
      <c r="AJ93" s="198"/>
      <c r="AK93" s="198"/>
      <c r="AL93" s="198"/>
      <c r="AM93" s="198"/>
      <c r="AN93" s="198"/>
      <c r="AO93" s="198"/>
      <c r="AP93" s="198"/>
      <c r="AQ93" s="198"/>
      <c r="AR93" s="198"/>
      <c r="AS93" s="198"/>
      <c r="AT93" s="198"/>
      <c r="AU93" s="198"/>
      <c r="AV93" s="198"/>
      <c r="AW93" s="198"/>
      <c r="AX93" s="198"/>
      <c r="AY93" s="198"/>
      <c r="AZ93" s="198"/>
      <c r="BA93" s="198"/>
      <c r="BB93" s="198"/>
      <c r="BC93" s="198"/>
      <c r="BD93" s="198"/>
      <c r="BE93" s="198"/>
      <c r="BF93" s="198"/>
      <c r="BG93" s="198"/>
      <c r="BH93" s="198"/>
      <c r="BI93" s="198"/>
      <c r="BJ93" s="198"/>
      <c r="BK93" s="198"/>
      <c r="BL93" s="198"/>
      <c r="BM93" s="198"/>
      <c r="BN93" s="198"/>
      <c r="BO93" s="198"/>
      <c r="BP93" s="198"/>
      <c r="BQ93" s="198"/>
      <c r="BR93" s="198"/>
      <c r="BS93" s="198"/>
      <c r="BT93" s="198"/>
      <c r="BU93" s="198"/>
      <c r="BV93" s="198"/>
      <c r="BW93" s="198"/>
      <c r="BX93" s="198"/>
    </row>
    <row r="94" spans="1:76" x14ac:dyDescent="0.25">
      <c r="A94" s="2" t="str">
        <f>'Language Index'!A118</f>
        <v>EBITA (Excl. SBC and Incl. Equity Inc. from Affiliates)</v>
      </c>
      <c r="B94" s="18">
        <f>_xll.ciqfunctions.udf.CIQ($C$2,"IQ_EBITA_EQ_INC_EXCL_SBC", D$6,$F$2,,,Ccy,Conv)</f>
        <v>21988</v>
      </c>
      <c r="C94" s="18">
        <f>_xll.ciqfunctions.udf.CIQ($C$2,"IQ_EBITA_EQ_INC_EXCL_SBC", E$6,$F$2,,,Ccy,Conv)</f>
        <v>18178</v>
      </c>
      <c r="D94" s="18">
        <f>_xll.ciqfunctions.udf.CIQ($C$2,"IQ_EBITA_EQ_INC_EXCL_SBC", F$6,$F$2,,,Ccy,Conv)</f>
        <v>16258</v>
      </c>
      <c r="E94" s="18">
        <f>_xll.ciqfunctions.udf.CIQ($C$2,"IQ_EBITA_EQ_INC_EXCL_SBC", G$6,$F$2,,,Ccy,Conv)</f>
        <v>13736</v>
      </c>
      <c r="F94" s="18">
        <f>_xll.ciqfunctions.udf.CIQ($C$2,"IQ_EBITA_EQ_INC_EXCL_SBC", H$6,$F$2,,,Ccy,Conv)</f>
        <v>15081</v>
      </c>
      <c r="G94" s="18">
        <f>_xll.ciqfunctions.udf.CIQ($C$2,"IQ_EBITA_EQ_INC_EXCL_SBC", I$6,$F$2,,,Ccy,Conv)</f>
        <v>10068</v>
      </c>
      <c r="H94" s="18">
        <f>_xll.ciqfunctions.udf.CIQ($C$2,"IQ_EBITA_EQ_INC_EXCL_SBC", J$6,$F$2,,,Ccy,Conv)</f>
        <v>8067</v>
      </c>
      <c r="I94" s="18">
        <f>_xll.ciqfunctions.udf.CIQ($C$2,"IQ_EBITA_EQ_INC_EXCL_SBC", K$6,$F$2,,,Ccy,Conv)</f>
        <v>9094</v>
      </c>
      <c r="J94" s="18">
        <f>_xll.ciqfunctions.udf.CIQ($C$2,"IQ_EBITA_EQ_INC_EXCL_SBC", L$6,$F$2,,,Ccy,Conv)</f>
        <v>5010</v>
      </c>
      <c r="K94" s="18">
        <f>_xll.ciqfunctions.udf.CIQ($C$2,"IQ_EBITA_EQ_INC_EXCL_SBC", M$6,$F$2,,,Ccy,Conv)</f>
        <v>13324</v>
      </c>
      <c r="L94" s="18">
        <f>_xll.ciqfunctions.udf.CIQ($C$2,"IQ_EBITA_EQ_INC_EXCL_SBC", N$6,$F$2,,,Ccy,Conv)</f>
        <v>10485</v>
      </c>
      <c r="M94" s="18"/>
      <c r="N94" s="18">
        <f>_xll.ciqfunctions.udf.CIQ($C$2,"IQ_EBITA_EQ_INC_EXCL_SBC", P$6,$F$2,,,Ccy,Conv)</f>
        <v>10485</v>
      </c>
      <c r="O94" s="222"/>
      <c r="P94" s="198"/>
      <c r="Q94" s="198"/>
      <c r="R94" s="198"/>
      <c r="S94" s="198"/>
      <c r="T94" s="223"/>
      <c r="U94" s="223"/>
      <c r="V94" s="223"/>
      <c r="W94" s="222"/>
      <c r="X94" s="215"/>
      <c r="Y94" s="215"/>
      <c r="Z94" s="215"/>
      <c r="AA94" s="215"/>
      <c r="AB94" s="215"/>
      <c r="AC94" s="198"/>
      <c r="AD94" s="198"/>
      <c r="AE94" s="198"/>
      <c r="AF94" s="215"/>
      <c r="AG94" s="198"/>
      <c r="AH94" s="198"/>
      <c r="AI94" s="198"/>
      <c r="AJ94" s="198"/>
      <c r="AK94" s="198"/>
      <c r="AL94" s="198"/>
      <c r="AM94" s="198"/>
      <c r="AN94" s="198"/>
      <c r="AO94" s="198"/>
      <c r="AP94" s="198"/>
      <c r="AQ94" s="198"/>
      <c r="AR94" s="198"/>
      <c r="AS94" s="198"/>
      <c r="AT94" s="198"/>
      <c r="AU94" s="198"/>
      <c r="AV94" s="198"/>
      <c r="AW94" s="198"/>
      <c r="AX94" s="198"/>
      <c r="AY94" s="198"/>
      <c r="AZ94" s="198"/>
      <c r="BA94" s="198"/>
      <c r="BB94" s="198"/>
      <c r="BC94" s="198"/>
      <c r="BD94" s="198"/>
      <c r="BE94" s="198"/>
      <c r="BF94" s="198"/>
      <c r="BG94" s="198"/>
      <c r="BH94" s="198"/>
      <c r="BI94" s="198"/>
      <c r="BJ94" s="198"/>
      <c r="BK94" s="198"/>
      <c r="BL94" s="198"/>
      <c r="BM94" s="198"/>
      <c r="BN94" s="198"/>
      <c r="BO94" s="198"/>
      <c r="BP94" s="198"/>
      <c r="BQ94" s="198"/>
      <c r="BR94" s="198"/>
      <c r="BS94" s="198"/>
      <c r="BT94" s="198"/>
      <c r="BU94" s="198"/>
      <c r="BV94" s="198"/>
      <c r="BW94" s="198"/>
      <c r="BX94" s="198"/>
    </row>
    <row r="95" spans="1:76" x14ac:dyDescent="0.25">
      <c r="A95" s="2" t="str">
        <f>'Language Index'!A119</f>
        <v>EBITA (Excl. SBC)</v>
      </c>
      <c r="B95" s="18">
        <f>_xll.ciqfunctions.udf.CIQ($C$2,"IQ_EBITA_EXCL_SBC", D$6,$F$2,,,Ccy,Conv)</f>
        <v>21988</v>
      </c>
      <c r="C95" s="18">
        <f>_xll.ciqfunctions.udf.CIQ($C$2,"IQ_EBITA_EXCL_SBC", E$6,$F$2,,,Ccy,Conv)</f>
        <v>18178</v>
      </c>
      <c r="D95" s="18">
        <f>_xll.ciqfunctions.udf.CIQ($C$2,"IQ_EBITA_EXCL_SBC", F$6,$F$2,,,Ccy,Conv)</f>
        <v>16258</v>
      </c>
      <c r="E95" s="18">
        <f>_xll.ciqfunctions.udf.CIQ($C$2,"IQ_EBITA_EXCL_SBC", G$6,$F$2,,,Ccy,Conv)</f>
        <v>13736</v>
      </c>
      <c r="F95" s="18">
        <f>_xll.ciqfunctions.udf.CIQ($C$2,"IQ_EBITA_EXCL_SBC", H$6,$F$2,,,Ccy,Conv)</f>
        <v>15081</v>
      </c>
      <c r="G95" s="18">
        <f>_xll.ciqfunctions.udf.CIQ($C$2,"IQ_EBITA_EXCL_SBC", I$6,$F$2,,,Ccy,Conv)</f>
        <v>10068</v>
      </c>
      <c r="H95" s="18">
        <f>_xll.ciqfunctions.udf.CIQ($C$2,"IQ_EBITA_EXCL_SBC", J$6,$F$2,,,Ccy,Conv)</f>
        <v>8067</v>
      </c>
      <c r="I95" s="18">
        <f>_xll.ciqfunctions.udf.CIQ($C$2,"IQ_EBITA_EXCL_SBC", K$6,$F$2,,,Ccy,Conv)</f>
        <v>9094</v>
      </c>
      <c r="J95" s="18">
        <f>_xll.ciqfunctions.udf.CIQ($C$2,"IQ_EBITA_EXCL_SBC", L$6,$F$2,,,Ccy,Conv)</f>
        <v>5010</v>
      </c>
      <c r="K95" s="18">
        <f>_xll.ciqfunctions.udf.CIQ($C$2,"IQ_EBITA_EXCL_SBC", M$6,$F$2,,,Ccy,Conv)</f>
        <v>13324</v>
      </c>
      <c r="L95" s="18">
        <f>_xll.ciqfunctions.udf.CIQ($C$2,"IQ_EBITA_EXCL_SBC", N$6,$F$2,,,Ccy,Conv)</f>
        <v>10485</v>
      </c>
      <c r="M95" s="18"/>
      <c r="N95" s="18">
        <f>_xll.ciqfunctions.udf.CIQ($C$2,"IQ_EBITA_EXCL_SBC", P$6,$F$2,,,Ccy,Conv)</f>
        <v>10485</v>
      </c>
      <c r="O95" s="222"/>
      <c r="P95" s="198"/>
      <c r="Q95" s="198"/>
      <c r="R95" s="198"/>
      <c r="S95" s="198"/>
      <c r="T95" s="223"/>
      <c r="U95" s="223"/>
      <c r="V95" s="223"/>
      <c r="W95" s="222"/>
      <c r="X95" s="215"/>
      <c r="Y95" s="215"/>
      <c r="Z95" s="215"/>
      <c r="AA95" s="215"/>
      <c r="AB95" s="215"/>
      <c r="AC95" s="198"/>
      <c r="AD95" s="198"/>
      <c r="AE95" s="198"/>
      <c r="AF95" s="215"/>
      <c r="AG95" s="198"/>
      <c r="AH95" s="198"/>
      <c r="AI95" s="198"/>
      <c r="AJ95" s="198"/>
      <c r="AK95" s="198"/>
      <c r="AL95" s="198"/>
      <c r="AM95" s="198"/>
      <c r="AN95" s="198"/>
      <c r="AO95" s="198"/>
      <c r="AP95" s="198"/>
      <c r="AQ95" s="198"/>
      <c r="AR95" s="198"/>
      <c r="AS95" s="198"/>
      <c r="AT95" s="198"/>
      <c r="AU95" s="198"/>
      <c r="AV95" s="198"/>
      <c r="AW95" s="198"/>
      <c r="AX95" s="198"/>
      <c r="AY95" s="198"/>
      <c r="AZ95" s="198"/>
      <c r="BA95" s="198"/>
      <c r="BB95" s="198"/>
      <c r="BC95" s="198"/>
      <c r="BD95" s="198"/>
      <c r="BE95" s="198"/>
      <c r="BF95" s="198"/>
      <c r="BG95" s="198"/>
      <c r="BH95" s="198"/>
      <c r="BI95" s="198"/>
      <c r="BJ95" s="198"/>
      <c r="BK95" s="198"/>
      <c r="BL95" s="198"/>
      <c r="BM95" s="198"/>
      <c r="BN95" s="198"/>
      <c r="BO95" s="198"/>
      <c r="BP95" s="198"/>
      <c r="BQ95" s="198"/>
      <c r="BR95" s="198"/>
      <c r="BS95" s="198"/>
      <c r="BT95" s="198"/>
      <c r="BU95" s="198"/>
      <c r="BV95" s="198"/>
      <c r="BW95" s="198"/>
      <c r="BX95" s="198"/>
    </row>
    <row r="96" spans="1:76" x14ac:dyDescent="0.25">
      <c r="A96" s="2" t="str">
        <f>'Language Index'!A120</f>
        <v>EBITDAR</v>
      </c>
      <c r="B96" s="18">
        <f>_xll.ciqfunctions.udf.CIQ($C$2,"IQ_EBITDAR", D$6,$F$2,,,Ccy,Conv)</f>
        <v>26118</v>
      </c>
      <c r="C96" s="18">
        <f>_xll.ciqfunctions.udf.CIQ($C$2,"IQ_EBITDAR", E$6,$F$2,,,Ccy,Conv)</f>
        <v>21817</v>
      </c>
      <c r="D96" s="18">
        <f>_xll.ciqfunctions.udf.CIQ($C$2,"IQ_EBITDAR", F$6,$F$2,,,Ccy,Conv)</f>
        <v>0</v>
      </c>
      <c r="E96" s="18">
        <f>_xll.ciqfunctions.udf.CIQ($C$2,"IQ_EBITDAR", G$6,$F$2,,,Ccy,Conv)</f>
        <v>0</v>
      </c>
      <c r="F96" s="18">
        <f>_xll.ciqfunctions.udf.CIQ($C$2,"IQ_EBITDAR", H$6,$F$2,,,Ccy,Conv)</f>
        <v>0</v>
      </c>
      <c r="G96" s="18">
        <f>_xll.ciqfunctions.udf.CIQ($C$2,"IQ_EBITDAR", I$6,$F$2,,,Ccy,Conv)</f>
        <v>15221</v>
      </c>
      <c r="H96" s="18">
        <f>_xll.ciqfunctions.udf.CIQ($C$2,"IQ_EBITDAR", J$6,$F$2,,,Ccy,Conv)</f>
        <v>12881</v>
      </c>
      <c r="I96" s="18">
        <f>_xll.ciqfunctions.udf.CIQ($C$2,"IQ_EBITDAR", K$6,$F$2,,,Ccy,Conv)</f>
        <v>13437</v>
      </c>
      <c r="J96" s="18">
        <f>_xll.ciqfunctions.udf.CIQ($C$2,"IQ_EBITDAR", L$6,$F$2,,,Ccy,Conv)</f>
        <v>6776</v>
      </c>
      <c r="K96" s="18">
        <f>_xll.ciqfunctions.udf.CIQ($C$2,"IQ_EBITDAR", M$6,$F$2,,,Ccy,Conv)</f>
        <v>14691</v>
      </c>
      <c r="L96" s="18">
        <f>_xll.ciqfunctions.udf.CIQ($C$2,"IQ_EBITDAR", N$6,$F$2,,,Ccy,Conv)</f>
        <v>11751</v>
      </c>
      <c r="M96" s="18"/>
      <c r="N96" s="18">
        <f>_xll.ciqfunctions.udf.CIQ($C$2,"IQ_EBITDAR", P$6,$F$2,,,Ccy,Conv)</f>
        <v>11751</v>
      </c>
      <c r="O96" s="222"/>
      <c r="P96" s="198"/>
      <c r="Q96" s="198"/>
      <c r="R96" s="198"/>
      <c r="S96" s="198"/>
      <c r="T96" s="223"/>
      <c r="U96" s="223"/>
      <c r="V96" s="223"/>
      <c r="W96" s="222"/>
      <c r="X96" s="215"/>
      <c r="Y96" s="215"/>
      <c r="Z96" s="215"/>
      <c r="AA96" s="215"/>
      <c r="AB96" s="215"/>
      <c r="AC96" s="198"/>
      <c r="AD96" s="198"/>
      <c r="AE96" s="198"/>
      <c r="AF96" s="215"/>
      <c r="AG96" s="198"/>
      <c r="AH96" s="198"/>
      <c r="AI96" s="198"/>
      <c r="AJ96" s="198"/>
      <c r="AK96" s="198"/>
      <c r="AL96" s="198"/>
      <c r="AM96" s="198"/>
      <c r="AN96" s="198"/>
      <c r="AO96" s="198"/>
      <c r="AP96" s="198"/>
      <c r="AQ96" s="198"/>
      <c r="AR96" s="198"/>
      <c r="AS96" s="198"/>
      <c r="AT96" s="198"/>
      <c r="AU96" s="198"/>
      <c r="AV96" s="198"/>
      <c r="AW96" s="198"/>
      <c r="AX96" s="198"/>
      <c r="AY96" s="198"/>
      <c r="AZ96" s="198"/>
      <c r="BA96" s="198"/>
      <c r="BB96" s="198"/>
      <c r="BC96" s="198"/>
      <c r="BD96" s="198"/>
      <c r="BE96" s="198"/>
      <c r="BF96" s="198"/>
      <c r="BG96" s="198"/>
      <c r="BH96" s="198"/>
      <c r="BI96" s="198"/>
      <c r="BJ96" s="198"/>
      <c r="BK96" s="198"/>
      <c r="BL96" s="198"/>
      <c r="BM96" s="198"/>
      <c r="BN96" s="198"/>
      <c r="BO96" s="198"/>
      <c r="BP96" s="198"/>
      <c r="BQ96" s="198"/>
      <c r="BR96" s="198"/>
      <c r="BS96" s="198"/>
      <c r="BT96" s="198"/>
      <c r="BU96" s="198"/>
      <c r="BV96" s="198"/>
      <c r="BW96" s="198"/>
      <c r="BX96" s="198"/>
    </row>
    <row r="97" spans="1:76" x14ac:dyDescent="0.25">
      <c r="A97" s="2" t="str">
        <f>'Language Index'!A121</f>
        <v>EBITDAR (Incl. Equity Inc. from Affiliates)</v>
      </c>
      <c r="B97" s="18">
        <f>_xll.ciqfunctions.udf.CIQ($C$2,"IQ_EBITDAR_EQ_INC", D$6,$F$2,,,Ccy,Conv)</f>
        <v>26118</v>
      </c>
      <c r="C97" s="18">
        <f>_xll.ciqfunctions.udf.CIQ($C$2,"IQ_EBITDAR_EQ_INC", E$6,$F$2,,,Ccy,Conv)</f>
        <v>21817</v>
      </c>
      <c r="D97" s="18">
        <f>_xll.ciqfunctions.udf.CIQ($C$2,"IQ_EBITDAR_EQ_INC", F$6,$F$2,,,Ccy,Conv)</f>
        <v>0</v>
      </c>
      <c r="E97" s="18">
        <f>_xll.ciqfunctions.udf.CIQ($C$2,"IQ_EBITDAR_EQ_INC", G$6,$F$2,,,Ccy,Conv)</f>
        <v>0</v>
      </c>
      <c r="F97" s="18">
        <f>_xll.ciqfunctions.udf.CIQ($C$2,"IQ_EBITDAR_EQ_INC", H$6,$F$2,,,Ccy,Conv)</f>
        <v>0</v>
      </c>
      <c r="G97" s="18">
        <f>_xll.ciqfunctions.udf.CIQ($C$2,"IQ_EBITDAR_EQ_INC", I$6,$F$2,,,Ccy,Conv)</f>
        <v>16844</v>
      </c>
      <c r="H97" s="18">
        <f>_xll.ciqfunctions.udf.CIQ($C$2,"IQ_EBITDAR_EQ_INC", J$6,$F$2,,,Ccy,Conv)</f>
        <v>14405</v>
      </c>
      <c r="I97" s="18">
        <f>_xll.ciqfunctions.udf.CIQ($C$2,"IQ_EBITDAR_EQ_INC", K$6,$F$2,,,Ccy,Conv)</f>
        <v>14874</v>
      </c>
      <c r="J97" s="18">
        <f>_xll.ciqfunctions.udf.CIQ($C$2,"IQ_EBITDAR_EQ_INC", L$6,$F$2,,,Ccy,Conv)</f>
        <v>8023</v>
      </c>
      <c r="K97" s="18">
        <f>_xll.ciqfunctions.udf.CIQ($C$2,"IQ_EBITDAR_EQ_INC", M$6,$F$2,,,Ccy,Conv)</f>
        <v>15983</v>
      </c>
      <c r="L97" s="18">
        <f>_xll.ciqfunctions.udf.CIQ($C$2,"IQ_EBITDAR_EQ_INC", N$6,$F$2,,,Ccy,Conv)</f>
        <v>13060</v>
      </c>
      <c r="M97" s="18"/>
      <c r="N97" s="18">
        <f>_xll.ciqfunctions.udf.CIQ($C$2,"IQ_EBITDAR_EQ_INC", P$6,$F$2,,,Ccy,Conv)</f>
        <v>13060</v>
      </c>
      <c r="O97" s="222"/>
      <c r="P97" s="198"/>
      <c r="Q97" s="198"/>
      <c r="R97" s="198"/>
      <c r="S97" s="198"/>
      <c r="T97" s="223"/>
      <c r="U97" s="223"/>
      <c r="V97" s="223"/>
      <c r="W97" s="222"/>
      <c r="X97" s="215"/>
      <c r="Y97" s="215"/>
      <c r="Z97" s="215"/>
      <c r="AA97" s="215"/>
      <c r="AB97" s="215"/>
      <c r="AC97" s="198"/>
      <c r="AD97" s="198"/>
      <c r="AE97" s="198"/>
      <c r="AF97" s="215"/>
      <c r="AG97" s="198"/>
      <c r="AH97" s="198"/>
      <c r="AI97" s="198"/>
      <c r="AJ97" s="198"/>
      <c r="AK97" s="198"/>
      <c r="AL97" s="198"/>
      <c r="AM97" s="198"/>
      <c r="AN97" s="198"/>
      <c r="AO97" s="198"/>
      <c r="AP97" s="198"/>
      <c r="AQ97" s="198"/>
      <c r="AR97" s="198"/>
      <c r="AS97" s="198"/>
      <c r="AT97" s="198"/>
      <c r="AU97" s="198"/>
      <c r="AV97" s="198"/>
      <c r="AW97" s="198"/>
      <c r="AX97" s="198"/>
      <c r="AY97" s="198"/>
      <c r="AZ97" s="198"/>
      <c r="BA97" s="198"/>
      <c r="BB97" s="198"/>
      <c r="BC97" s="198"/>
      <c r="BD97" s="198"/>
      <c r="BE97" s="198"/>
      <c r="BF97" s="198"/>
      <c r="BG97" s="198"/>
      <c r="BH97" s="198"/>
      <c r="BI97" s="198"/>
      <c r="BJ97" s="198"/>
      <c r="BK97" s="198"/>
      <c r="BL97" s="198"/>
      <c r="BM97" s="198"/>
      <c r="BN97" s="198"/>
      <c r="BO97" s="198"/>
      <c r="BP97" s="198"/>
      <c r="BQ97" s="198"/>
      <c r="BR97" s="198"/>
      <c r="BS97" s="198"/>
      <c r="BT97" s="198"/>
      <c r="BU97" s="198"/>
      <c r="BV97" s="198"/>
      <c r="BW97" s="198"/>
      <c r="BX97" s="198"/>
    </row>
    <row r="98" spans="1:76" x14ac:dyDescent="0.25">
      <c r="A98" s="2" t="str">
        <f>'Language Index'!A122</f>
        <v>EBITDAR (Excl. SBC and Incl. Equity Inc. from Affiliates)</v>
      </c>
      <c r="B98" s="18">
        <f>_xll.ciqfunctions.udf.CIQ($C$2,"IQ_EBITDAR_EQ_INC_EXCL_SBC", D$6,$F$2,,,Ccy,Conv)</f>
        <v>26630</v>
      </c>
      <c r="C98" s="18">
        <f>_xll.ciqfunctions.udf.CIQ($C$2,"IQ_EBITDAR_EQ_INC_EXCL_SBC", E$6,$F$2,,,Ccy,Conv)</f>
        <v>22285</v>
      </c>
      <c r="D98" s="18">
        <f>_xll.ciqfunctions.udf.CIQ($C$2,"IQ_EBITDAR_EQ_INC_EXCL_SBC", F$6,$F$2,,,Ccy,Conv)</f>
        <v>0</v>
      </c>
      <c r="E98" s="18">
        <f>_xll.ciqfunctions.udf.CIQ($C$2,"IQ_EBITDAR_EQ_INC_EXCL_SBC", G$6,$F$2,,,Ccy,Conv)</f>
        <v>0</v>
      </c>
      <c r="F98" s="18">
        <f>_xll.ciqfunctions.udf.CIQ($C$2,"IQ_EBITDAR_EQ_INC_EXCL_SBC", H$6,$F$2,,,Ccy,Conv)</f>
        <v>0</v>
      </c>
      <c r="G98" s="18">
        <f>_xll.ciqfunctions.udf.CIQ($C$2,"IQ_EBITDAR_EQ_INC_EXCL_SBC", I$6,$F$2,,,Ccy,Conv)</f>
        <v>15900</v>
      </c>
      <c r="H98" s="18">
        <f>_xll.ciqfunctions.udf.CIQ($C$2,"IQ_EBITDAR_EQ_INC_EXCL_SBC", J$6,$F$2,,,Ccy,Conv)</f>
        <v>13818</v>
      </c>
      <c r="I98" s="18">
        <f>_xll.ciqfunctions.udf.CIQ($C$2,"IQ_EBITDAR_EQ_INC_EXCL_SBC", K$6,$F$2,,,Ccy,Conv)</f>
        <v>14419</v>
      </c>
      <c r="J98" s="18">
        <f>_xll.ciqfunctions.udf.CIQ($C$2,"IQ_EBITDAR_EQ_INC_EXCL_SBC", L$6,$F$2,,,Ccy,Conv)</f>
        <v>7764</v>
      </c>
      <c r="K98" s="18">
        <f>_xll.ciqfunctions.udf.CIQ($C$2,"IQ_EBITDAR_EQ_INC_EXCL_SBC", M$6,$F$2,,,Ccy,Conv)</f>
        <v>15825</v>
      </c>
      <c r="L98" s="18">
        <f>_xll.ciqfunctions.udf.CIQ($C$2,"IQ_EBITDAR_EQ_INC_EXCL_SBC", N$6,$F$2,,,Ccy,Conv)</f>
        <v>13062</v>
      </c>
      <c r="M98" s="18"/>
      <c r="N98" s="18">
        <f>_xll.ciqfunctions.udf.CIQ($C$2,"IQ_EBITDAR_EQ_INC_EXCL_SBC", P$6,$F$2,,,Ccy,Conv)</f>
        <v>13062</v>
      </c>
      <c r="O98" s="222"/>
      <c r="P98" s="198"/>
      <c r="Q98" s="198"/>
      <c r="R98" s="198"/>
      <c r="S98" s="198"/>
      <c r="T98" s="223"/>
      <c r="U98" s="223"/>
      <c r="V98" s="223"/>
      <c r="W98" s="222"/>
      <c r="X98" s="215"/>
      <c r="Y98" s="215"/>
      <c r="Z98" s="215"/>
      <c r="AA98" s="215"/>
      <c r="AB98" s="215"/>
      <c r="AC98" s="198"/>
      <c r="AD98" s="198"/>
      <c r="AE98" s="198"/>
      <c r="AF98" s="215"/>
      <c r="AG98" s="198"/>
      <c r="AH98" s="198"/>
      <c r="AI98" s="198"/>
      <c r="AJ98" s="198"/>
      <c r="AK98" s="198"/>
      <c r="AL98" s="198"/>
      <c r="AM98" s="198"/>
      <c r="AN98" s="198"/>
      <c r="AO98" s="198"/>
      <c r="AP98" s="198"/>
      <c r="AQ98" s="198"/>
      <c r="AR98" s="198"/>
      <c r="AS98" s="198"/>
      <c r="AT98" s="198"/>
      <c r="AU98" s="198"/>
      <c r="AV98" s="198"/>
      <c r="AW98" s="198"/>
      <c r="AX98" s="198"/>
      <c r="AY98" s="198"/>
      <c r="AZ98" s="198"/>
      <c r="BA98" s="198"/>
      <c r="BB98" s="198"/>
      <c r="BC98" s="198"/>
      <c r="BD98" s="198"/>
      <c r="BE98" s="198"/>
      <c r="BF98" s="198"/>
      <c r="BG98" s="198"/>
      <c r="BH98" s="198"/>
      <c r="BI98" s="198"/>
      <c r="BJ98" s="198"/>
      <c r="BK98" s="198"/>
      <c r="BL98" s="198"/>
      <c r="BM98" s="198"/>
      <c r="BN98" s="198"/>
      <c r="BO98" s="198"/>
      <c r="BP98" s="198"/>
      <c r="BQ98" s="198"/>
      <c r="BR98" s="198"/>
      <c r="BS98" s="198"/>
      <c r="BT98" s="198"/>
      <c r="BU98" s="198"/>
      <c r="BV98" s="198"/>
      <c r="BW98" s="198"/>
      <c r="BX98" s="198"/>
    </row>
    <row r="99" spans="1:76" x14ac:dyDescent="0.25">
      <c r="A99" s="2" t="str">
        <f>'Language Index'!A123</f>
        <v>EBITDAR (Excl. SBC)</v>
      </c>
      <c r="B99" s="18">
        <f>_xll.ciqfunctions.udf.CIQ($C$2,"IQ_EBITDAR_EXCL_SBC", D$6,$F$2,,,Ccy,Conv)</f>
        <v>26630</v>
      </c>
      <c r="C99" s="18">
        <f>_xll.ciqfunctions.udf.CIQ($C$2,"IQ_EBITDAR_EXCL_SBC", E$6,$F$2,,,Ccy,Conv)</f>
        <v>22285</v>
      </c>
      <c r="D99" s="18">
        <f>_xll.ciqfunctions.udf.CIQ($C$2,"IQ_EBITDAR_EXCL_SBC", F$6,$F$2,,,Ccy,Conv)</f>
        <v>0</v>
      </c>
      <c r="E99" s="18">
        <f>_xll.ciqfunctions.udf.CIQ($C$2,"IQ_EBITDAR_EXCL_SBC", G$6,$F$2,,,Ccy,Conv)</f>
        <v>0</v>
      </c>
      <c r="F99" s="18">
        <f>_xll.ciqfunctions.udf.CIQ($C$2,"IQ_EBITDAR_EXCL_SBC", H$6,$F$2,,,Ccy,Conv)</f>
        <v>0</v>
      </c>
      <c r="G99" s="18">
        <f>_xll.ciqfunctions.udf.CIQ($C$2,"IQ_EBITDAR_EXCL_SBC", I$6,$F$2,,,Ccy,Conv)</f>
        <v>15900</v>
      </c>
      <c r="H99" s="18">
        <f>_xll.ciqfunctions.udf.CIQ($C$2,"IQ_EBITDAR_EXCL_SBC", J$6,$F$2,,,Ccy,Conv)</f>
        <v>13818</v>
      </c>
      <c r="I99" s="18">
        <f>_xll.ciqfunctions.udf.CIQ($C$2,"IQ_EBITDAR_EXCL_SBC", K$6,$F$2,,,Ccy,Conv)</f>
        <v>14419</v>
      </c>
      <c r="J99" s="18">
        <f>_xll.ciqfunctions.udf.CIQ($C$2,"IQ_EBITDAR_EXCL_SBC", L$6,$F$2,,,Ccy,Conv)</f>
        <v>7764</v>
      </c>
      <c r="K99" s="18">
        <f>_xll.ciqfunctions.udf.CIQ($C$2,"IQ_EBITDAR_EXCL_SBC", M$6,$F$2,,,Ccy,Conv)</f>
        <v>15825</v>
      </c>
      <c r="L99" s="18">
        <f>_xll.ciqfunctions.udf.CIQ($C$2,"IQ_EBITDAR_EXCL_SBC", N$6,$F$2,,,Ccy,Conv)</f>
        <v>13062</v>
      </c>
      <c r="M99" s="18"/>
      <c r="N99" s="18">
        <f>_xll.ciqfunctions.udf.CIQ($C$2,"IQ_EBITDAR_EXCL_SBC", P$6,$F$2,,,Ccy,Conv)</f>
        <v>13062</v>
      </c>
      <c r="O99" s="222"/>
      <c r="P99" s="198"/>
      <c r="Q99" s="198"/>
      <c r="R99" s="198"/>
      <c r="S99" s="198"/>
      <c r="T99" s="223"/>
      <c r="U99" s="223"/>
      <c r="V99" s="223"/>
      <c r="W99" s="222"/>
      <c r="X99" s="215"/>
      <c r="Y99" s="215"/>
      <c r="Z99" s="215"/>
      <c r="AA99" s="215"/>
      <c r="AB99" s="215"/>
      <c r="AC99" s="198"/>
      <c r="AD99" s="198"/>
      <c r="AE99" s="198"/>
      <c r="AF99" s="215"/>
      <c r="AG99" s="198"/>
      <c r="AH99" s="198"/>
      <c r="AI99" s="198"/>
      <c r="AJ99" s="198"/>
      <c r="AK99" s="198"/>
      <c r="AL99" s="198"/>
      <c r="AM99" s="198"/>
      <c r="AN99" s="198"/>
      <c r="AO99" s="198"/>
      <c r="AP99" s="198"/>
      <c r="AQ99" s="198"/>
      <c r="AR99" s="198"/>
      <c r="AS99" s="198"/>
      <c r="AT99" s="198"/>
      <c r="AU99" s="198"/>
      <c r="AV99" s="198"/>
      <c r="AW99" s="198"/>
      <c r="AX99" s="198"/>
      <c r="AY99" s="198"/>
      <c r="AZ99" s="198"/>
      <c r="BA99" s="198"/>
      <c r="BB99" s="198"/>
      <c r="BC99" s="198"/>
      <c r="BD99" s="198"/>
      <c r="BE99" s="198"/>
      <c r="BF99" s="198"/>
      <c r="BG99" s="198"/>
      <c r="BH99" s="198"/>
      <c r="BI99" s="198"/>
      <c r="BJ99" s="198"/>
      <c r="BK99" s="198"/>
      <c r="BL99" s="198"/>
      <c r="BM99" s="198"/>
      <c r="BN99" s="198"/>
      <c r="BO99" s="198"/>
      <c r="BP99" s="198"/>
      <c r="BQ99" s="198"/>
      <c r="BR99" s="198"/>
      <c r="BS99" s="198"/>
      <c r="BT99" s="198"/>
      <c r="BU99" s="198"/>
      <c r="BV99" s="198"/>
      <c r="BW99" s="198"/>
      <c r="BX99" s="198"/>
    </row>
    <row r="100" spans="1:76" x14ac:dyDescent="0.25">
      <c r="A100" s="2" t="str">
        <f>'Language Index'!A124</f>
        <v>EBITDA - CAPEX</v>
      </c>
      <c r="B100" s="18">
        <f>_xll.ciqfunctions.udf.CIQ($C$2,"IQ_EBITDA_CAPEX", D$6,$F$2,,,Ccy,Conv)</f>
        <v>20881</v>
      </c>
      <c r="C100" s="18">
        <f>_xll.ciqfunctions.udf.CIQ($C$2,"IQ_EBITDA_CAPEX", E$6,$F$2,,,Ccy,Conv)</f>
        <v>16793</v>
      </c>
      <c r="D100" s="18">
        <f>_xll.ciqfunctions.udf.CIQ($C$2,"IQ_EBITDA_CAPEX", F$6,$F$2,,,Ccy,Conv)</f>
        <v>14984</v>
      </c>
      <c r="E100" s="18">
        <f>_xll.ciqfunctions.udf.CIQ($C$2,"IQ_EBITDA_CAPEX", G$6,$F$2,,,Ccy,Conv)</f>
        <v>12994</v>
      </c>
      <c r="F100" s="18">
        <f>_xll.ciqfunctions.udf.CIQ($C$2,"IQ_EBITDA_CAPEX", H$6,$F$2,,,Ccy,Conv)</f>
        <v>14303</v>
      </c>
      <c r="G100" s="18">
        <f>_xll.ciqfunctions.udf.CIQ($C$2,"IQ_EBITDA_CAPEX", I$6,$F$2,,,Ccy,Conv)</f>
        <v>11312</v>
      </c>
      <c r="H100" s="18">
        <f>_xll.ciqfunctions.udf.CIQ($C$2,"IQ_EBITDA_CAPEX", J$6,$F$2,,,Ccy,Conv)</f>
        <v>8739</v>
      </c>
      <c r="I100" s="18">
        <f>_xll.ciqfunctions.udf.CIQ($C$2,"IQ_EBITDA_CAPEX", K$6,$F$2,,,Ccy,Conv)</f>
        <v>9938</v>
      </c>
      <c r="J100" s="18">
        <f>_xll.ciqfunctions.udf.CIQ($C$2,"IQ_EBITDA_CAPEX", L$6,$F$2,,,Ccy,Conv)</f>
        <v>4183</v>
      </c>
      <c r="K100" s="18">
        <f>_xll.ciqfunctions.udf.CIQ($C$2,"IQ_EBITDA_CAPEX", M$6,$F$2,,,Ccy,Conv)</f>
        <v>12154</v>
      </c>
      <c r="L100" s="18">
        <f>_xll.ciqfunctions.udf.CIQ($C$2,"IQ_EBITDA_CAPEX", N$6,$F$2,,,Ccy,Conv)</f>
        <v>9394</v>
      </c>
      <c r="M100" s="18"/>
      <c r="N100" s="18">
        <f>_xll.ciqfunctions.udf.CIQ($C$2,"IQ_EBITDA_CAPEX", P$6,$F$2,,,Ccy,Conv)</f>
        <v>9394</v>
      </c>
      <c r="O100" s="221"/>
      <c r="P100" s="198"/>
      <c r="Q100" s="198"/>
      <c r="R100" s="198"/>
      <c r="S100" s="198"/>
      <c r="T100" s="223"/>
      <c r="U100" s="223"/>
      <c r="V100" s="223"/>
      <c r="W100" s="222"/>
      <c r="X100" s="215"/>
      <c r="Y100" s="215"/>
      <c r="Z100" s="215"/>
      <c r="AA100" s="215"/>
      <c r="AB100" s="215"/>
      <c r="AC100" s="198"/>
      <c r="AD100" s="198"/>
      <c r="AE100" s="198"/>
      <c r="AF100" s="215"/>
      <c r="AG100" s="198"/>
      <c r="AH100" s="198"/>
      <c r="AI100" s="198"/>
      <c r="AJ100" s="198"/>
      <c r="AK100" s="198"/>
      <c r="AL100" s="198"/>
      <c r="AM100" s="198"/>
      <c r="AN100" s="198"/>
      <c r="AO100" s="198"/>
      <c r="AP100" s="198"/>
      <c r="AQ100" s="198"/>
      <c r="AR100" s="198"/>
      <c r="AS100" s="198"/>
      <c r="AT100" s="198"/>
      <c r="AU100" s="198"/>
      <c r="AV100" s="198"/>
      <c r="AW100" s="198"/>
      <c r="AX100" s="198"/>
      <c r="AY100" s="198"/>
      <c r="AZ100" s="198"/>
      <c r="BA100" s="198"/>
      <c r="BB100" s="198"/>
      <c r="BC100" s="198"/>
      <c r="BD100" s="198"/>
      <c r="BE100" s="198"/>
      <c r="BF100" s="198"/>
      <c r="BG100" s="198"/>
      <c r="BH100" s="198"/>
      <c r="BI100" s="198"/>
      <c r="BJ100" s="198"/>
      <c r="BK100" s="198"/>
      <c r="BL100" s="198"/>
      <c r="BM100" s="198"/>
      <c r="BN100" s="198"/>
      <c r="BO100" s="198"/>
      <c r="BP100" s="198"/>
      <c r="BQ100" s="198"/>
      <c r="BR100" s="198"/>
      <c r="BS100" s="198"/>
      <c r="BT100" s="198"/>
      <c r="BU100" s="198"/>
      <c r="BV100" s="198"/>
      <c r="BW100" s="198"/>
      <c r="BX100" s="198"/>
    </row>
    <row r="101" spans="1:76" x14ac:dyDescent="0.25">
      <c r="A101" s="2" t="str">
        <f>'Language Index'!A125</f>
        <v>Fees and Other Income</v>
      </c>
      <c r="B101" s="18">
        <f>_xll.ciqfunctions.udf.CIQ($C$2,"IQ_FEES_OTHER_INCOME", D$6,$F$2,,,Ccy,Conv)</f>
        <v>0</v>
      </c>
      <c r="C101" s="18">
        <f>_xll.ciqfunctions.udf.CIQ($C$2,"IQ_FEES_OTHER_INCOME", E$6,$F$2,,,Ccy,Conv)</f>
        <v>0</v>
      </c>
      <c r="D101" s="18">
        <f>_xll.ciqfunctions.udf.CIQ($C$2,"IQ_FEES_OTHER_INCOME", F$6,$F$2,,,Ccy,Conv)</f>
        <v>0</v>
      </c>
      <c r="E101" s="18">
        <f>_xll.ciqfunctions.udf.CIQ($C$2,"IQ_FEES_OTHER_INCOME", G$6,$F$2,,,Ccy,Conv)</f>
        <v>0</v>
      </c>
      <c r="F101" s="18">
        <f>_xll.ciqfunctions.udf.CIQ($C$2,"IQ_FEES_OTHER_INCOME", H$6,$F$2,,,Ccy,Conv)</f>
        <v>0</v>
      </c>
      <c r="G101" s="18">
        <f>_xll.ciqfunctions.udf.CIQ($C$2,"IQ_FEES_OTHER_INCOME", I$6,$F$2,,,Ccy,Conv)</f>
        <v>0</v>
      </c>
      <c r="H101" s="18">
        <f>_xll.ciqfunctions.udf.CIQ($C$2,"IQ_FEES_OTHER_INCOME", J$6,$F$2,,,Ccy,Conv)</f>
        <v>0</v>
      </c>
      <c r="I101" s="18">
        <f>_xll.ciqfunctions.udf.CIQ($C$2,"IQ_FEES_OTHER_INCOME", K$6,$F$2,,,Ccy,Conv)</f>
        <v>0</v>
      </c>
      <c r="J101" s="18">
        <f>_xll.ciqfunctions.udf.CIQ($C$2,"IQ_FEES_OTHER_INCOME", L$6,$F$2,,,Ccy,Conv)</f>
        <v>0</v>
      </c>
      <c r="K101" s="18">
        <f>_xll.ciqfunctions.udf.CIQ($C$2,"IQ_FEES_OTHER_INCOME", M$6,$F$2,,,Ccy,Conv)</f>
        <v>0</v>
      </c>
      <c r="L101" s="18">
        <f>_xll.ciqfunctions.udf.CIQ($C$2,"IQ_FEES_OTHER_INCOME", N$6,$F$2,,,Ccy,Conv)</f>
        <v>0</v>
      </c>
      <c r="M101" s="18"/>
      <c r="N101" s="18">
        <f>_xll.ciqfunctions.udf.CIQ($C$2,"IQ_FEES_OTHER_INCOME", P$6,$F$2,,,Ccy,Conv)</f>
        <v>0</v>
      </c>
      <c r="O101" s="222"/>
      <c r="P101" s="198"/>
      <c r="Q101" s="198"/>
      <c r="R101" s="198"/>
      <c r="S101" s="198"/>
      <c r="T101" s="223"/>
      <c r="U101" s="223"/>
      <c r="V101" s="223"/>
      <c r="W101" s="222"/>
      <c r="X101" s="215"/>
      <c r="Y101" s="215"/>
      <c r="Z101" s="215"/>
      <c r="AA101" s="215"/>
      <c r="AB101" s="215"/>
      <c r="AC101" s="198"/>
      <c r="AD101" s="198"/>
      <c r="AE101" s="198"/>
      <c r="AF101" s="215"/>
      <c r="AG101" s="198"/>
      <c r="AH101" s="198"/>
      <c r="AI101" s="198"/>
      <c r="AJ101" s="198"/>
      <c r="AK101" s="198"/>
      <c r="AL101" s="198"/>
      <c r="AM101" s="198"/>
      <c r="AN101" s="198"/>
      <c r="AO101" s="198"/>
      <c r="AP101" s="198"/>
      <c r="AQ101" s="198"/>
      <c r="AR101" s="198"/>
      <c r="AS101" s="198"/>
      <c r="AT101" s="198"/>
      <c r="AU101" s="198"/>
      <c r="AV101" s="198"/>
      <c r="AW101" s="198"/>
      <c r="AX101" s="198"/>
      <c r="AY101" s="198"/>
      <c r="AZ101" s="198"/>
      <c r="BA101" s="198"/>
      <c r="BB101" s="198"/>
      <c r="BC101" s="198"/>
      <c r="BD101" s="198"/>
      <c r="BE101" s="198"/>
      <c r="BF101" s="198"/>
      <c r="BG101" s="198"/>
      <c r="BH101" s="198"/>
      <c r="BI101" s="198"/>
      <c r="BJ101" s="198"/>
      <c r="BK101" s="198"/>
      <c r="BL101" s="198"/>
      <c r="BM101" s="198"/>
      <c r="BN101" s="198"/>
      <c r="BO101" s="198"/>
      <c r="BP101" s="198"/>
      <c r="BQ101" s="198"/>
      <c r="BR101" s="198"/>
      <c r="BS101" s="198"/>
      <c r="BT101" s="198"/>
      <c r="BU101" s="198"/>
      <c r="BV101" s="198"/>
      <c r="BW101" s="198"/>
      <c r="BX101" s="198"/>
    </row>
    <row r="102" spans="1:76" x14ac:dyDescent="0.25">
      <c r="A102" s="2" t="str">
        <f>'Language Index'!A126</f>
        <v>Same Store Sales Growth</v>
      </c>
      <c r="B102" s="18">
        <f>_xll.ciqfunctions.udf.CIQ($C$2,"IQ_SAME_STORE", D$6,$F$2)</f>
        <v>0</v>
      </c>
      <c r="C102" s="18">
        <f>_xll.ciqfunctions.udf.CIQ($C$2,"IQ_SAME_STORE", E$6,$F$2)</f>
        <v>0</v>
      </c>
      <c r="D102" s="18">
        <f>_xll.ciqfunctions.udf.CIQ($C$2,"IQ_SAME_STORE", F$6,$F$2)</f>
        <v>0</v>
      </c>
      <c r="E102" s="18">
        <f>_xll.ciqfunctions.udf.CIQ($C$2,"IQ_SAME_STORE", G$6,$F$2)</f>
        <v>0</v>
      </c>
      <c r="F102" s="18">
        <f>_xll.ciqfunctions.udf.CIQ($C$2,"IQ_SAME_STORE", H$6,$F$2)</f>
        <v>0</v>
      </c>
      <c r="G102" s="18">
        <f>_xll.ciqfunctions.udf.CIQ($C$2,"IQ_SAME_STORE", I$6,$F$2)</f>
        <v>0</v>
      </c>
      <c r="H102" s="18">
        <f>_xll.ciqfunctions.udf.CIQ($C$2,"IQ_SAME_STORE", J$6,$F$2)</f>
        <v>0</v>
      </c>
      <c r="I102" s="18">
        <f>_xll.ciqfunctions.udf.CIQ($C$2,"IQ_SAME_STORE", K$6,$F$2)</f>
        <v>0</v>
      </c>
      <c r="J102" s="18">
        <f>_xll.ciqfunctions.udf.CIQ($C$2,"IQ_SAME_STORE", L$6,$F$2)</f>
        <v>0</v>
      </c>
      <c r="K102" s="18">
        <f>_xll.ciqfunctions.udf.CIQ($C$2,"IQ_SAME_STORE", M$6,$F$2)</f>
        <v>0</v>
      </c>
      <c r="L102" s="18">
        <f>_xll.ciqfunctions.udf.CIQ($C$2,"IQ_SAME_STORE", N$6,$F$2)</f>
        <v>0</v>
      </c>
      <c r="M102" s="2"/>
      <c r="N102" s="18">
        <f>_xll.ciqfunctions.udf.CIQ($C$2,"IQ_SAME_STORE", P$6,$F$2)</f>
        <v>0</v>
      </c>
      <c r="O102" s="198"/>
      <c r="P102" s="198"/>
      <c r="Q102" s="198"/>
      <c r="R102" s="198"/>
      <c r="S102" s="198"/>
      <c r="T102" s="223"/>
      <c r="U102" s="223"/>
      <c r="V102" s="223"/>
      <c r="W102" s="222"/>
      <c r="X102" s="215"/>
      <c r="Y102" s="215"/>
      <c r="Z102" s="215"/>
      <c r="AA102" s="215"/>
      <c r="AB102" s="215"/>
      <c r="AC102" s="198"/>
      <c r="AD102" s="198"/>
      <c r="AE102" s="198"/>
      <c r="AF102" s="215"/>
      <c r="AG102" s="198"/>
      <c r="AH102" s="198"/>
      <c r="AI102" s="198"/>
      <c r="AJ102" s="198"/>
      <c r="AK102" s="198"/>
      <c r="AL102" s="198"/>
      <c r="AM102" s="198"/>
      <c r="AN102" s="198"/>
      <c r="AO102" s="198"/>
      <c r="AP102" s="198"/>
      <c r="AQ102" s="198"/>
      <c r="AR102" s="198"/>
      <c r="AS102" s="198"/>
      <c r="AT102" s="198"/>
      <c r="AU102" s="198"/>
      <c r="AV102" s="198"/>
      <c r="AW102" s="198"/>
      <c r="AX102" s="198"/>
      <c r="AY102" s="198"/>
      <c r="AZ102" s="198"/>
      <c r="BA102" s="198"/>
      <c r="BB102" s="198"/>
      <c r="BC102" s="198"/>
      <c r="BD102" s="198"/>
      <c r="BE102" s="198"/>
      <c r="BF102" s="198"/>
      <c r="BG102" s="198"/>
      <c r="BH102" s="198"/>
      <c r="BI102" s="198"/>
      <c r="BJ102" s="198"/>
      <c r="BK102" s="198"/>
      <c r="BL102" s="198"/>
      <c r="BM102" s="198"/>
      <c r="BN102" s="198"/>
      <c r="BO102" s="198"/>
      <c r="BP102" s="198"/>
      <c r="BQ102" s="198"/>
      <c r="BR102" s="198"/>
      <c r="BS102" s="198"/>
      <c r="BT102" s="198"/>
      <c r="BU102" s="198"/>
      <c r="BV102" s="198"/>
      <c r="BW102" s="198"/>
      <c r="BX102" s="198"/>
    </row>
    <row r="103" spans="1:76" x14ac:dyDescent="0.25">
      <c r="A103" s="2" t="str">
        <f>'Language Index'!A127</f>
        <v>As-Reported Total Revenue</v>
      </c>
      <c r="B103" s="18">
        <f>_xll.ciqfunctions.udf.CIQ($C$2, "IQ_TOTAL_REV_AS_REPORTED", D$6,$F$2,,,Ccy,Conv)</f>
        <v>92793</v>
      </c>
      <c r="C103" s="18">
        <f>_xll.ciqfunctions.udf.CIQ($C$2, "IQ_TOTAL_REV_AS_REPORTED", E$6,$F$2,,,Ccy,Conv)</f>
        <v>81741</v>
      </c>
      <c r="D103" s="18">
        <f>_xll.ciqfunctions.udf.CIQ($C$2, "IQ_TOTAL_REV_AS_REPORTED", F$6,$F$2,,,Ccy,Conv)</f>
        <v>79919</v>
      </c>
      <c r="E103" s="18">
        <f>_xll.ciqfunctions.udf.CIQ($C$2, "IQ_TOTAL_REV_AS_REPORTED", G$6,$F$2,,,Ccy,Conv)</f>
        <v>79139</v>
      </c>
      <c r="F103" s="18">
        <f>_xll.ciqfunctions.udf.CIQ($C$2, "IQ_TOTAL_REV_AS_REPORTED", H$6,$F$2,,,Ccy,Conv)</f>
        <v>79591</v>
      </c>
      <c r="G103" s="18">
        <f>_xll.ciqfunctions.udf.CIQ($C$2, "IQ_TOTAL_REV_AS_REPORTED", I$6,$F$2,,,Ccy,Conv)</f>
        <v>57714</v>
      </c>
      <c r="H103" s="18">
        <f>_xll.ciqfunctions.udf.CIQ($C$2, "IQ_TOTAL_REV_AS_REPORTED", J$6,$F$2,,,Ccy,Conv)</f>
        <v>55179</v>
      </c>
      <c r="I103" s="18">
        <f>_xll.ciqfunctions.udf.CIQ($C$2, "IQ_TOTAL_REV_AS_REPORTED", K$6,$F$2,,,Ccy,Conv)</f>
        <v>57350</v>
      </c>
      <c r="J103" s="18">
        <f>_xll.ciqfunctions.udf.CIQ($C$2, "IQ_TOTAL_REV_AS_REPORTED", L$6,$F$2,,,Ccy,Conv)</f>
        <v>60530</v>
      </c>
      <c r="K103" s="18">
        <f>_xll.ciqfunctions.udf.CIQ($C$2, "IQ_TOTAL_REV_AS_REPORTED", M$6,$F$2,,,Ccy,Conv)</f>
        <v>61860</v>
      </c>
      <c r="L103" s="18">
        <f>_xll.ciqfunctions.udf.CIQ($C$2, "IQ_TOTAL_REV_AS_REPORTED", N$6,$F$2,,,Ccy,Conv)</f>
        <v>62753</v>
      </c>
      <c r="M103" s="18"/>
      <c r="N103" s="18">
        <f>_xll.ciqfunctions.udf.CIQ($C$2, "IQ_TOTAL_REV_AS_REPORTED", P$6,$F$2,,,Ccy,Conv)</f>
        <v>62753</v>
      </c>
      <c r="O103" s="221"/>
      <c r="P103" s="198"/>
      <c r="Q103" s="198"/>
      <c r="R103" s="198"/>
      <c r="S103" s="198"/>
      <c r="T103" s="223"/>
      <c r="U103" s="223"/>
      <c r="V103" s="223"/>
      <c r="W103" s="222"/>
      <c r="X103" s="215"/>
      <c r="Y103" s="215"/>
      <c r="Z103" s="215"/>
      <c r="AA103" s="215"/>
      <c r="AB103" s="215"/>
      <c r="AC103" s="198"/>
      <c r="AD103" s="198"/>
      <c r="AE103" s="198"/>
      <c r="AF103" s="215"/>
      <c r="AG103" s="198"/>
      <c r="AH103" s="198"/>
      <c r="AI103" s="198"/>
      <c r="AJ103" s="198"/>
      <c r="AK103" s="198"/>
      <c r="AL103" s="198"/>
      <c r="AM103" s="198"/>
      <c r="AN103" s="198"/>
      <c r="AO103" s="198"/>
      <c r="AP103" s="198"/>
      <c r="AQ103" s="198"/>
      <c r="AR103" s="198"/>
      <c r="AS103" s="198"/>
      <c r="AT103" s="198"/>
      <c r="AU103" s="198"/>
      <c r="AV103" s="198"/>
      <c r="AW103" s="198"/>
      <c r="AX103" s="198"/>
      <c r="AY103" s="198"/>
      <c r="AZ103" s="198"/>
      <c r="BA103" s="198"/>
      <c r="BB103" s="198"/>
      <c r="BC103" s="198"/>
      <c r="BD103" s="198"/>
      <c r="BE103" s="198"/>
      <c r="BF103" s="198"/>
      <c r="BG103" s="198"/>
      <c r="BH103" s="198"/>
      <c r="BI103" s="198"/>
      <c r="BJ103" s="198"/>
      <c r="BK103" s="198"/>
      <c r="BL103" s="198"/>
      <c r="BM103" s="198"/>
      <c r="BN103" s="198"/>
      <c r="BO103" s="198"/>
      <c r="BP103" s="198"/>
      <c r="BQ103" s="198"/>
      <c r="BR103" s="198"/>
      <c r="BS103" s="198"/>
      <c r="BT103" s="198"/>
      <c r="BU103" s="198"/>
      <c r="BV103" s="198"/>
      <c r="BW103" s="198"/>
      <c r="BX103" s="198"/>
    </row>
    <row r="104" spans="1:76" x14ac:dyDescent="0.25">
      <c r="A104" s="2" t="str">
        <f>'Language Index'!A128</f>
        <v>As Reported EBITDA</v>
      </c>
      <c r="B104" s="18">
        <f>_xll.ciqfunctions.udf.CIQ($C$2, "IQ_AS_REPORTED_EBITDA", D$6,$F$2,,,Ccy,Conv)</f>
        <v>0</v>
      </c>
      <c r="C104" s="18">
        <f>_xll.ciqfunctions.udf.CIQ($C$2, "IQ_AS_REPORTED_EBITDA", E$6,$F$2,,,Ccy,Conv)</f>
        <v>0</v>
      </c>
      <c r="D104" s="18">
        <f>_xll.ciqfunctions.udf.CIQ($C$2, "IQ_AS_REPORTED_EBITDA", F$6,$F$2,,,Ccy,Conv)</f>
        <v>0</v>
      </c>
      <c r="E104" s="18">
        <f>_xll.ciqfunctions.udf.CIQ($C$2, "IQ_AS_REPORTED_EBITDA", G$6,$F$2,,,Ccy,Conv)</f>
        <v>0</v>
      </c>
      <c r="F104" s="18">
        <f>_xll.ciqfunctions.udf.CIQ($C$2, "IQ_AS_REPORTED_EBITDA", H$6,$F$2,,,Ccy,Conv)</f>
        <v>0</v>
      </c>
      <c r="G104" s="18">
        <f>_xll.ciqfunctions.udf.CIQ($C$2, "IQ_AS_REPORTED_EBITDA", I$6,$F$2,,,Ccy,Conv)</f>
        <v>0</v>
      </c>
      <c r="H104" s="18">
        <f>_xll.ciqfunctions.udf.CIQ($C$2, "IQ_AS_REPORTED_EBITDA", J$6,$F$2,,,Ccy,Conv)</f>
        <v>0</v>
      </c>
      <c r="I104" s="18">
        <f>_xll.ciqfunctions.udf.CIQ($C$2, "IQ_AS_REPORTED_EBITDA", K$6,$F$2,,,Ccy,Conv)</f>
        <v>0</v>
      </c>
      <c r="J104" s="18">
        <f>_xll.ciqfunctions.udf.CIQ($C$2, "IQ_AS_REPORTED_EBITDA", L$6,$F$2,,,Ccy,Conv)</f>
        <v>0</v>
      </c>
      <c r="K104" s="18">
        <f>_xll.ciqfunctions.udf.CIQ($C$2, "IQ_AS_REPORTED_EBITDA", M$6,$F$2,,,Ccy,Conv)</f>
        <v>0</v>
      </c>
      <c r="L104" s="18">
        <f>_xll.ciqfunctions.udf.CIQ($C$2, "IQ_AS_REPORTED_EBITDA", N$6,$F$2,,,Ccy,Conv)</f>
        <v>0</v>
      </c>
      <c r="M104" s="18"/>
      <c r="N104" s="18">
        <f>_xll.ciqfunctions.udf.CIQ($C$2, "IQ_AS_REPORTED_EBITDA", P$6,$F$2,,,Ccy,Conv)</f>
        <v>0</v>
      </c>
      <c r="O104" s="221"/>
      <c r="P104" s="198"/>
      <c r="Q104" s="198"/>
      <c r="R104" s="198"/>
      <c r="S104" s="198"/>
      <c r="T104" s="223"/>
      <c r="U104" s="223"/>
      <c r="V104" s="223"/>
      <c r="W104" s="222"/>
      <c r="X104" s="215"/>
      <c r="Y104" s="215"/>
      <c r="Z104" s="215"/>
      <c r="AA104" s="215"/>
      <c r="AB104" s="215"/>
      <c r="AC104" s="198"/>
      <c r="AD104" s="198"/>
      <c r="AE104" s="198"/>
      <c r="AF104" s="215"/>
      <c r="AG104" s="198"/>
      <c r="AH104" s="198"/>
      <c r="AI104" s="198"/>
      <c r="AJ104" s="198"/>
      <c r="AK104" s="198"/>
      <c r="AL104" s="198"/>
      <c r="AM104" s="198"/>
      <c r="AN104" s="198"/>
      <c r="AO104" s="198"/>
      <c r="AP104" s="198"/>
      <c r="AQ104" s="198"/>
      <c r="AR104" s="198"/>
      <c r="AS104" s="198"/>
      <c r="AT104" s="198"/>
      <c r="AU104" s="198"/>
      <c r="AV104" s="198"/>
      <c r="AW104" s="198"/>
      <c r="AX104" s="198"/>
      <c r="AY104" s="198"/>
      <c r="AZ104" s="198"/>
      <c r="BA104" s="198"/>
      <c r="BB104" s="198"/>
      <c r="BC104" s="198"/>
      <c r="BD104" s="198"/>
      <c r="BE104" s="198"/>
      <c r="BF104" s="198"/>
      <c r="BG104" s="198"/>
      <c r="BH104" s="198"/>
      <c r="BI104" s="198"/>
      <c r="BJ104" s="198"/>
      <c r="BK104" s="198"/>
      <c r="BL104" s="198"/>
      <c r="BM104" s="198"/>
      <c r="BN104" s="198"/>
      <c r="BO104" s="198"/>
      <c r="BP104" s="198"/>
      <c r="BQ104" s="198"/>
      <c r="BR104" s="198"/>
      <c r="BS104" s="198"/>
      <c r="BT104" s="198"/>
      <c r="BU104" s="198"/>
      <c r="BV104" s="198"/>
      <c r="BW104" s="198"/>
      <c r="BX104" s="198"/>
    </row>
    <row r="105" spans="1:76" x14ac:dyDescent="0.25">
      <c r="A105" s="2" t="str">
        <f>'Language Index'!A129</f>
        <v>Provision for Doubtful Accounts - Patient Service Revenue</v>
      </c>
      <c r="B105" s="18">
        <f>_xll.ciqfunctions.udf.CIQ($C$2, "IQ_PROV_BAD_DEBTS_PATIENT_SERVICE_REV", D$6,$F$2,,,Ccy,Conv)</f>
        <v>0</v>
      </c>
      <c r="C105" s="18">
        <f>_xll.ciqfunctions.udf.CIQ($C$2, "IQ_PROV_BAD_DEBTS_PATIENT_SERVICE_REV", E$6,$F$2,,,Ccy,Conv)</f>
        <v>0</v>
      </c>
      <c r="D105" s="18">
        <f>_xll.ciqfunctions.udf.CIQ($C$2, "IQ_PROV_BAD_DEBTS_PATIENT_SERVICE_REV", F$6,$F$2,,,Ccy,Conv)</f>
        <v>0</v>
      </c>
      <c r="E105" s="18">
        <f>_xll.ciqfunctions.udf.CIQ($C$2, "IQ_PROV_BAD_DEBTS_PATIENT_SERVICE_REV", G$6,$F$2,,,Ccy,Conv)</f>
        <v>0</v>
      </c>
      <c r="F105" s="18">
        <f>_xll.ciqfunctions.udf.CIQ($C$2, "IQ_PROV_BAD_DEBTS_PATIENT_SERVICE_REV", H$6,$F$2,,,Ccy,Conv)</f>
        <v>0</v>
      </c>
      <c r="G105" s="18">
        <f>_xll.ciqfunctions.udf.CIQ($C$2, "IQ_PROV_BAD_DEBTS_PATIENT_SERVICE_REV", I$6,$F$2,,,Ccy,Conv)</f>
        <v>0</v>
      </c>
      <c r="H105" s="18">
        <f>_xll.ciqfunctions.udf.CIQ($C$2, "IQ_PROV_BAD_DEBTS_PATIENT_SERVICE_REV", J$6,$F$2,,,Ccy,Conv)</f>
        <v>0</v>
      </c>
      <c r="I105" s="18">
        <f>_xll.ciqfunctions.udf.CIQ($C$2, "IQ_PROV_BAD_DEBTS_PATIENT_SERVICE_REV", K$6,$F$2,,,Ccy,Conv)</f>
        <v>0</v>
      </c>
      <c r="J105" s="18">
        <f>_xll.ciqfunctions.udf.CIQ($C$2, "IQ_PROV_BAD_DEBTS_PATIENT_SERVICE_REV", L$6,$F$2,,,Ccy,Conv)</f>
        <v>0</v>
      </c>
      <c r="K105" s="18">
        <f>_xll.ciqfunctions.udf.CIQ($C$2, "IQ_PROV_BAD_DEBTS_PATIENT_SERVICE_REV", M$6,$F$2,,,Ccy,Conv)</f>
        <v>0</v>
      </c>
      <c r="L105" s="18">
        <f>_xll.ciqfunctions.udf.CIQ($C$2, "IQ_PROV_BAD_DEBTS_PATIENT_SERVICE_REV", N$6,$F$2,,,Ccy,Conv)</f>
        <v>0</v>
      </c>
      <c r="M105" s="18"/>
      <c r="N105" s="18">
        <f>_xll.ciqfunctions.udf.CIQ($C$2, "IQ_PROV_BAD_DEBTS_PATIENT_SERVICE_REV", P$6,$F$2,,,Ccy,Conv)</f>
        <v>0</v>
      </c>
      <c r="O105" s="221"/>
      <c r="P105" s="198"/>
      <c r="Q105" s="198"/>
      <c r="R105" s="198"/>
      <c r="S105" s="198"/>
      <c r="T105" s="223"/>
      <c r="U105" s="223"/>
      <c r="V105" s="223"/>
      <c r="W105" s="222"/>
      <c r="X105" s="215"/>
      <c r="Y105" s="215"/>
      <c r="Z105" s="215"/>
      <c r="AA105" s="215"/>
      <c r="AB105" s="215"/>
      <c r="AC105" s="198"/>
      <c r="AD105" s="198"/>
      <c r="AE105" s="198"/>
      <c r="AF105" s="215"/>
      <c r="AG105" s="198"/>
      <c r="AH105" s="198"/>
      <c r="AI105" s="198"/>
      <c r="AJ105" s="198"/>
      <c r="AK105" s="198"/>
      <c r="AL105" s="198"/>
      <c r="AM105" s="198"/>
      <c r="AN105" s="198"/>
      <c r="AO105" s="198"/>
      <c r="AP105" s="198"/>
      <c r="AQ105" s="198"/>
      <c r="AR105" s="198"/>
      <c r="AS105" s="198"/>
      <c r="AT105" s="198"/>
      <c r="AU105" s="198"/>
      <c r="AV105" s="198"/>
      <c r="AW105" s="198"/>
      <c r="AX105" s="198"/>
      <c r="AY105" s="198"/>
      <c r="AZ105" s="198"/>
      <c r="BA105" s="198"/>
      <c r="BB105" s="198"/>
      <c r="BC105" s="198"/>
      <c r="BD105" s="198"/>
      <c r="BE105" s="198"/>
      <c r="BF105" s="198"/>
      <c r="BG105" s="198"/>
      <c r="BH105" s="198"/>
      <c r="BI105" s="198"/>
      <c r="BJ105" s="198"/>
      <c r="BK105" s="198"/>
      <c r="BL105" s="198"/>
      <c r="BM105" s="198"/>
      <c r="BN105" s="198"/>
      <c r="BO105" s="198"/>
      <c r="BP105" s="198"/>
      <c r="BQ105" s="198"/>
      <c r="BR105" s="198"/>
      <c r="BS105" s="198"/>
      <c r="BT105" s="198"/>
      <c r="BU105" s="198"/>
      <c r="BV105" s="198"/>
      <c r="BW105" s="198"/>
      <c r="BX105" s="198"/>
    </row>
    <row r="106" spans="1:76" x14ac:dyDescent="0.25">
      <c r="A106" s="2" t="str">
        <f>'Language Index'!A130</f>
        <v>Earnings to Parent before Extraordinary Items</v>
      </c>
      <c r="B106" s="18">
        <f>_xll.ciqfunctions.udf.CIQ($C$2, "IQ_EARNING_PARENT_EXCL_EXTRA", D$6,$F$2,,,Ccy,Conv)</f>
        <v>15751</v>
      </c>
      <c r="C106" s="18">
        <f>_xll.ciqfunctions.udf.CIQ($C$2, "IQ_EARNING_PARENT_EXCL_EXTRA", E$6,$F$2,,,Ccy,Conv)</f>
        <v>13364</v>
      </c>
      <c r="D106" s="18">
        <f>_xll.ciqfunctions.udf.CIQ($C$2, "IQ_EARNING_PARENT_EXCL_EXTRA", F$6,$F$2,,,Ccy,Conv)</f>
        <v>11881</v>
      </c>
      <c r="E106" s="18">
        <f>_xll.ciqfunctions.udf.CIQ($C$2, "IQ_EARNING_PARENT_EXCL_EXTRA", G$6,$F$2,,,Ccy,Conv)</f>
        <v>5758</v>
      </c>
      <c r="F106" s="18">
        <f>_xll.ciqfunctions.udf.CIQ($C$2, "IQ_EARNING_PARENT_EXCL_EXTRA", H$6,$F$2,,,Ccy,Conv)</f>
        <v>8723</v>
      </c>
      <c r="G106" s="18">
        <f>_xll.ciqfunctions.udf.CIQ($C$2, "IQ_EARNING_PARENT_EXCL_EXTRA", I$6,$F$2,,,Ccy,Conv)</f>
        <v>7146</v>
      </c>
      <c r="H106" s="18">
        <f>_xll.ciqfunctions.udf.CIQ($C$2, "IQ_EARNING_PARENT_EXCL_EXTRA", J$6,$F$2,,,Ccy,Conv)</f>
        <v>3932</v>
      </c>
      <c r="I106" s="18">
        <f>_xll.ciqfunctions.udf.CIQ($C$2, "IQ_EARNING_PARENT_EXCL_EXTRA", K$6,$F$2,,,Ccy,Conv)</f>
        <v>4713</v>
      </c>
      <c r="J106" s="18">
        <f>_xll.ciqfunctions.udf.CIQ($C$2, "IQ_EARNING_PARENT_EXCL_EXTRA", L$6,$F$2,,,Ccy,Conv)</f>
        <v>1782</v>
      </c>
      <c r="K106" s="18">
        <f>_xll.ciqfunctions.udf.CIQ($C$2, "IQ_EARNING_PARENT_EXCL_EXTRA", M$6,$F$2,,,Ccy,Conv)</f>
        <v>7514</v>
      </c>
      <c r="L106" s="18">
        <f>_xll.ciqfunctions.udf.CIQ($C$2, "IQ_EARNING_PARENT_EXCL_EXTRA", N$6,$F$2,,,Ccy,Conv)</f>
        <v>6015</v>
      </c>
      <c r="M106" s="18"/>
      <c r="N106" s="18">
        <f>_xll.ciqfunctions.udf.CIQ($C$2, "IQ_EARNING_PARENT_EXCL_EXTRA", P$6,$F$2,,,Ccy,Conv)</f>
        <v>6015</v>
      </c>
      <c r="O106" s="221"/>
      <c r="P106" s="198"/>
      <c r="Q106" s="198"/>
      <c r="R106" s="198"/>
      <c r="S106" s="198"/>
      <c r="T106" s="223"/>
      <c r="U106" s="223"/>
      <c r="V106" s="223"/>
      <c r="W106" s="222"/>
      <c r="X106" s="215"/>
      <c r="Y106" s="215"/>
      <c r="Z106" s="215"/>
      <c r="AA106" s="215"/>
      <c r="AB106" s="215"/>
      <c r="AC106" s="198"/>
      <c r="AD106" s="198"/>
      <c r="AE106" s="198"/>
      <c r="AF106" s="215"/>
      <c r="AG106" s="198"/>
      <c r="AH106" s="198"/>
      <c r="AI106" s="198"/>
      <c r="AJ106" s="198"/>
      <c r="AK106" s="198"/>
      <c r="AL106" s="198"/>
      <c r="AM106" s="198"/>
      <c r="AN106" s="198"/>
      <c r="AO106" s="198"/>
      <c r="AP106" s="198"/>
      <c r="AQ106" s="198"/>
      <c r="AR106" s="198"/>
      <c r="AS106" s="198"/>
      <c r="AT106" s="198"/>
      <c r="AU106" s="198"/>
      <c r="AV106" s="198"/>
      <c r="AW106" s="198"/>
      <c r="AX106" s="198"/>
      <c r="AY106" s="198"/>
      <c r="AZ106" s="198"/>
      <c r="BA106" s="198"/>
      <c r="BB106" s="198"/>
      <c r="BC106" s="198"/>
      <c r="BD106" s="198"/>
      <c r="BE106" s="198"/>
      <c r="BF106" s="198"/>
      <c r="BG106" s="198"/>
      <c r="BH106" s="198"/>
      <c r="BI106" s="198"/>
      <c r="BJ106" s="198"/>
      <c r="BK106" s="198"/>
      <c r="BL106" s="198"/>
      <c r="BM106" s="198"/>
      <c r="BN106" s="198"/>
      <c r="BO106" s="198"/>
      <c r="BP106" s="198"/>
      <c r="BQ106" s="198"/>
      <c r="BR106" s="198"/>
      <c r="BS106" s="198"/>
      <c r="BT106" s="198"/>
      <c r="BU106" s="198"/>
      <c r="BV106" s="198"/>
      <c r="BW106" s="198"/>
      <c r="BX106" s="198"/>
    </row>
    <row r="107" spans="1:76" x14ac:dyDescent="0.25">
      <c r="A107" s="2" t="str">
        <f>'Language Index'!A131</f>
        <v>Net Income per SFAS 123 (after Options)</v>
      </c>
      <c r="B107" s="18">
        <f>_xll.ciqfunctions.udf.CIQ($C$2, "IQ_NI_SFAS", D$6,$F$2,,,Ccy,Conv)</f>
        <v>0</v>
      </c>
      <c r="C107" s="18">
        <f>_xll.ciqfunctions.udf.CIQ($C$2, "IQ_NI_SFAS", E$6,$F$2,,,Ccy,Conv)</f>
        <v>0</v>
      </c>
      <c r="D107" s="18">
        <f>_xll.ciqfunctions.udf.CIQ($C$2, "IQ_NI_SFAS", F$6,$F$2,,,Ccy,Conv)</f>
        <v>0</v>
      </c>
      <c r="E107" s="18">
        <f>_xll.ciqfunctions.udf.CIQ($C$2, "IQ_NI_SFAS", G$6,$F$2,,,Ccy,Conv)</f>
        <v>0</v>
      </c>
      <c r="F107" s="18">
        <f>_xll.ciqfunctions.udf.CIQ($C$2, "IQ_NI_SFAS", H$6,$F$2,,,Ccy,Conv)</f>
        <v>0</v>
      </c>
      <c r="G107" s="18">
        <f>_xll.ciqfunctions.udf.CIQ($C$2, "IQ_NI_SFAS", I$6,$F$2,,,Ccy,Conv)</f>
        <v>0</v>
      </c>
      <c r="H107" s="18">
        <f>_xll.ciqfunctions.udf.CIQ($C$2, "IQ_NI_SFAS", J$6,$F$2,,,Ccy,Conv)</f>
        <v>0</v>
      </c>
      <c r="I107" s="18">
        <f>_xll.ciqfunctions.udf.CIQ($C$2, "IQ_NI_SFAS", K$6,$F$2,,,Ccy,Conv)</f>
        <v>0</v>
      </c>
      <c r="J107" s="18">
        <f>_xll.ciqfunctions.udf.CIQ($C$2, "IQ_NI_SFAS", L$6,$F$2,,,Ccy,Conv)</f>
        <v>0</v>
      </c>
      <c r="K107" s="18">
        <f>_xll.ciqfunctions.udf.CIQ($C$2, "IQ_NI_SFAS", M$6,$F$2,,,Ccy,Conv)</f>
        <v>0</v>
      </c>
      <c r="L107" s="18">
        <f>_xll.ciqfunctions.udf.CIQ($C$2, "IQ_NI_SFAS", N$6,$F$2,,,Ccy,Conv)</f>
        <v>0</v>
      </c>
      <c r="M107" s="18"/>
      <c r="N107" s="18">
        <f>_xll.ciqfunctions.udf.CIQ($C$2, "IQ_NI_SFAS", P$6,$F$2,,,Ccy,Conv)</f>
        <v>0</v>
      </c>
      <c r="O107" s="221"/>
      <c r="P107" s="198"/>
      <c r="Q107" s="198"/>
      <c r="R107" s="198"/>
      <c r="S107" s="198"/>
      <c r="T107" s="223"/>
      <c r="U107" s="223"/>
      <c r="V107" s="223"/>
      <c r="W107" s="222"/>
      <c r="X107" s="215"/>
      <c r="Y107" s="215"/>
      <c r="Z107" s="215"/>
      <c r="AA107" s="215"/>
      <c r="AB107" s="215"/>
      <c r="AC107" s="198"/>
      <c r="AD107" s="198"/>
      <c r="AE107" s="198"/>
      <c r="AF107" s="215"/>
      <c r="AG107" s="198"/>
      <c r="AH107" s="198"/>
      <c r="AI107" s="198"/>
      <c r="AJ107" s="198"/>
      <c r="AK107" s="198"/>
      <c r="AL107" s="198"/>
      <c r="AM107" s="198"/>
      <c r="AN107" s="198"/>
      <c r="AO107" s="198"/>
      <c r="AP107" s="198"/>
      <c r="AQ107" s="198"/>
      <c r="AR107" s="198"/>
      <c r="AS107" s="198"/>
      <c r="AT107" s="198"/>
      <c r="AU107" s="198"/>
      <c r="AV107" s="198"/>
      <c r="AW107" s="198"/>
      <c r="AX107" s="198"/>
      <c r="AY107" s="198"/>
      <c r="AZ107" s="198"/>
      <c r="BA107" s="198"/>
      <c r="BB107" s="198"/>
      <c r="BC107" s="198"/>
      <c r="BD107" s="198"/>
      <c r="BE107" s="198"/>
      <c r="BF107" s="198"/>
      <c r="BG107" s="198"/>
      <c r="BH107" s="198"/>
      <c r="BI107" s="198"/>
      <c r="BJ107" s="198"/>
      <c r="BK107" s="198"/>
      <c r="BL107" s="198"/>
      <c r="BM107" s="198"/>
      <c r="BN107" s="198"/>
      <c r="BO107" s="198"/>
      <c r="BP107" s="198"/>
      <c r="BQ107" s="198"/>
      <c r="BR107" s="198"/>
      <c r="BS107" s="198"/>
      <c r="BT107" s="198"/>
      <c r="BU107" s="198"/>
      <c r="BV107" s="198"/>
      <c r="BW107" s="198"/>
      <c r="BX107" s="198"/>
    </row>
    <row r="108" spans="1:76" x14ac:dyDescent="0.25">
      <c r="A108" s="2" t="str">
        <f>'Language Index'!A132</f>
        <v>Interest Income</v>
      </c>
      <c r="B108" s="18">
        <f>_xll.ciqfunctions.udf.CIQ($C$2, "IQ_INTEREST_INCOME", D$6,$F$2,,,Ccy,Conv)</f>
        <v>90</v>
      </c>
      <c r="C108" s="18">
        <f>_xll.ciqfunctions.udf.CIQ($C$2, "IQ_INTEREST_INCOME", E$6,$F$2,,,Ccy,Conv)</f>
        <v>72</v>
      </c>
      <c r="D108" s="18">
        <f>_xll.ciqfunctions.udf.CIQ($C$2, "IQ_INTEREST_INCOME", F$6,$F$2,,,Ccy,Conv)</f>
        <v>108</v>
      </c>
      <c r="E108" s="18">
        <f>_xll.ciqfunctions.udf.CIQ($C$2, "IQ_INTEREST_INCOME", G$6,$F$2,,,Ccy,Conv)</f>
        <v>0</v>
      </c>
      <c r="F108" s="18">
        <f>_xll.ciqfunctions.udf.CIQ($C$2, "IQ_INTEREST_INCOME", H$6,$F$2,,,Ccy,Conv)</f>
        <v>0</v>
      </c>
      <c r="G108" s="18">
        <f>_xll.ciqfunctions.udf.CIQ($C$2, "IQ_INTEREST_INCOME", I$6,$F$2,,,Ccy,Conv)</f>
        <v>0</v>
      </c>
      <c r="H108" s="18">
        <f>_xll.ciqfunctions.udf.CIQ($C$2, "IQ_INTEREST_INCOME", J$6,$F$2,,,Ccy,Conv)</f>
        <v>0</v>
      </c>
      <c r="I108" s="18">
        <f>_xll.ciqfunctions.udf.CIQ($C$2, "IQ_INTEREST_INCOME", K$6,$F$2,,,Ccy,Conv)</f>
        <v>52</v>
      </c>
      <c r="J108" s="18">
        <f>_xll.ciqfunctions.udf.CIQ($C$2, "IQ_INTEREST_INCOME", L$6,$F$2,,,Ccy,Conv)</f>
        <v>162</v>
      </c>
      <c r="K108" s="18">
        <f>_xll.ciqfunctions.udf.CIQ($C$2, "IQ_INTEREST_INCOME", M$6,$F$2,,,Ccy,Conv)</f>
        <v>670</v>
      </c>
      <c r="L108" s="18">
        <f>_xll.ciqfunctions.udf.CIQ($C$2, "IQ_INTEREST_INCOME", N$6,$F$2,,,Ccy,Conv)</f>
        <v>747</v>
      </c>
      <c r="M108" s="18"/>
      <c r="N108" s="18">
        <f>_xll.ciqfunctions.udf.CIQ($C$2, "IQ_INTEREST_INCOME", P$6,$F$2,,,Ccy,Conv)</f>
        <v>747</v>
      </c>
      <c r="O108" s="221"/>
      <c r="P108" s="198"/>
      <c r="Q108" s="198"/>
      <c r="R108" s="198"/>
      <c r="S108" s="198"/>
      <c r="T108" s="223"/>
      <c r="U108" s="223"/>
      <c r="V108" s="223"/>
      <c r="W108" s="222"/>
      <c r="X108" s="215"/>
      <c r="Y108" s="215"/>
      <c r="Z108" s="215"/>
      <c r="AA108" s="215"/>
      <c r="AB108" s="215"/>
      <c r="AC108" s="198"/>
      <c r="AD108" s="198"/>
      <c r="AE108" s="198"/>
      <c r="AF108" s="215"/>
      <c r="AG108" s="198"/>
      <c r="AH108" s="198"/>
      <c r="AI108" s="198"/>
      <c r="AJ108" s="198"/>
      <c r="AK108" s="198"/>
      <c r="AL108" s="198"/>
      <c r="AM108" s="198"/>
      <c r="AN108" s="198"/>
      <c r="AO108" s="198"/>
      <c r="AP108" s="198"/>
      <c r="AQ108" s="198"/>
      <c r="AR108" s="198"/>
      <c r="AS108" s="198"/>
      <c r="AT108" s="198"/>
      <c r="AU108" s="198"/>
      <c r="AV108" s="198"/>
      <c r="AW108" s="198"/>
      <c r="AX108" s="198"/>
      <c r="AY108" s="198"/>
      <c r="AZ108" s="198"/>
      <c r="BA108" s="198"/>
      <c r="BB108" s="198"/>
      <c r="BC108" s="198"/>
      <c r="BD108" s="198"/>
      <c r="BE108" s="198"/>
      <c r="BF108" s="198"/>
      <c r="BG108" s="198"/>
      <c r="BH108" s="198"/>
      <c r="BI108" s="198"/>
      <c r="BJ108" s="198"/>
      <c r="BK108" s="198"/>
      <c r="BL108" s="198"/>
      <c r="BM108" s="198"/>
      <c r="BN108" s="198"/>
      <c r="BO108" s="198"/>
      <c r="BP108" s="198"/>
      <c r="BQ108" s="198"/>
      <c r="BR108" s="198"/>
      <c r="BS108" s="198"/>
      <c r="BT108" s="198"/>
      <c r="BU108" s="198"/>
      <c r="BV108" s="198"/>
      <c r="BW108" s="198"/>
      <c r="BX108" s="198"/>
    </row>
    <row r="109" spans="1:76" x14ac:dyDescent="0.25">
      <c r="A109" s="2" t="str">
        <f>'Language Index'!A133</f>
        <v>Investment Income</v>
      </c>
      <c r="B109" s="18">
        <f>_xll.ciqfunctions.udf.CIQ($C$2, "IQ_INVESTMENT_INCOME", D$6,$F$2,,,Ccy,Conv)</f>
        <v>0</v>
      </c>
      <c r="C109" s="18">
        <f>_xll.ciqfunctions.udf.CIQ($C$2, "IQ_INVESTMENT_INCOME", E$6,$F$2,,,Ccy,Conv)</f>
        <v>0</v>
      </c>
      <c r="D109" s="18">
        <f>_xll.ciqfunctions.udf.CIQ($C$2, "IQ_INVESTMENT_INCOME", F$6,$F$2,,,Ccy,Conv)</f>
        <v>0</v>
      </c>
      <c r="E109" s="18">
        <f>_xll.ciqfunctions.udf.CIQ($C$2, "IQ_INVESTMENT_INCOME", G$6,$F$2,,,Ccy,Conv)</f>
        <v>0</v>
      </c>
      <c r="F109" s="18">
        <f>_xll.ciqfunctions.udf.CIQ($C$2, "IQ_INVESTMENT_INCOME", H$6,$F$2,,,Ccy,Conv)</f>
        <v>0</v>
      </c>
      <c r="G109" s="18">
        <f>_xll.ciqfunctions.udf.CIQ($C$2, "IQ_INVESTMENT_INCOME", I$6,$F$2,,,Ccy,Conv)</f>
        <v>0</v>
      </c>
      <c r="H109" s="18">
        <f>_xll.ciqfunctions.udf.CIQ($C$2, "IQ_INVESTMENT_INCOME", J$6,$F$2,,,Ccy,Conv)</f>
        <v>0</v>
      </c>
      <c r="I109" s="18">
        <f>_xll.ciqfunctions.udf.CIQ($C$2, "IQ_INVESTMENT_INCOME", K$6,$F$2,,,Ccy,Conv)</f>
        <v>0</v>
      </c>
      <c r="J109" s="18">
        <f>_xll.ciqfunctions.udf.CIQ($C$2, "IQ_INVESTMENT_INCOME", L$6,$F$2,,,Ccy,Conv)</f>
        <v>0</v>
      </c>
      <c r="K109" s="18">
        <f>_xll.ciqfunctions.udf.CIQ($C$2, "IQ_INVESTMENT_INCOME", M$6,$F$2,,,Ccy,Conv)</f>
        <v>0</v>
      </c>
      <c r="L109" s="18">
        <f>_xll.ciqfunctions.udf.CIQ($C$2, "IQ_INVESTMENT_INCOME", N$6,$F$2,,,Ccy,Conv)</f>
        <v>0</v>
      </c>
      <c r="M109" s="18"/>
      <c r="N109" s="18">
        <f>_xll.ciqfunctions.udf.CIQ($C$2, "IQ_INVESTMENT_INCOME", P$6,$F$2,,,Ccy,Conv)</f>
        <v>0</v>
      </c>
      <c r="O109" s="221"/>
      <c r="P109" s="198"/>
      <c r="Q109" s="198"/>
      <c r="R109" s="198"/>
      <c r="S109" s="198"/>
      <c r="T109" s="223"/>
      <c r="U109" s="223"/>
      <c r="V109" s="223"/>
      <c r="W109" s="222"/>
      <c r="X109" s="215"/>
      <c r="Y109" s="215"/>
      <c r="Z109" s="215"/>
      <c r="AA109" s="215"/>
      <c r="AB109" s="215"/>
      <c r="AC109" s="198"/>
      <c r="AD109" s="198"/>
      <c r="AE109" s="198"/>
      <c r="AF109" s="215"/>
      <c r="AG109" s="198"/>
      <c r="AH109" s="198"/>
      <c r="AI109" s="198"/>
      <c r="AJ109" s="198"/>
      <c r="AK109" s="198"/>
      <c r="AL109" s="198"/>
      <c r="AM109" s="198"/>
      <c r="AN109" s="198"/>
      <c r="AO109" s="198"/>
      <c r="AP109" s="198"/>
      <c r="AQ109" s="198"/>
      <c r="AR109" s="198"/>
      <c r="AS109" s="198"/>
      <c r="AT109" s="198"/>
      <c r="AU109" s="198"/>
      <c r="AV109" s="198"/>
      <c r="AW109" s="198"/>
      <c r="AX109" s="198"/>
      <c r="AY109" s="198"/>
      <c r="AZ109" s="198"/>
      <c r="BA109" s="198"/>
      <c r="BB109" s="198"/>
      <c r="BC109" s="198"/>
      <c r="BD109" s="198"/>
      <c r="BE109" s="198"/>
      <c r="BF109" s="198"/>
      <c r="BG109" s="198"/>
      <c r="BH109" s="198"/>
      <c r="BI109" s="198"/>
      <c r="BJ109" s="198"/>
      <c r="BK109" s="198"/>
      <c r="BL109" s="198"/>
      <c r="BM109" s="198"/>
      <c r="BN109" s="198"/>
      <c r="BO109" s="198"/>
      <c r="BP109" s="198"/>
      <c r="BQ109" s="198"/>
      <c r="BR109" s="198"/>
      <c r="BS109" s="198"/>
      <c r="BT109" s="198"/>
      <c r="BU109" s="198"/>
      <c r="BV109" s="198"/>
      <c r="BW109" s="198"/>
      <c r="BX109" s="198"/>
    </row>
    <row r="110" spans="1:76" x14ac:dyDescent="0.25">
      <c r="A110" s="2" t="str">
        <f>'Language Index'!A134</f>
        <v>Excise Taxes Excluded from Sales</v>
      </c>
      <c r="B110" s="18">
        <f>_xll.ciqfunctions.udf.CIQ($C$2, "IQ_EXCISE_TAXES_EXCL_SALES", D$6,$F$2,,,Ccy,Conv)</f>
        <v>0</v>
      </c>
      <c r="C110" s="18">
        <f>_xll.ciqfunctions.udf.CIQ($C$2, "IQ_EXCISE_TAXES_EXCL_SALES", E$6,$F$2,,,Ccy,Conv)</f>
        <v>0</v>
      </c>
      <c r="D110" s="18">
        <f>_xll.ciqfunctions.udf.CIQ($C$2, "IQ_EXCISE_TAXES_EXCL_SALES", F$6,$F$2,,,Ccy,Conv)</f>
        <v>0</v>
      </c>
      <c r="E110" s="18">
        <f>_xll.ciqfunctions.udf.CIQ($C$2, "IQ_EXCISE_TAXES_EXCL_SALES", G$6,$F$2,,,Ccy,Conv)</f>
        <v>0</v>
      </c>
      <c r="F110" s="18">
        <f>_xll.ciqfunctions.udf.CIQ($C$2, "IQ_EXCISE_TAXES_EXCL_SALES", H$6,$F$2,,,Ccy,Conv)</f>
        <v>0</v>
      </c>
      <c r="G110" s="18">
        <f>_xll.ciqfunctions.udf.CIQ($C$2, "IQ_EXCISE_TAXES_EXCL_SALES", I$6,$F$2,,,Ccy,Conv)</f>
        <v>0</v>
      </c>
      <c r="H110" s="18">
        <f>_xll.ciqfunctions.udf.CIQ($C$2, "IQ_EXCISE_TAXES_EXCL_SALES", J$6,$F$2,,,Ccy,Conv)</f>
        <v>0</v>
      </c>
      <c r="I110" s="18">
        <f>_xll.ciqfunctions.udf.CIQ($C$2, "IQ_EXCISE_TAXES_EXCL_SALES", K$6,$F$2,,,Ccy,Conv)</f>
        <v>0</v>
      </c>
      <c r="J110" s="18">
        <f>_xll.ciqfunctions.udf.CIQ($C$2, "IQ_EXCISE_TAXES_EXCL_SALES", L$6,$F$2,,,Ccy,Conv)</f>
        <v>0</v>
      </c>
      <c r="K110" s="18">
        <f>_xll.ciqfunctions.udf.CIQ($C$2, "IQ_EXCISE_TAXES_EXCL_SALES", M$6,$F$2,,,Ccy,Conv)</f>
        <v>0</v>
      </c>
      <c r="L110" s="18">
        <f>_xll.ciqfunctions.udf.CIQ($C$2, "IQ_EXCISE_TAXES_EXCL_SALES", N$6,$F$2,,,Ccy,Conv)</f>
        <v>0</v>
      </c>
      <c r="M110" s="18"/>
      <c r="N110" s="18">
        <f>_xll.ciqfunctions.udf.CIQ($C$2, "IQ_EXCISE_TAXES_EXCL_SALES", P$6,$F$2,,,Ccy,Conv)</f>
        <v>0</v>
      </c>
      <c r="O110" s="221"/>
      <c r="P110" s="198"/>
      <c r="Q110" s="198"/>
      <c r="R110" s="198"/>
      <c r="S110" s="198"/>
      <c r="T110" s="223"/>
      <c r="U110" s="223"/>
      <c r="V110" s="223"/>
      <c r="W110" s="222"/>
      <c r="X110" s="215"/>
      <c r="Y110" s="215"/>
      <c r="Z110" s="215"/>
      <c r="AA110" s="215"/>
      <c r="AB110" s="215"/>
      <c r="AC110" s="198"/>
      <c r="AD110" s="198"/>
      <c r="AE110" s="198"/>
      <c r="AF110" s="215"/>
      <c r="AG110" s="198"/>
      <c r="AH110" s="198"/>
      <c r="AI110" s="198"/>
      <c r="AJ110" s="198"/>
      <c r="AK110" s="198"/>
      <c r="AL110" s="198"/>
      <c r="AM110" s="198"/>
      <c r="AN110" s="198"/>
      <c r="AO110" s="198"/>
      <c r="AP110" s="198"/>
      <c r="AQ110" s="198"/>
      <c r="AR110" s="198"/>
      <c r="AS110" s="198"/>
      <c r="AT110" s="198"/>
      <c r="AU110" s="198"/>
      <c r="AV110" s="198"/>
      <c r="AW110" s="198"/>
      <c r="AX110" s="198"/>
      <c r="AY110" s="198"/>
      <c r="AZ110" s="198"/>
      <c r="BA110" s="198"/>
      <c r="BB110" s="198"/>
      <c r="BC110" s="198"/>
      <c r="BD110" s="198"/>
      <c r="BE110" s="198"/>
      <c r="BF110" s="198"/>
      <c r="BG110" s="198"/>
      <c r="BH110" s="198"/>
      <c r="BI110" s="198"/>
      <c r="BJ110" s="198"/>
      <c r="BK110" s="198"/>
      <c r="BL110" s="198"/>
      <c r="BM110" s="198"/>
      <c r="BN110" s="198"/>
      <c r="BO110" s="198"/>
      <c r="BP110" s="198"/>
      <c r="BQ110" s="198"/>
      <c r="BR110" s="198"/>
      <c r="BS110" s="198"/>
      <c r="BT110" s="198"/>
      <c r="BU110" s="198"/>
      <c r="BV110" s="198"/>
      <c r="BW110" s="198"/>
      <c r="BX110" s="198"/>
    </row>
    <row r="111" spans="1:76" x14ac:dyDescent="0.25">
      <c r="A111" s="2" t="str">
        <f>'Language Index'!A135</f>
        <v>Excise Taxes Included in Sales</v>
      </c>
      <c r="B111" s="18">
        <f>_xll.ciqfunctions.udf.CIQ($C$2, "IQ_EXCISE_TAXES_INCL_SALES", D$6,$F$2,,,Ccy,Conv)</f>
        <v>0</v>
      </c>
      <c r="C111" s="18">
        <f>_xll.ciqfunctions.udf.CIQ($C$2, "IQ_EXCISE_TAXES_INCL_SALES", E$6,$F$2,,,Ccy,Conv)</f>
        <v>0</v>
      </c>
      <c r="D111" s="18">
        <f>_xll.ciqfunctions.udf.CIQ($C$2, "IQ_EXCISE_TAXES_INCL_SALES", F$6,$F$2,,,Ccy,Conv)</f>
        <v>0</v>
      </c>
      <c r="E111" s="18">
        <f>_xll.ciqfunctions.udf.CIQ($C$2, "IQ_EXCISE_TAXES_INCL_SALES", G$6,$F$2,,,Ccy,Conv)</f>
        <v>0</v>
      </c>
      <c r="F111" s="18">
        <f>_xll.ciqfunctions.udf.CIQ($C$2, "IQ_EXCISE_TAXES_INCL_SALES", H$6,$F$2,,,Ccy,Conv)</f>
        <v>0</v>
      </c>
      <c r="G111" s="18">
        <f>_xll.ciqfunctions.udf.CIQ($C$2, "IQ_EXCISE_TAXES_INCL_SALES", I$6,$F$2,,,Ccy,Conv)</f>
        <v>0</v>
      </c>
      <c r="H111" s="18">
        <f>_xll.ciqfunctions.udf.CIQ($C$2, "IQ_EXCISE_TAXES_INCL_SALES", J$6,$F$2,,,Ccy,Conv)</f>
        <v>0</v>
      </c>
      <c r="I111" s="18">
        <f>_xll.ciqfunctions.udf.CIQ($C$2, "IQ_EXCISE_TAXES_INCL_SALES", K$6,$F$2,,,Ccy,Conv)</f>
        <v>0</v>
      </c>
      <c r="J111" s="18">
        <f>_xll.ciqfunctions.udf.CIQ($C$2, "IQ_EXCISE_TAXES_INCL_SALES", L$6,$F$2,,,Ccy,Conv)</f>
        <v>0</v>
      </c>
      <c r="K111" s="18">
        <f>_xll.ciqfunctions.udf.CIQ($C$2, "IQ_EXCISE_TAXES_INCL_SALES", M$6,$F$2,,,Ccy,Conv)</f>
        <v>0</v>
      </c>
      <c r="L111" s="18">
        <f>_xll.ciqfunctions.udf.CIQ($C$2, "IQ_EXCISE_TAXES_INCL_SALES", N$6,$F$2,,,Ccy,Conv)</f>
        <v>0</v>
      </c>
      <c r="M111" s="18"/>
      <c r="N111" s="18">
        <f>_xll.ciqfunctions.udf.CIQ($C$2, "IQ_EXCISE_TAXES_INCL_SALES", P$6,$F$2,,,Ccy,Conv)</f>
        <v>0</v>
      </c>
      <c r="O111" s="221"/>
      <c r="P111" s="198"/>
      <c r="Q111" s="198"/>
      <c r="R111" s="198"/>
      <c r="S111" s="198"/>
      <c r="T111" s="223"/>
      <c r="U111" s="223"/>
      <c r="V111" s="223"/>
      <c r="W111" s="222"/>
      <c r="X111" s="215"/>
      <c r="Y111" s="215"/>
      <c r="Z111" s="215"/>
      <c r="AA111" s="215"/>
      <c r="AB111" s="215"/>
      <c r="AC111" s="198"/>
      <c r="AD111" s="198"/>
      <c r="AE111" s="198"/>
      <c r="AF111" s="215"/>
      <c r="AG111" s="198"/>
      <c r="AH111" s="198"/>
      <c r="AI111" s="198"/>
      <c r="AJ111" s="198"/>
      <c r="AK111" s="198"/>
      <c r="AL111" s="198"/>
      <c r="AM111" s="198"/>
      <c r="AN111" s="198"/>
      <c r="AO111" s="198"/>
      <c r="AP111" s="198"/>
      <c r="AQ111" s="198"/>
      <c r="AR111" s="198"/>
      <c r="AS111" s="198"/>
      <c r="AT111" s="198"/>
      <c r="AU111" s="198"/>
      <c r="AV111" s="198"/>
      <c r="AW111" s="198"/>
      <c r="AX111" s="198"/>
      <c r="AY111" s="198"/>
      <c r="AZ111" s="198"/>
      <c r="BA111" s="198"/>
      <c r="BB111" s="198"/>
      <c r="BC111" s="198"/>
      <c r="BD111" s="198"/>
      <c r="BE111" s="198"/>
      <c r="BF111" s="198"/>
      <c r="BG111" s="198"/>
      <c r="BH111" s="198"/>
      <c r="BI111" s="198"/>
      <c r="BJ111" s="198"/>
      <c r="BK111" s="198"/>
      <c r="BL111" s="198"/>
      <c r="BM111" s="198"/>
      <c r="BN111" s="198"/>
      <c r="BO111" s="198"/>
      <c r="BP111" s="198"/>
      <c r="BQ111" s="198"/>
      <c r="BR111" s="198"/>
      <c r="BS111" s="198"/>
      <c r="BT111" s="198"/>
      <c r="BU111" s="198"/>
      <c r="BV111" s="198"/>
      <c r="BW111" s="198"/>
      <c r="BX111" s="198"/>
    </row>
    <row r="112" spans="1:76" x14ac:dyDescent="0.25">
      <c r="A112" s="2" t="str">
        <f>'Language Index'!A136</f>
        <v>Current Domestic Taxes</v>
      </c>
      <c r="B112" s="18">
        <f>_xll.ciqfunctions.udf.CIQ($C$2, "IQ_CURR_DOMESTIC_TAXES", D$6,$F$2,,,Ccy,Conv)</f>
        <v>1675</v>
      </c>
      <c r="C112" s="18">
        <f>_xll.ciqfunctions.udf.CIQ($C$2, "IQ_CURR_DOMESTIC_TAXES", E$6,$F$2,,,Ccy,Conv)</f>
        <v>-193</v>
      </c>
      <c r="D112" s="18">
        <f>_xll.ciqfunctions.udf.CIQ($C$2, "IQ_CURR_DOMESTIC_TAXES", F$6,$F$2,,,Ccy,Conv)</f>
        <v>430</v>
      </c>
      <c r="E112" s="18">
        <f>_xll.ciqfunctions.udf.CIQ($C$2, "IQ_CURR_DOMESTIC_TAXES", G$6,$F$2,,,Ccy,Conv)</f>
        <v>2443</v>
      </c>
      <c r="F112" s="18">
        <f>_xll.ciqfunctions.udf.CIQ($C$2, "IQ_CURR_DOMESTIC_TAXES", H$6,$F$2,,,Ccy,Conv)</f>
        <v>-215</v>
      </c>
      <c r="G112" s="18">
        <f>_xll.ciqfunctions.udf.CIQ($C$2, "IQ_CURR_DOMESTIC_TAXES", I$6,$F$2,,,Ccy,Conv)</f>
        <v>272</v>
      </c>
      <c r="H112" s="18">
        <f>_xll.ciqfunctions.udf.CIQ($C$2, "IQ_CURR_DOMESTIC_TAXES", J$6,$F$2,,,Ccy,Conv)</f>
        <v>657</v>
      </c>
      <c r="I112" s="18">
        <f>_xll.ciqfunctions.udf.CIQ($C$2, "IQ_CURR_DOMESTIC_TAXES", K$6,$F$2,,,Ccy,Conv)</f>
        <v>535</v>
      </c>
      <c r="J112" s="18">
        <f>_xll.ciqfunctions.udf.CIQ($C$2, "IQ_CURR_DOMESTIC_TAXES", L$6,$F$2,,,Ccy,Conv)</f>
        <v>575</v>
      </c>
      <c r="K112" s="18">
        <f>_xll.ciqfunctions.udf.CIQ($C$2, "IQ_CURR_DOMESTIC_TAXES", M$6,$F$2,,,Ccy,Conv)</f>
        <v>687</v>
      </c>
      <c r="L112" s="18">
        <f>_xll.ciqfunctions.udf.CIQ($C$2, "IQ_CURR_DOMESTIC_TAXES", N$6,$F$2,,,Ccy,Conv)</f>
        <v>-183</v>
      </c>
      <c r="M112" s="18"/>
      <c r="N112" s="18">
        <f>_xll.ciqfunctions.udf.CIQ($C$2, "IQ_CURR_DOMESTIC_TAXES", P$6,$F$2,,,Ccy,Conv)</f>
        <v>-183</v>
      </c>
      <c r="O112" s="221"/>
      <c r="P112" s="198"/>
      <c r="Q112" s="198"/>
      <c r="R112" s="198"/>
      <c r="S112" s="198"/>
      <c r="T112" s="223"/>
      <c r="U112" s="223"/>
      <c r="V112" s="223"/>
      <c r="W112" s="222"/>
      <c r="X112" s="215"/>
      <c r="Y112" s="215"/>
      <c r="Z112" s="215"/>
      <c r="AA112" s="215"/>
      <c r="AB112" s="215"/>
      <c r="AC112" s="198"/>
      <c r="AD112" s="198"/>
      <c r="AE112" s="198"/>
      <c r="AF112" s="215"/>
      <c r="AG112" s="198"/>
      <c r="AH112" s="198"/>
      <c r="AI112" s="198"/>
      <c r="AJ112" s="198"/>
      <c r="AK112" s="198"/>
      <c r="AL112" s="198"/>
      <c r="AM112" s="198"/>
      <c r="AN112" s="198"/>
      <c r="AO112" s="198"/>
      <c r="AP112" s="198"/>
      <c r="AQ112" s="198"/>
      <c r="AR112" s="198"/>
      <c r="AS112" s="198"/>
      <c r="AT112" s="198"/>
      <c r="AU112" s="198"/>
      <c r="AV112" s="198"/>
      <c r="AW112" s="198"/>
      <c r="AX112" s="198"/>
      <c r="AY112" s="198"/>
      <c r="AZ112" s="198"/>
      <c r="BA112" s="198"/>
      <c r="BB112" s="198"/>
      <c r="BC112" s="198"/>
      <c r="BD112" s="198"/>
      <c r="BE112" s="198"/>
      <c r="BF112" s="198"/>
      <c r="BG112" s="198"/>
      <c r="BH112" s="198"/>
      <c r="BI112" s="198"/>
      <c r="BJ112" s="198"/>
      <c r="BK112" s="198"/>
      <c r="BL112" s="198"/>
      <c r="BM112" s="198"/>
      <c r="BN112" s="198"/>
      <c r="BO112" s="198"/>
      <c r="BP112" s="198"/>
      <c r="BQ112" s="198"/>
      <c r="BR112" s="198"/>
      <c r="BS112" s="198"/>
      <c r="BT112" s="198"/>
      <c r="BU112" s="198"/>
      <c r="BV112" s="198"/>
      <c r="BW112" s="198"/>
      <c r="BX112" s="198"/>
    </row>
    <row r="113" spans="1:76" x14ac:dyDescent="0.25">
      <c r="A113" s="2" t="str">
        <f>'Language Index'!A137</f>
        <v>Current Foreign Taxes</v>
      </c>
      <c r="B113" s="18">
        <f>_xll.ciqfunctions.udf.CIQ($C$2, "IQ_CURR_FOREIGN_TAXES", D$6,$F$2,,,Ccy,Conv)</f>
        <v>2825</v>
      </c>
      <c r="C113" s="18">
        <f>_xll.ciqfunctions.udf.CIQ($C$2, "IQ_CURR_FOREIGN_TAXES", E$6,$F$2,,,Ccy,Conv)</f>
        <v>2101</v>
      </c>
      <c r="D113" s="18">
        <f>_xll.ciqfunctions.udf.CIQ($C$2, "IQ_CURR_FOREIGN_TAXES", F$6,$F$2,,,Ccy,Conv)</f>
        <v>988</v>
      </c>
      <c r="E113" s="18">
        <f>_xll.ciqfunctions.udf.CIQ($C$2, "IQ_CURR_FOREIGN_TAXES", G$6,$F$2,,,Ccy,Conv)</f>
        <v>3891</v>
      </c>
      <c r="F113" s="18">
        <f>_xll.ciqfunctions.udf.CIQ($C$2, "IQ_CURR_FOREIGN_TAXES", H$6,$F$2,,,Ccy,Conv)</f>
        <v>2135</v>
      </c>
      <c r="G113" s="18">
        <f>_xll.ciqfunctions.udf.CIQ($C$2, "IQ_CURR_FOREIGN_TAXES", I$6,$F$2,,,Ccy,Conv)</f>
        <v>1376</v>
      </c>
      <c r="H113" s="18">
        <f>_xll.ciqfunctions.udf.CIQ($C$2, "IQ_CURR_FOREIGN_TAXES", J$6,$F$2,,,Ccy,Conv)</f>
        <v>1208</v>
      </c>
      <c r="I113" s="18">
        <f>_xll.ciqfunctions.udf.CIQ($C$2, "IQ_CURR_FOREIGN_TAXES", K$6,$F$2,,,Ccy,Conv)</f>
        <v>1342</v>
      </c>
      <c r="J113" s="18">
        <f>_xll.ciqfunctions.udf.CIQ($C$2, "IQ_CURR_FOREIGN_TAXES", L$6,$F$2,,,Ccy,Conv)</f>
        <v>1676</v>
      </c>
      <c r="K113" s="18">
        <f>_xll.ciqfunctions.udf.CIQ($C$2, "IQ_CURR_FOREIGN_TAXES", M$6,$F$2,,,Ccy,Conv)</f>
        <v>1594</v>
      </c>
      <c r="L113" s="18">
        <f>_xll.ciqfunctions.udf.CIQ($C$2, "IQ_CURR_FOREIGN_TAXES", N$6,$F$2,,,Ccy,Conv)</f>
        <v>2301</v>
      </c>
      <c r="M113" s="18"/>
      <c r="N113" s="18">
        <f>_xll.ciqfunctions.udf.CIQ($C$2, "IQ_CURR_FOREIGN_TAXES", P$6,$F$2,,,Ccy,Conv)</f>
        <v>2301</v>
      </c>
      <c r="O113" s="221"/>
      <c r="P113" s="198"/>
      <c r="Q113" s="198"/>
      <c r="R113" s="198"/>
      <c r="S113" s="198"/>
      <c r="T113" s="223"/>
      <c r="U113" s="223"/>
      <c r="V113" s="223"/>
      <c r="W113" s="222"/>
      <c r="X113" s="215"/>
      <c r="Y113" s="215"/>
      <c r="Z113" s="215"/>
      <c r="AA113" s="215"/>
      <c r="AB113" s="215"/>
      <c r="AC113" s="198"/>
      <c r="AD113" s="198"/>
      <c r="AE113" s="198"/>
      <c r="AF113" s="215"/>
      <c r="AG113" s="198"/>
      <c r="AH113" s="198"/>
      <c r="AI113" s="198"/>
      <c r="AJ113" s="198"/>
      <c r="AK113" s="198"/>
      <c r="AL113" s="198"/>
      <c r="AM113" s="198"/>
      <c r="AN113" s="198"/>
      <c r="AO113" s="198"/>
      <c r="AP113" s="198"/>
      <c r="AQ113" s="198"/>
      <c r="AR113" s="198"/>
      <c r="AS113" s="198"/>
      <c r="AT113" s="198"/>
      <c r="AU113" s="198"/>
      <c r="AV113" s="198"/>
      <c r="AW113" s="198"/>
      <c r="AX113" s="198"/>
      <c r="AY113" s="198"/>
      <c r="AZ113" s="198"/>
      <c r="BA113" s="198"/>
      <c r="BB113" s="198"/>
      <c r="BC113" s="198"/>
      <c r="BD113" s="198"/>
      <c r="BE113" s="198"/>
      <c r="BF113" s="198"/>
      <c r="BG113" s="198"/>
      <c r="BH113" s="198"/>
      <c r="BI113" s="198"/>
      <c r="BJ113" s="198"/>
      <c r="BK113" s="198"/>
      <c r="BL113" s="198"/>
      <c r="BM113" s="198"/>
      <c r="BN113" s="198"/>
      <c r="BO113" s="198"/>
      <c r="BP113" s="198"/>
      <c r="BQ113" s="198"/>
      <c r="BR113" s="198"/>
      <c r="BS113" s="198"/>
      <c r="BT113" s="198"/>
      <c r="BU113" s="198"/>
      <c r="BV113" s="198"/>
      <c r="BW113" s="198"/>
      <c r="BX113" s="198"/>
    </row>
    <row r="114" spans="1:76" x14ac:dyDescent="0.25">
      <c r="A114" s="2" t="str">
        <f>'Language Index'!A138</f>
        <v>Total Current Taxes</v>
      </c>
      <c r="B114" s="18">
        <f>_xll.ciqfunctions.udf.CIQ($C$2, "IQ_CURR_TAXES", D$6,$F$2,,,Ccy,Conv)</f>
        <v>4500</v>
      </c>
      <c r="C114" s="18">
        <f>_xll.ciqfunctions.udf.CIQ($C$2, "IQ_CURR_TAXES", E$6,$F$2,,,Ccy,Conv)</f>
        <v>1908</v>
      </c>
      <c r="D114" s="18">
        <f>_xll.ciqfunctions.udf.CIQ($C$2, "IQ_CURR_TAXES", F$6,$F$2,,,Ccy,Conv)</f>
        <v>1418</v>
      </c>
      <c r="E114" s="18">
        <f>_xll.ciqfunctions.udf.CIQ($C$2, "IQ_CURR_TAXES", G$6,$F$2,,,Ccy,Conv)</f>
        <v>6334</v>
      </c>
      <c r="F114" s="18">
        <f>_xll.ciqfunctions.udf.CIQ($C$2, "IQ_CURR_TAXES", H$6,$F$2,,,Ccy,Conv)</f>
        <v>1920</v>
      </c>
      <c r="G114" s="18">
        <f>_xll.ciqfunctions.udf.CIQ($C$2, "IQ_CURR_TAXES", I$6,$F$2,,,Ccy,Conv)</f>
        <v>1648</v>
      </c>
      <c r="H114" s="18">
        <f>_xll.ciqfunctions.udf.CIQ($C$2, "IQ_CURR_TAXES", J$6,$F$2,,,Ccy,Conv)</f>
        <v>1865</v>
      </c>
      <c r="I114" s="18">
        <f>_xll.ciqfunctions.udf.CIQ($C$2, "IQ_CURR_TAXES", K$6,$F$2,,,Ccy,Conv)</f>
        <v>1877</v>
      </c>
      <c r="J114" s="18">
        <f>_xll.ciqfunctions.udf.CIQ($C$2, "IQ_CURR_TAXES", L$6,$F$2,,,Ccy,Conv)</f>
        <v>2251</v>
      </c>
      <c r="K114" s="18">
        <f>_xll.ciqfunctions.udf.CIQ($C$2, "IQ_CURR_TAXES", M$6,$F$2,,,Ccy,Conv)</f>
        <v>2281</v>
      </c>
      <c r="L114" s="18">
        <f>_xll.ciqfunctions.udf.CIQ($C$2, "IQ_CURR_TAXES", N$6,$F$2,,,Ccy,Conv)</f>
        <v>2118</v>
      </c>
      <c r="M114" s="18"/>
      <c r="N114" s="18">
        <f>_xll.ciqfunctions.udf.CIQ($C$2, "IQ_CURR_TAXES", P$6,$F$2,,,Ccy,Conv)</f>
        <v>2118</v>
      </c>
      <c r="O114" s="221"/>
      <c r="P114" s="198"/>
      <c r="Q114" s="198"/>
      <c r="R114" s="198"/>
      <c r="S114" s="198"/>
      <c r="T114" s="223"/>
      <c r="U114" s="223"/>
      <c r="V114" s="223"/>
      <c r="W114" s="222"/>
      <c r="X114" s="215"/>
      <c r="Y114" s="215"/>
      <c r="Z114" s="215"/>
      <c r="AA114" s="215"/>
      <c r="AB114" s="215"/>
      <c r="AC114" s="198"/>
      <c r="AD114" s="198"/>
      <c r="AE114" s="198"/>
      <c r="AF114" s="215"/>
      <c r="AG114" s="198"/>
      <c r="AH114" s="198"/>
      <c r="AI114" s="198"/>
      <c r="AJ114" s="198"/>
      <c r="AK114" s="198"/>
      <c r="AL114" s="198"/>
      <c r="AM114" s="198"/>
      <c r="AN114" s="198"/>
      <c r="AO114" s="198"/>
      <c r="AP114" s="198"/>
      <c r="AQ114" s="198"/>
      <c r="AR114" s="198"/>
      <c r="AS114" s="198"/>
      <c r="AT114" s="198"/>
      <c r="AU114" s="198"/>
      <c r="AV114" s="198"/>
      <c r="AW114" s="198"/>
      <c r="AX114" s="198"/>
      <c r="AY114" s="198"/>
      <c r="AZ114" s="198"/>
      <c r="BA114" s="198"/>
      <c r="BB114" s="198"/>
      <c r="BC114" s="198"/>
      <c r="BD114" s="198"/>
      <c r="BE114" s="198"/>
      <c r="BF114" s="198"/>
      <c r="BG114" s="198"/>
      <c r="BH114" s="198"/>
      <c r="BI114" s="198"/>
      <c r="BJ114" s="198"/>
      <c r="BK114" s="198"/>
      <c r="BL114" s="198"/>
      <c r="BM114" s="198"/>
      <c r="BN114" s="198"/>
      <c r="BO114" s="198"/>
      <c r="BP114" s="198"/>
      <c r="BQ114" s="198"/>
      <c r="BR114" s="198"/>
      <c r="BS114" s="198"/>
      <c r="BT114" s="198"/>
      <c r="BU114" s="198"/>
      <c r="BV114" s="198"/>
      <c r="BW114" s="198"/>
      <c r="BX114" s="198"/>
    </row>
    <row r="115" spans="1:76" x14ac:dyDescent="0.25">
      <c r="A115" s="2" t="str">
        <f>'Language Index'!A139</f>
        <v>Deferred Domestic Taxes</v>
      </c>
      <c r="B115" s="18">
        <f>_xll.ciqfunctions.udf.CIQ($C$2, "IQ_DEFERRED_DOMESTIC_TAXES", D$6,$F$2,,,Ccy,Conv)</f>
        <v>0</v>
      </c>
      <c r="C115" s="18">
        <f>_xll.ciqfunctions.udf.CIQ($C$2, "IQ_DEFERRED_DOMESTIC_TAXES", E$6,$F$2,,,Ccy,Conv)</f>
        <v>669</v>
      </c>
      <c r="D115" s="18">
        <f>_xll.ciqfunctions.udf.CIQ($C$2, "IQ_DEFERRED_DOMESTIC_TAXES", F$6,$F$2,,,Ccy,Conv)</f>
        <v>-790</v>
      </c>
      <c r="E115" s="18">
        <f>_xll.ciqfunctions.udf.CIQ($C$2, "IQ_DEFERRED_DOMESTIC_TAXES", G$6,$F$2,,,Ccy,Conv)</f>
        <v>105</v>
      </c>
      <c r="F115" s="18">
        <f>_xll.ciqfunctions.udf.CIQ($C$2, "IQ_DEFERRED_DOMESTIC_TAXES", H$6,$F$2,,,Ccy,Conv)</f>
        <v>1085</v>
      </c>
      <c r="G115" s="18">
        <f>_xll.ciqfunctions.udf.CIQ($C$2, "IQ_DEFERRED_DOMESTIC_TAXES", I$6,$F$2,,,Ccy,Conv)</f>
        <v>-958</v>
      </c>
      <c r="H115" s="18">
        <f>_xll.ciqfunctions.udf.CIQ($C$2, "IQ_DEFERRED_DOMESTIC_TAXES", J$6,$F$2,,,Ccy,Conv)</f>
        <v>744</v>
      </c>
      <c r="I115" s="18">
        <f>_xll.ciqfunctions.udf.CIQ($C$2, "IQ_DEFERRED_DOMESTIC_TAXES", K$6,$F$2,,,Ccy,Conv)</f>
        <v>-1728</v>
      </c>
      <c r="J115" s="18">
        <f>_xll.ciqfunctions.udf.CIQ($C$2, "IQ_DEFERRED_DOMESTIC_TAXES", L$6,$F$2,,,Ccy,Conv)</f>
        <v>-3131</v>
      </c>
      <c r="K115" s="18">
        <f>_xll.ciqfunctions.udf.CIQ($C$2, "IQ_DEFERRED_DOMESTIC_TAXES", M$6,$F$2,,,Ccy,Conv)</f>
        <v>-1533</v>
      </c>
      <c r="L115" s="18">
        <f>_xll.ciqfunctions.udf.CIQ($C$2, "IQ_DEFERRED_DOMESTIC_TAXES", N$6,$F$2,,,Ccy,Conv)</f>
        <v>-2539</v>
      </c>
      <c r="M115" s="18"/>
      <c r="N115" s="18">
        <f>_xll.ciqfunctions.udf.CIQ($C$2, "IQ_DEFERRED_DOMESTIC_TAXES", P$6,$F$2,,,Ccy,Conv)</f>
        <v>-2539</v>
      </c>
      <c r="O115" s="221"/>
      <c r="P115" s="198"/>
      <c r="Q115" s="198"/>
      <c r="R115" s="198"/>
      <c r="S115" s="198"/>
      <c r="T115" s="223"/>
      <c r="U115" s="223"/>
      <c r="V115" s="223"/>
      <c r="W115" s="222"/>
      <c r="X115" s="215"/>
      <c r="Y115" s="215"/>
      <c r="Z115" s="215"/>
      <c r="AA115" s="215"/>
      <c r="AB115" s="215"/>
      <c r="AC115" s="198"/>
      <c r="AD115" s="198"/>
      <c r="AE115" s="198"/>
      <c r="AF115" s="215"/>
      <c r="AG115" s="198"/>
      <c r="AH115" s="198"/>
      <c r="AI115" s="198"/>
      <c r="AJ115" s="198"/>
      <c r="AK115" s="198"/>
      <c r="AL115" s="198"/>
      <c r="AM115" s="198"/>
      <c r="AN115" s="198"/>
      <c r="AO115" s="198"/>
      <c r="AP115" s="198"/>
      <c r="AQ115" s="198"/>
      <c r="AR115" s="198"/>
      <c r="AS115" s="198"/>
      <c r="AT115" s="198"/>
      <c r="AU115" s="198"/>
      <c r="AV115" s="198"/>
      <c r="AW115" s="198"/>
      <c r="AX115" s="198"/>
      <c r="AY115" s="198"/>
      <c r="AZ115" s="198"/>
      <c r="BA115" s="198"/>
      <c r="BB115" s="198"/>
      <c r="BC115" s="198"/>
      <c r="BD115" s="198"/>
      <c r="BE115" s="198"/>
      <c r="BF115" s="198"/>
      <c r="BG115" s="198"/>
      <c r="BH115" s="198"/>
      <c r="BI115" s="198"/>
      <c r="BJ115" s="198"/>
      <c r="BK115" s="198"/>
      <c r="BL115" s="198"/>
      <c r="BM115" s="198"/>
      <c r="BN115" s="198"/>
      <c r="BO115" s="198"/>
      <c r="BP115" s="198"/>
      <c r="BQ115" s="198"/>
      <c r="BR115" s="198"/>
      <c r="BS115" s="198"/>
      <c r="BT115" s="198"/>
      <c r="BU115" s="198"/>
      <c r="BV115" s="198"/>
      <c r="BW115" s="198"/>
      <c r="BX115" s="198"/>
    </row>
    <row r="116" spans="1:76" x14ac:dyDescent="0.25">
      <c r="A116" s="2" t="str">
        <f>'Language Index'!A140</f>
        <v>Deferred Foreign Taxes</v>
      </c>
      <c r="B116" s="18">
        <f>_xll.ciqfunctions.udf.CIQ($C$2, "IQ_DEFERRED_FOREIGN_TAXES", D$6,$F$2,,,Ccy,Conv)</f>
        <v>-266</v>
      </c>
      <c r="C116" s="18">
        <f>_xll.ciqfunctions.udf.CIQ($C$2, "IQ_DEFERRED_FOREIGN_TAXES", E$6,$F$2,,,Ccy,Conv)</f>
        <v>4</v>
      </c>
      <c r="D116" s="18">
        <f>_xll.ciqfunctions.udf.CIQ($C$2, "IQ_DEFERRED_FOREIGN_TAXES", F$6,$F$2,,,Ccy,Conv)</f>
        <v>-179</v>
      </c>
      <c r="E116" s="18">
        <f>_xll.ciqfunctions.udf.CIQ($C$2, "IQ_DEFERRED_FOREIGN_TAXES", G$6,$F$2,,,Ccy,Conv)</f>
        <v>-797</v>
      </c>
      <c r="F116" s="18">
        <f>_xll.ciqfunctions.udf.CIQ($C$2, "IQ_DEFERRED_FOREIGN_TAXES", H$6,$F$2,,,Ccy,Conv)</f>
        <v>-386</v>
      </c>
      <c r="G116" s="18">
        <f>_xll.ciqfunctions.udf.CIQ($C$2, "IQ_DEFERRED_FOREIGN_TAXES", I$6,$F$2,,,Ccy,Conv)</f>
        <v>-630</v>
      </c>
      <c r="H116" s="18">
        <f>_xll.ciqfunctions.udf.CIQ($C$2, "IQ_DEFERRED_FOREIGN_TAXES", J$6,$F$2,,,Ccy,Conv)</f>
        <v>-3969</v>
      </c>
      <c r="I116" s="18">
        <f>_xll.ciqfunctions.udf.CIQ($C$2, "IQ_DEFERRED_FOREIGN_TAXES", K$6,$F$2,,,Ccy,Conv)</f>
        <v>-25</v>
      </c>
      <c r="J116" s="18">
        <f>_xll.ciqfunctions.udf.CIQ($C$2, "IQ_DEFERRED_FOREIGN_TAXES", L$6,$F$2,,,Ccy,Conv)</f>
        <v>252</v>
      </c>
      <c r="K116" s="18">
        <f>_xll.ciqfunctions.udf.CIQ($C$2, "IQ_DEFERRED_FOREIGN_TAXES", M$6,$F$2,,,Ccy,Conv)</f>
        <v>428</v>
      </c>
      <c r="L116" s="18">
        <f>_xll.ciqfunctions.udf.CIQ($C$2, "IQ_DEFERRED_FOREIGN_TAXES", N$6,$F$2,,,Ccy,Conv)</f>
        <v>203</v>
      </c>
      <c r="M116" s="18"/>
      <c r="N116" s="18">
        <f>_xll.ciqfunctions.udf.CIQ($C$2, "IQ_DEFERRED_FOREIGN_TAXES", P$6,$F$2,,,Ccy,Conv)</f>
        <v>203</v>
      </c>
      <c r="O116" s="221"/>
      <c r="P116" s="198"/>
      <c r="Q116" s="198"/>
      <c r="R116" s="198"/>
      <c r="S116" s="198"/>
      <c r="T116" s="223"/>
      <c r="U116" s="223"/>
      <c r="V116" s="223"/>
      <c r="W116" s="222"/>
      <c r="X116" s="215"/>
      <c r="Y116" s="215"/>
      <c r="Z116" s="215"/>
      <c r="AA116" s="215"/>
      <c r="AB116" s="215"/>
      <c r="AC116" s="198"/>
      <c r="AD116" s="198"/>
      <c r="AE116" s="198"/>
      <c r="AF116" s="215"/>
      <c r="AG116" s="198"/>
      <c r="AH116" s="198"/>
      <c r="AI116" s="198"/>
      <c r="AJ116" s="198"/>
      <c r="AK116" s="198"/>
      <c r="AL116" s="198"/>
      <c r="AM116" s="198"/>
      <c r="AN116" s="198"/>
      <c r="AO116" s="198"/>
      <c r="AP116" s="198"/>
      <c r="AQ116" s="198"/>
      <c r="AR116" s="198"/>
      <c r="AS116" s="198"/>
      <c r="AT116" s="198"/>
      <c r="AU116" s="198"/>
      <c r="AV116" s="198"/>
      <c r="AW116" s="198"/>
      <c r="AX116" s="198"/>
      <c r="AY116" s="198"/>
      <c r="AZ116" s="198"/>
      <c r="BA116" s="198"/>
      <c r="BB116" s="198"/>
      <c r="BC116" s="198"/>
      <c r="BD116" s="198"/>
      <c r="BE116" s="198"/>
      <c r="BF116" s="198"/>
      <c r="BG116" s="198"/>
      <c r="BH116" s="198"/>
      <c r="BI116" s="198"/>
      <c r="BJ116" s="198"/>
      <c r="BK116" s="198"/>
      <c r="BL116" s="198"/>
      <c r="BM116" s="198"/>
      <c r="BN116" s="198"/>
      <c r="BO116" s="198"/>
      <c r="BP116" s="198"/>
      <c r="BQ116" s="198"/>
      <c r="BR116" s="198"/>
      <c r="BS116" s="198"/>
      <c r="BT116" s="198"/>
      <c r="BU116" s="198"/>
      <c r="BV116" s="198"/>
      <c r="BW116" s="198"/>
      <c r="BX116" s="198"/>
    </row>
    <row r="117" spans="1:76" x14ac:dyDescent="0.25">
      <c r="A117" s="2" t="str">
        <f>'Language Index'!A141</f>
        <v>Total Deferred Taxes</v>
      </c>
      <c r="B117" s="18">
        <f>_xll.ciqfunctions.udf.CIQ($C$2, "IQ_DEFERRED_TAXES_TOTAL", D$6,$F$2,,,Ccy,Conv)</f>
        <v>-266</v>
      </c>
      <c r="C117" s="18">
        <f>_xll.ciqfunctions.udf.CIQ($C$2, "IQ_DEFERRED_TAXES_TOTAL", E$6,$F$2,,,Ccy,Conv)</f>
        <v>673</v>
      </c>
      <c r="D117" s="18">
        <f>_xll.ciqfunctions.udf.CIQ($C$2, "IQ_DEFERRED_TAXES_TOTAL", F$6,$F$2,,,Ccy,Conv)</f>
        <v>-969</v>
      </c>
      <c r="E117" s="18">
        <f>_xll.ciqfunctions.udf.CIQ($C$2, "IQ_DEFERRED_TAXES_TOTAL", G$6,$F$2,,,Ccy,Conv)</f>
        <v>-692</v>
      </c>
      <c r="F117" s="18">
        <f>_xll.ciqfunctions.udf.CIQ($C$2, "IQ_DEFERRED_TAXES_TOTAL", H$6,$F$2,,,Ccy,Conv)</f>
        <v>699</v>
      </c>
      <c r="G117" s="18">
        <f>_xll.ciqfunctions.udf.CIQ($C$2, "IQ_DEFERRED_TAXES_TOTAL", I$6,$F$2,,,Ccy,Conv)</f>
        <v>-1588</v>
      </c>
      <c r="H117" s="18">
        <f>_xll.ciqfunctions.udf.CIQ($C$2, "IQ_DEFERRED_TAXES_TOTAL", J$6,$F$2,,,Ccy,Conv)</f>
        <v>-3225</v>
      </c>
      <c r="I117" s="18">
        <f>_xll.ciqfunctions.udf.CIQ($C$2, "IQ_DEFERRED_TAXES_TOTAL", K$6,$F$2,,,Ccy,Conv)</f>
        <v>-1753</v>
      </c>
      <c r="J117" s="18">
        <f>_xll.ciqfunctions.udf.CIQ($C$2, "IQ_DEFERRED_TAXES_TOTAL", L$6,$F$2,,,Ccy,Conv)</f>
        <v>-2879</v>
      </c>
      <c r="K117" s="18">
        <f>_xll.ciqfunctions.udf.CIQ($C$2, "IQ_DEFERRED_TAXES_TOTAL", M$6,$F$2,,,Ccy,Conv)</f>
        <v>-1105</v>
      </c>
      <c r="L117" s="18">
        <f>_xll.ciqfunctions.udf.CIQ($C$2, "IQ_DEFERRED_TAXES_TOTAL", N$6,$F$2,,,Ccy,Conv)</f>
        <v>-2336</v>
      </c>
      <c r="M117" s="18"/>
      <c r="N117" s="18">
        <f>_xll.ciqfunctions.udf.CIQ($C$2, "IQ_DEFERRED_TAXES_TOTAL", P$6,$F$2,,,Ccy,Conv)</f>
        <v>-2336</v>
      </c>
      <c r="O117" s="221"/>
      <c r="P117" s="198"/>
      <c r="Q117" s="198"/>
      <c r="R117" s="198"/>
      <c r="S117" s="198"/>
      <c r="T117" s="223"/>
      <c r="U117" s="223"/>
      <c r="V117" s="223"/>
      <c r="W117" s="222"/>
      <c r="X117" s="215"/>
      <c r="Y117" s="215"/>
      <c r="Z117" s="215"/>
      <c r="AA117" s="215"/>
      <c r="AB117" s="215"/>
      <c r="AC117" s="198"/>
      <c r="AD117" s="198"/>
      <c r="AE117" s="198"/>
      <c r="AF117" s="215"/>
      <c r="AG117" s="198"/>
      <c r="AH117" s="198"/>
      <c r="AI117" s="198"/>
      <c r="AJ117" s="198"/>
      <c r="AK117" s="198"/>
      <c r="AL117" s="198"/>
      <c r="AM117" s="198"/>
      <c r="AN117" s="198"/>
      <c r="AO117" s="198"/>
      <c r="AP117" s="198"/>
      <c r="AQ117" s="198"/>
      <c r="AR117" s="198"/>
      <c r="AS117" s="198"/>
      <c r="AT117" s="198"/>
      <c r="AU117" s="198"/>
      <c r="AV117" s="198"/>
      <c r="AW117" s="198"/>
      <c r="AX117" s="198"/>
      <c r="AY117" s="198"/>
      <c r="AZ117" s="198"/>
      <c r="BA117" s="198"/>
      <c r="BB117" s="198"/>
      <c r="BC117" s="198"/>
      <c r="BD117" s="198"/>
      <c r="BE117" s="198"/>
      <c r="BF117" s="198"/>
      <c r="BG117" s="198"/>
      <c r="BH117" s="198"/>
      <c r="BI117" s="198"/>
      <c r="BJ117" s="198"/>
      <c r="BK117" s="198"/>
      <c r="BL117" s="198"/>
      <c r="BM117" s="198"/>
      <c r="BN117" s="198"/>
      <c r="BO117" s="198"/>
      <c r="BP117" s="198"/>
      <c r="BQ117" s="198"/>
      <c r="BR117" s="198"/>
      <c r="BS117" s="198"/>
      <c r="BT117" s="198"/>
      <c r="BU117" s="198"/>
      <c r="BV117" s="198"/>
      <c r="BW117" s="198"/>
      <c r="BX117" s="198"/>
    </row>
    <row r="118" spans="1:76" x14ac:dyDescent="0.25">
      <c r="A118" s="2" t="str">
        <f>'Language Index'!A142</f>
        <v>Non-Recurring Income Taxes</v>
      </c>
      <c r="B118" s="18">
        <f>_xll.ciqfunctions.udf.CIQ($C$2, "IQ_NONRECURRING_INCOME_TAXES", D$6,$F$2,,,Ccy,Conv)</f>
        <v>0</v>
      </c>
      <c r="C118" s="18">
        <f>_xll.ciqfunctions.udf.CIQ($C$2, "IQ_NONRECURRING_INCOME_TAXES", E$6,$F$2,,,Ccy,Conv)</f>
        <v>0</v>
      </c>
      <c r="D118" s="18">
        <f>_xll.ciqfunctions.udf.CIQ($C$2, "IQ_NONRECURRING_INCOME_TAXES", F$6,$F$2,,,Ccy,Conv)</f>
        <v>0</v>
      </c>
      <c r="E118" s="18">
        <f>_xll.ciqfunctions.udf.CIQ($C$2, "IQ_NONRECURRING_INCOME_TAXES", G$6,$F$2,,,Ccy,Conv)</f>
        <v>5475</v>
      </c>
      <c r="F118" s="18">
        <f>_xll.ciqfunctions.udf.CIQ($C$2, "IQ_NONRECURRING_INCOME_TAXES", H$6,$F$2,,,Ccy,Conv)</f>
        <v>0</v>
      </c>
      <c r="G118" s="18">
        <f>_xll.ciqfunctions.udf.CIQ($C$2, "IQ_NONRECURRING_INCOME_TAXES", I$6,$F$2,,,Ccy,Conv)</f>
        <v>146</v>
      </c>
      <c r="H118" s="18">
        <f>_xll.ciqfunctions.udf.CIQ($C$2, "IQ_NONRECURRING_INCOME_TAXES", J$6,$F$2,,,Ccy,Conv)</f>
        <v>0</v>
      </c>
      <c r="I118" s="18">
        <f>_xll.ciqfunctions.udf.CIQ($C$2, "IQ_NONRECURRING_INCOME_TAXES", K$6,$F$2,,,Ccy,Conv)</f>
        <v>0</v>
      </c>
      <c r="J118" s="18">
        <f>_xll.ciqfunctions.udf.CIQ($C$2, "IQ_NONRECURRING_INCOME_TAXES", L$6,$F$2,,,Ccy,Conv)</f>
        <v>0</v>
      </c>
      <c r="K118" s="18">
        <f>_xll.ciqfunctions.udf.CIQ($C$2, "IQ_NONRECURRING_INCOME_TAXES", M$6,$F$2,,,Ccy,Conv)</f>
        <v>95</v>
      </c>
      <c r="L118" s="18">
        <f>_xll.ciqfunctions.udf.CIQ($C$2, "IQ_NONRECURRING_INCOME_TAXES", N$6,$F$2,,,Ccy,Conv)</f>
        <v>-455</v>
      </c>
      <c r="M118" s="18"/>
      <c r="N118" s="18">
        <f>_xll.ciqfunctions.udf.CIQ($C$2, "IQ_NONRECURRING_INCOME_TAXES", P$6,$F$2,,,Ccy,Conv)</f>
        <v>-455</v>
      </c>
      <c r="O118" s="221"/>
      <c r="P118" s="198"/>
      <c r="Q118" s="198"/>
      <c r="R118" s="198"/>
      <c r="S118" s="198"/>
      <c r="T118" s="223"/>
      <c r="U118" s="223"/>
      <c r="V118" s="223"/>
      <c r="W118" s="222"/>
      <c r="X118" s="215"/>
      <c r="Y118" s="215"/>
      <c r="Z118" s="215"/>
      <c r="AA118" s="215"/>
      <c r="AB118" s="215"/>
      <c r="AC118" s="198"/>
      <c r="AD118" s="198"/>
      <c r="AE118" s="198"/>
      <c r="AF118" s="215"/>
      <c r="AG118" s="198"/>
      <c r="AH118" s="198"/>
      <c r="AI118" s="198"/>
      <c r="AJ118" s="198"/>
      <c r="AK118" s="198"/>
      <c r="AL118" s="198"/>
      <c r="AM118" s="198"/>
      <c r="AN118" s="198"/>
      <c r="AO118" s="198"/>
      <c r="AP118" s="198"/>
      <c r="AQ118" s="198"/>
      <c r="AR118" s="198"/>
      <c r="AS118" s="198"/>
      <c r="AT118" s="198"/>
      <c r="AU118" s="198"/>
      <c r="AV118" s="198"/>
      <c r="AW118" s="198"/>
      <c r="AX118" s="198"/>
      <c r="AY118" s="198"/>
      <c r="AZ118" s="198"/>
      <c r="BA118" s="198"/>
      <c r="BB118" s="198"/>
      <c r="BC118" s="198"/>
      <c r="BD118" s="198"/>
      <c r="BE118" s="198"/>
      <c r="BF118" s="198"/>
      <c r="BG118" s="198"/>
      <c r="BH118" s="198"/>
      <c r="BI118" s="198"/>
      <c r="BJ118" s="198"/>
      <c r="BK118" s="198"/>
      <c r="BL118" s="198"/>
      <c r="BM118" s="198"/>
      <c r="BN118" s="198"/>
      <c r="BO118" s="198"/>
      <c r="BP118" s="198"/>
      <c r="BQ118" s="198"/>
      <c r="BR118" s="198"/>
      <c r="BS118" s="198"/>
      <c r="BT118" s="198"/>
      <c r="BU118" s="198"/>
      <c r="BV118" s="198"/>
      <c r="BW118" s="198"/>
      <c r="BX118" s="198"/>
    </row>
    <row r="119" spans="1:76" x14ac:dyDescent="0.25">
      <c r="A119" s="2" t="str">
        <f>'Language Index'!A143</f>
        <v>Normalized Net Income</v>
      </c>
      <c r="B119" s="18">
        <f>_xll.ciqfunctions.udf.CIQ($C$2, "IQ_NI_NORM", D$6,$F$2,,,Ccy,Conv)</f>
        <v>13338.75</v>
      </c>
      <c r="C119" s="18">
        <f>_xll.ciqfunctions.udf.CIQ($C$2, "IQ_NI_NORM", E$6,$F$2,,,Ccy,Conv)</f>
        <v>10511.875</v>
      </c>
      <c r="D119" s="18">
        <f>_xll.ciqfunctions.udf.CIQ($C$2, "IQ_NI_NORM", F$6,$F$2,,,Ccy,Conv)</f>
        <v>8390.625</v>
      </c>
      <c r="E119" s="18">
        <f>_xll.ciqfunctions.udf.CIQ($C$2, "IQ_NI_NORM", G$6,$F$2,,,Ccy,Conv)</f>
        <v>7125</v>
      </c>
      <c r="F119" s="18">
        <f>_xll.ciqfunctions.udf.CIQ($C$2, "IQ_NI_NORM", H$6,$F$2,,,Ccy,Conv)</f>
        <v>7088.75</v>
      </c>
      <c r="G119" s="18">
        <f>_xll.ciqfunctions.udf.CIQ($C$2, "IQ_NI_NORM", I$6,$F$2,,,Ccy,Conv)</f>
        <v>4027.5</v>
      </c>
      <c r="H119" s="18">
        <f>_xll.ciqfunctions.udf.CIQ($C$2, "IQ_NI_NORM", J$6,$F$2,,,Ccy,Conv)</f>
        <v>1607.5</v>
      </c>
      <c r="I119" s="18">
        <f>_xll.ciqfunctions.udf.CIQ($C$2, "IQ_NI_NORM", K$6,$F$2,,,Ccy,Conv)</f>
        <v>2940</v>
      </c>
      <c r="J119" s="18">
        <f>_xll.ciqfunctions.udf.CIQ($C$2, "IQ_NI_NORM", L$6,$F$2,,,Ccy,Conv)</f>
        <v>4580</v>
      </c>
      <c r="K119" s="18">
        <f>_xll.ciqfunctions.udf.CIQ($C$2, "IQ_NI_NORM", M$6,$F$2,,,Ccy,Conv)</f>
        <v>5701.25</v>
      </c>
      <c r="L119" s="18">
        <f>_xll.ciqfunctions.udf.CIQ($C$2, "IQ_NI_NORM", N$6,$F$2,,,Ccy,Conv)</f>
        <v>6068.125</v>
      </c>
      <c r="M119" s="18"/>
      <c r="N119" s="18">
        <f>_xll.ciqfunctions.udf.CIQ($C$2, "IQ_NI_NORM", P$6,$F$2,,,Ccy,Conv)</f>
        <v>6068.125</v>
      </c>
      <c r="O119" s="221"/>
      <c r="P119" s="198"/>
      <c r="Q119" s="198"/>
      <c r="R119" s="198"/>
      <c r="S119" s="198"/>
      <c r="T119" s="223"/>
      <c r="U119" s="223"/>
      <c r="V119" s="223"/>
      <c r="W119" s="222"/>
      <c r="X119" s="215"/>
      <c r="Y119" s="215"/>
      <c r="Z119" s="215"/>
      <c r="AA119" s="215"/>
      <c r="AB119" s="215"/>
      <c r="AC119" s="198"/>
      <c r="AD119" s="198"/>
      <c r="AE119" s="198"/>
      <c r="AF119" s="215"/>
      <c r="AG119" s="198"/>
      <c r="AH119" s="198"/>
      <c r="AI119" s="198"/>
      <c r="AJ119" s="198"/>
      <c r="AK119" s="198"/>
      <c r="AL119" s="198"/>
      <c r="AM119" s="198"/>
      <c r="AN119" s="198"/>
      <c r="AO119" s="198"/>
      <c r="AP119" s="198"/>
      <c r="AQ119" s="198"/>
      <c r="AR119" s="198"/>
      <c r="AS119" s="198"/>
      <c r="AT119" s="198"/>
      <c r="AU119" s="198"/>
      <c r="AV119" s="198"/>
      <c r="AW119" s="198"/>
      <c r="AX119" s="198"/>
      <c r="AY119" s="198"/>
      <c r="AZ119" s="198"/>
      <c r="BA119" s="198"/>
      <c r="BB119" s="198"/>
      <c r="BC119" s="198"/>
      <c r="BD119" s="198"/>
      <c r="BE119" s="198"/>
      <c r="BF119" s="198"/>
      <c r="BG119" s="198"/>
      <c r="BH119" s="198"/>
      <c r="BI119" s="198"/>
      <c r="BJ119" s="198"/>
      <c r="BK119" s="198"/>
      <c r="BL119" s="198"/>
      <c r="BM119" s="198"/>
      <c r="BN119" s="198"/>
      <c r="BO119" s="198"/>
      <c r="BP119" s="198"/>
      <c r="BQ119" s="198"/>
      <c r="BR119" s="198"/>
      <c r="BS119" s="198"/>
      <c r="BT119" s="198"/>
      <c r="BU119" s="198"/>
      <c r="BV119" s="198"/>
      <c r="BW119" s="198"/>
      <c r="BX119" s="198"/>
    </row>
    <row r="120" spans="1:76" x14ac:dyDescent="0.25">
      <c r="A120" s="2" t="str">
        <f>'Language Index'!A144</f>
        <v>Diluted Net Income</v>
      </c>
      <c r="B120" s="18">
        <f>_xll.ciqfunctions.udf.CIQ($C$2, "IQ_DILUT_NI", D$6,$F$2,,,Ccy,Conv)</f>
        <v>15749</v>
      </c>
      <c r="C120" s="18">
        <f>_xll.ciqfunctions.udf.CIQ($C$2, "IQ_DILUT_NI", E$6,$F$2,,,Ccy,Conv)</f>
        <v>13363</v>
      </c>
      <c r="D120" s="18">
        <f>_xll.ciqfunctions.udf.CIQ($C$2, "IQ_DILUT_NI", F$6,$F$2,,,Ccy,Conv)</f>
        <v>11878.46766</v>
      </c>
      <c r="E120" s="18">
        <f>_xll.ciqfunctions.udf.CIQ($C$2, "IQ_DILUT_NI", G$6,$F$2,,,Ccy,Conv)</f>
        <v>5756</v>
      </c>
      <c r="F120" s="18">
        <f>_xll.ciqfunctions.udf.CIQ($C$2, "IQ_DILUT_NI", H$6,$F$2,,,Ccy,Conv)</f>
        <v>8718</v>
      </c>
      <c r="G120" s="18">
        <f>_xll.ciqfunctions.udf.CIQ($C$2, "IQ_DILUT_NI", I$6,$F$2,,,Ccy,Conv)</f>
        <v>7142.5070100000003</v>
      </c>
      <c r="H120" s="18">
        <f>_xll.ciqfunctions.udf.CIQ($C$2, "IQ_DILUT_NI", J$6,$F$2,,,Ccy,Conv)</f>
        <v>3930</v>
      </c>
      <c r="I120" s="18">
        <f>_xll.ciqfunctions.udf.CIQ($C$2, "IQ_DILUT_NI", K$6,$F$2,,,Ccy,Conv)</f>
        <v>4713.1796199999999</v>
      </c>
      <c r="J120" s="18">
        <f>_xll.ciqfunctions.udf.CIQ($C$2, "IQ_DILUT_NI", L$6,$F$2,,,Ccy,Conv)</f>
        <v>1778.9246700000001</v>
      </c>
      <c r="K120" s="18">
        <f>_xll.ciqfunctions.udf.CIQ($C$2, "IQ_DILUT_NI", M$6,$F$2,,,Ccy,Conv)</f>
        <v>7514.9017000000003</v>
      </c>
      <c r="L120" s="18">
        <f>_xll.ciqfunctions.udf.CIQ($C$2, "IQ_DILUT_NI", N$6,$F$2,,,Ccy,Conv)</f>
        <v>6016.5750600000001</v>
      </c>
      <c r="M120" s="18"/>
      <c r="N120" s="18">
        <f>_xll.ciqfunctions.udf.CIQ($C$2, "IQ_DILUT_NI", P$6,$F$2,,,Ccy,Conv)</f>
        <v>6016.5750600000001</v>
      </c>
      <c r="O120" s="221"/>
      <c r="P120" s="198"/>
      <c r="Q120" s="198"/>
      <c r="R120" s="198"/>
      <c r="S120" s="198"/>
      <c r="T120" s="223"/>
      <c r="U120" s="223"/>
      <c r="V120" s="223"/>
      <c r="W120" s="222"/>
      <c r="X120" s="215"/>
      <c r="Y120" s="215"/>
      <c r="Z120" s="215"/>
      <c r="AA120" s="215"/>
      <c r="AB120" s="215"/>
      <c r="AC120" s="198"/>
      <c r="AD120" s="198"/>
      <c r="AE120" s="198"/>
      <c r="AF120" s="215"/>
      <c r="AG120" s="198"/>
      <c r="AH120" s="198"/>
      <c r="AI120" s="198"/>
      <c r="AJ120" s="198"/>
      <c r="AK120" s="198"/>
      <c r="AL120" s="198"/>
      <c r="AM120" s="198"/>
      <c r="AN120" s="198"/>
      <c r="AO120" s="198"/>
      <c r="AP120" s="198"/>
      <c r="AQ120" s="198"/>
      <c r="AR120" s="198"/>
      <c r="AS120" s="198"/>
      <c r="AT120" s="198"/>
      <c r="AU120" s="198"/>
      <c r="AV120" s="198"/>
      <c r="AW120" s="198"/>
      <c r="AX120" s="198"/>
      <c r="AY120" s="198"/>
      <c r="AZ120" s="198"/>
      <c r="BA120" s="198"/>
      <c r="BB120" s="198"/>
      <c r="BC120" s="198"/>
      <c r="BD120" s="198"/>
      <c r="BE120" s="198"/>
      <c r="BF120" s="198"/>
      <c r="BG120" s="198"/>
      <c r="BH120" s="198"/>
      <c r="BI120" s="198"/>
      <c r="BJ120" s="198"/>
      <c r="BK120" s="198"/>
      <c r="BL120" s="198"/>
      <c r="BM120" s="198"/>
      <c r="BN120" s="198"/>
      <c r="BO120" s="198"/>
      <c r="BP120" s="198"/>
      <c r="BQ120" s="198"/>
      <c r="BR120" s="198"/>
      <c r="BS120" s="198"/>
      <c r="BT120" s="198"/>
      <c r="BU120" s="198"/>
      <c r="BV120" s="198"/>
      <c r="BW120" s="198"/>
      <c r="BX120" s="198"/>
    </row>
    <row r="121" spans="1:76" x14ac:dyDescent="0.25">
      <c r="A121" s="2" t="str">
        <f>'Language Index'!A145</f>
        <v>Interest Capitalized</v>
      </c>
      <c r="B121" s="18">
        <f>_xll.ciqfunctions.udf.CIQ($C$2, "IQ_CAPITALIZED_INTEREST", D$6,$F$2,,,Ccy,Conv)</f>
        <v>4</v>
      </c>
      <c r="C121" s="18">
        <f>_xll.ciqfunctions.udf.CIQ($C$2, "IQ_CAPITALIZED_INTEREST", E$6,$F$2,,,Ccy,Conv)</f>
        <v>0</v>
      </c>
      <c r="D121" s="18">
        <f>_xll.ciqfunctions.udf.CIQ($C$2, "IQ_CAPITALIZED_INTEREST", F$6,$F$2,,,Ccy,Conv)</f>
        <v>2</v>
      </c>
      <c r="E121" s="18">
        <f>_xll.ciqfunctions.udf.CIQ($C$2, "IQ_CAPITALIZED_INTEREST", G$6,$F$2,,,Ccy,Conv)</f>
        <v>5</v>
      </c>
      <c r="F121" s="18">
        <f>_xll.ciqfunctions.udf.CIQ($C$2, "IQ_CAPITALIZED_INTEREST", H$6,$F$2,,,Ccy,Conv)</f>
        <v>3</v>
      </c>
      <c r="G121" s="18">
        <f>_xll.ciqfunctions.udf.CIQ($C$2, "IQ_CAPITALIZED_INTEREST", I$6,$F$2,,,Ccy,Conv)</f>
        <v>4</v>
      </c>
      <c r="H121" s="18">
        <f>_xll.ciqfunctions.udf.CIQ($C$2, "IQ_CAPITALIZED_INTEREST", J$6,$F$2,,,Ccy,Conv)</f>
        <v>5</v>
      </c>
      <c r="I121" s="18">
        <f>_xll.ciqfunctions.udf.CIQ($C$2, "IQ_CAPITALIZED_INTEREST", K$6,$F$2,,,Ccy,Conv)</f>
        <v>3</v>
      </c>
      <c r="J121" s="18">
        <f>_xll.ciqfunctions.udf.CIQ($C$2, "IQ_CAPITALIZED_INTEREST", L$6,$F$2,,,Ccy,Conv)</f>
        <v>5</v>
      </c>
      <c r="K121" s="18">
        <f>_xll.ciqfunctions.udf.CIQ($C$2, "IQ_CAPITALIZED_INTEREST", M$6,$F$2,,,Ccy,Conv)</f>
        <v>9</v>
      </c>
      <c r="L121" s="18">
        <f>_xll.ciqfunctions.udf.CIQ($C$2, "IQ_CAPITALIZED_INTEREST", N$6,$F$2,,,Ccy,Conv)</f>
        <v>12</v>
      </c>
      <c r="M121" s="18"/>
      <c r="N121" s="18">
        <f>_xll.ciqfunctions.udf.CIQ($C$2, "IQ_CAPITALIZED_INTEREST", P$6,$F$2,,,Ccy,Conv)</f>
        <v>12</v>
      </c>
      <c r="O121" s="221"/>
      <c r="P121" s="198"/>
      <c r="Q121" s="198"/>
      <c r="R121" s="198"/>
      <c r="S121" s="198"/>
      <c r="T121" s="223"/>
      <c r="U121" s="223"/>
      <c r="V121" s="223"/>
      <c r="W121" s="222"/>
      <c r="X121" s="215"/>
      <c r="Y121" s="215"/>
      <c r="Z121" s="215"/>
      <c r="AA121" s="215"/>
      <c r="AB121" s="215"/>
      <c r="AC121" s="198"/>
      <c r="AD121" s="198"/>
      <c r="AE121" s="198"/>
      <c r="AF121" s="215"/>
      <c r="AG121" s="198"/>
      <c r="AH121" s="198"/>
      <c r="AI121" s="198"/>
      <c r="AJ121" s="198"/>
      <c r="AK121" s="198"/>
      <c r="AL121" s="198"/>
      <c r="AM121" s="198"/>
      <c r="AN121" s="198"/>
      <c r="AO121" s="198"/>
      <c r="AP121" s="198"/>
      <c r="AQ121" s="198"/>
      <c r="AR121" s="198"/>
      <c r="AS121" s="198"/>
      <c r="AT121" s="198"/>
      <c r="AU121" s="198"/>
      <c r="AV121" s="198"/>
      <c r="AW121" s="198"/>
      <c r="AX121" s="198"/>
      <c r="AY121" s="198"/>
      <c r="AZ121" s="198"/>
      <c r="BA121" s="198"/>
      <c r="BB121" s="198"/>
      <c r="BC121" s="198"/>
      <c r="BD121" s="198"/>
      <c r="BE121" s="198"/>
      <c r="BF121" s="198"/>
      <c r="BG121" s="198"/>
      <c r="BH121" s="198"/>
      <c r="BI121" s="198"/>
      <c r="BJ121" s="198"/>
      <c r="BK121" s="198"/>
      <c r="BL121" s="198"/>
      <c r="BM121" s="198"/>
      <c r="BN121" s="198"/>
      <c r="BO121" s="198"/>
      <c r="BP121" s="198"/>
      <c r="BQ121" s="198"/>
      <c r="BR121" s="198"/>
      <c r="BS121" s="198"/>
      <c r="BT121" s="198"/>
      <c r="BU121" s="198"/>
      <c r="BV121" s="198"/>
      <c r="BW121" s="198"/>
      <c r="BX121" s="198"/>
    </row>
    <row r="122" spans="1:76" x14ac:dyDescent="0.25">
      <c r="A122" s="2" t="str">
        <f>'Language Index'!A146</f>
        <v>Interest On Long Term Debt</v>
      </c>
      <c r="B122" s="18">
        <f>_xll.ciqfunctions.udf.CIQ($C$2, "IQ_INT_EXP_LTD", D$6,$F$2,,,Ccy,Conv)</f>
        <v>0</v>
      </c>
      <c r="C122" s="18">
        <f>_xll.ciqfunctions.udf.CIQ($C$2, "IQ_INT_EXP_LTD", E$6,$F$2,,,Ccy,Conv)</f>
        <v>0</v>
      </c>
      <c r="D122" s="18">
        <f>_xll.ciqfunctions.udf.CIQ($C$2, "IQ_INT_EXP_LTD", F$6,$F$2,,,Ccy,Conv)</f>
        <v>0</v>
      </c>
      <c r="E122" s="18">
        <f>_xll.ciqfunctions.udf.CIQ($C$2, "IQ_INT_EXP_LTD", G$6,$F$2,,,Ccy,Conv)</f>
        <v>0</v>
      </c>
      <c r="F122" s="18">
        <f>_xll.ciqfunctions.udf.CIQ($C$2, "IQ_INT_EXP_LTD", H$6,$F$2,,,Ccy,Conv)</f>
        <v>0</v>
      </c>
      <c r="G122" s="18">
        <f>_xll.ciqfunctions.udf.CIQ($C$2, "IQ_INT_EXP_LTD", I$6,$F$2,,,Ccy,Conv)</f>
        <v>0</v>
      </c>
      <c r="H122" s="18">
        <f>_xll.ciqfunctions.udf.CIQ($C$2, "IQ_INT_EXP_LTD", J$6,$F$2,,,Ccy,Conv)</f>
        <v>0</v>
      </c>
      <c r="I122" s="18">
        <f>_xll.ciqfunctions.udf.CIQ($C$2, "IQ_INT_EXP_LTD", K$6,$F$2,,,Ccy,Conv)</f>
        <v>0</v>
      </c>
      <c r="J122" s="18">
        <f>_xll.ciqfunctions.udf.CIQ($C$2, "IQ_INT_EXP_LTD", L$6,$F$2,,,Ccy,Conv)</f>
        <v>0</v>
      </c>
      <c r="K122" s="18">
        <f>_xll.ciqfunctions.udf.CIQ($C$2, "IQ_INT_EXP_LTD", M$6,$F$2,,,Ccy,Conv)</f>
        <v>0</v>
      </c>
      <c r="L122" s="18">
        <f>_xll.ciqfunctions.udf.CIQ($C$2, "IQ_INT_EXP_LTD", N$6,$F$2,,,Ccy,Conv)</f>
        <v>0</v>
      </c>
      <c r="M122" s="18"/>
      <c r="N122" s="18">
        <f>_xll.ciqfunctions.udf.CIQ($C$2, "IQ_INT_EXP_LTD", P$6,$F$2,,,Ccy,Conv)</f>
        <v>0</v>
      </c>
      <c r="O122" s="221"/>
      <c r="P122" s="198"/>
      <c r="Q122" s="198"/>
      <c r="R122" s="198"/>
      <c r="S122" s="198"/>
      <c r="T122" s="223"/>
      <c r="U122" s="223"/>
      <c r="V122" s="223"/>
      <c r="W122" s="222"/>
      <c r="X122" s="215"/>
      <c r="Y122" s="215"/>
      <c r="Z122" s="215"/>
      <c r="AA122" s="215"/>
      <c r="AB122" s="215"/>
      <c r="AC122" s="198"/>
      <c r="AD122" s="198"/>
      <c r="AE122" s="198"/>
      <c r="AF122" s="215"/>
      <c r="AG122" s="198"/>
      <c r="AH122" s="198"/>
      <c r="AI122" s="198"/>
      <c r="AJ122" s="198"/>
      <c r="AK122" s="198"/>
      <c r="AL122" s="198"/>
      <c r="AM122" s="198"/>
      <c r="AN122" s="198"/>
      <c r="AO122" s="198"/>
      <c r="AP122" s="198"/>
      <c r="AQ122" s="198"/>
      <c r="AR122" s="198"/>
      <c r="AS122" s="198"/>
      <c r="AT122" s="198"/>
      <c r="AU122" s="198"/>
      <c r="AV122" s="198"/>
      <c r="AW122" s="198"/>
      <c r="AX122" s="198"/>
      <c r="AY122" s="198"/>
      <c r="AZ122" s="198"/>
      <c r="BA122" s="198"/>
      <c r="BB122" s="198"/>
      <c r="BC122" s="198"/>
      <c r="BD122" s="198"/>
      <c r="BE122" s="198"/>
      <c r="BF122" s="198"/>
      <c r="BG122" s="198"/>
      <c r="BH122" s="198"/>
      <c r="BI122" s="198"/>
      <c r="BJ122" s="198"/>
      <c r="BK122" s="198"/>
      <c r="BL122" s="198"/>
      <c r="BM122" s="198"/>
      <c r="BN122" s="198"/>
      <c r="BO122" s="198"/>
      <c r="BP122" s="198"/>
      <c r="BQ122" s="198"/>
      <c r="BR122" s="198"/>
      <c r="BS122" s="198"/>
      <c r="BT122" s="198"/>
      <c r="BU122" s="198"/>
      <c r="BV122" s="198"/>
      <c r="BW122" s="198"/>
      <c r="BX122" s="198"/>
    </row>
    <row r="123" spans="1:76" x14ac:dyDescent="0.25">
      <c r="A123" s="2" t="str">
        <f>'Language Index'!A147</f>
        <v>Interest Expenses On Lease Liability/Debt</v>
      </c>
      <c r="B123" s="18">
        <f>_xll.ciqfunctions.udf.CIQ($C$2, "IQ_INTEREST_EXP_LEASE_LIABILITY_DEBT", D$6,$F$2,,,Ccy,Conv)</f>
        <v>0</v>
      </c>
      <c r="C123" s="18">
        <f>_xll.ciqfunctions.udf.CIQ($C$2, "IQ_INTEREST_EXP_LEASE_LIABILITY_DEBT", E$6,$F$2,,,Ccy,Conv)</f>
        <v>0</v>
      </c>
      <c r="D123" s="18">
        <f>_xll.ciqfunctions.udf.CIQ($C$2, "IQ_INTEREST_EXP_LEASE_LIABILITY_DEBT", F$6,$F$2,,,Ccy,Conv)</f>
        <v>0</v>
      </c>
      <c r="E123" s="18">
        <f>_xll.ciqfunctions.udf.CIQ($C$2, "IQ_INTEREST_EXP_LEASE_LIABILITY_DEBT", G$6,$F$2,,,Ccy,Conv)</f>
        <v>0</v>
      </c>
      <c r="F123" s="18">
        <f>_xll.ciqfunctions.udf.CIQ($C$2, "IQ_INTEREST_EXP_LEASE_LIABILITY_DEBT", H$6,$F$2,,,Ccy,Conv)</f>
        <v>0</v>
      </c>
      <c r="G123" s="18">
        <f>_xll.ciqfunctions.udf.CIQ($C$2, "IQ_INTEREST_EXP_LEASE_LIABILITY_DEBT", I$6,$F$2,,,Ccy,Conv)</f>
        <v>0</v>
      </c>
      <c r="H123" s="18">
        <f>_xll.ciqfunctions.udf.CIQ($C$2, "IQ_INTEREST_EXP_LEASE_LIABILITY_DEBT", J$6,$F$2,,,Ccy,Conv)</f>
        <v>0</v>
      </c>
      <c r="I123" s="18">
        <f>_xll.ciqfunctions.udf.CIQ($C$2, "IQ_INTEREST_EXP_LEASE_LIABILITY_DEBT", K$6,$F$2,,,Ccy,Conv)</f>
        <v>0</v>
      </c>
      <c r="J123" s="18">
        <f>_xll.ciqfunctions.udf.CIQ($C$2, "IQ_INTEREST_EXP_LEASE_LIABILITY_DEBT", L$6,$F$2,,,Ccy,Conv)</f>
        <v>0</v>
      </c>
      <c r="K123" s="18">
        <f>_xll.ciqfunctions.udf.CIQ($C$2, "IQ_INTEREST_EXP_LEASE_LIABILITY_DEBT", M$6,$F$2,,,Ccy,Conv)</f>
        <v>0</v>
      </c>
      <c r="L123" s="18">
        <f>_xll.ciqfunctions.udf.CIQ($C$2, "IQ_INTEREST_EXP_LEASE_LIABILITY_DEBT", N$6,$F$2,,,Ccy,Conv)</f>
        <v>0</v>
      </c>
      <c r="M123" s="18"/>
      <c r="N123" s="18">
        <f>_xll.ciqfunctions.udf.CIQ($C$2, "IQ_INTEREST_EXP_LEASE_LIABILITY_DEBT", P$6,$F$2,,,Ccy,Conv)</f>
        <v>0</v>
      </c>
      <c r="O123" s="221"/>
      <c r="P123" s="198"/>
      <c r="Q123" s="198"/>
      <c r="R123" s="198"/>
      <c r="S123" s="198"/>
      <c r="T123" s="223"/>
      <c r="U123" s="223"/>
      <c r="V123" s="223"/>
      <c r="W123" s="222"/>
      <c r="X123" s="215"/>
      <c r="Y123" s="215"/>
      <c r="Z123" s="215"/>
      <c r="AA123" s="215"/>
      <c r="AB123" s="215"/>
      <c r="AC123" s="198"/>
      <c r="AD123" s="198"/>
      <c r="AE123" s="198"/>
      <c r="AF123" s="215"/>
      <c r="AG123" s="198"/>
      <c r="AH123" s="198"/>
      <c r="AI123" s="198"/>
      <c r="AJ123" s="198"/>
      <c r="AK123" s="198"/>
      <c r="AL123" s="198"/>
      <c r="AM123" s="198"/>
      <c r="AN123" s="198"/>
      <c r="AO123" s="198"/>
      <c r="AP123" s="198"/>
      <c r="AQ123" s="198"/>
      <c r="AR123" s="198"/>
      <c r="AS123" s="198"/>
      <c r="AT123" s="198"/>
      <c r="AU123" s="198"/>
      <c r="AV123" s="198"/>
      <c r="AW123" s="198"/>
      <c r="AX123" s="198"/>
      <c r="AY123" s="198"/>
      <c r="AZ123" s="198"/>
      <c r="BA123" s="198"/>
      <c r="BB123" s="198"/>
      <c r="BC123" s="198"/>
      <c r="BD123" s="198"/>
      <c r="BE123" s="198"/>
      <c r="BF123" s="198"/>
      <c r="BG123" s="198"/>
      <c r="BH123" s="198"/>
      <c r="BI123" s="198"/>
      <c r="BJ123" s="198"/>
      <c r="BK123" s="198"/>
      <c r="BL123" s="198"/>
      <c r="BM123" s="198"/>
      <c r="BN123" s="198"/>
      <c r="BO123" s="198"/>
      <c r="BP123" s="198"/>
      <c r="BQ123" s="198"/>
      <c r="BR123" s="198"/>
      <c r="BS123" s="198"/>
      <c r="BT123" s="198"/>
      <c r="BU123" s="198"/>
      <c r="BV123" s="198"/>
      <c r="BW123" s="198"/>
      <c r="BX123" s="198"/>
    </row>
    <row r="124" spans="1:76" x14ac:dyDescent="0.25">
      <c r="A124" s="2" t="str">
        <f>'Language Index'!A148</f>
        <v>Interest Expense (Incl. Cap. Interest)</v>
      </c>
      <c r="B124" s="18">
        <f>_xll.ciqfunctions.udf.CIQ($C$2, "IQ_INT_EXP_INCL_CAP", D$6,$F$2,,,Ccy,Conv)</f>
        <v>488</v>
      </c>
      <c r="C124" s="18">
        <f>_xll.ciqfunctions.udf.CIQ($C$2, "IQ_INT_EXP_INCL_CAP", E$6,$F$2,,,Ccy,Conv)</f>
        <v>468</v>
      </c>
      <c r="D124" s="18">
        <f>_xll.ciqfunctions.udf.CIQ($C$2, "IQ_INT_EXP_INCL_CAP", F$6,$F$2,,,Ccy,Conv)</f>
        <v>632</v>
      </c>
      <c r="E124" s="18">
        <f>_xll.ciqfunctions.udf.CIQ($C$2, "IQ_INT_EXP_INCL_CAP", G$6,$F$2,,,Ccy,Conv)</f>
        <v>620</v>
      </c>
      <c r="F124" s="18">
        <f>_xll.ciqfunctions.udf.CIQ($C$2, "IQ_INT_EXP_INCL_CAP", H$6,$F$2,,,Ccy,Conv)</f>
        <v>726</v>
      </c>
      <c r="G124" s="18">
        <f>_xll.ciqfunctions.udf.CIQ($C$2, "IQ_INT_EXP_INCL_CAP", I$6,$F$2,,,Ccy,Conv)</f>
        <v>1348</v>
      </c>
      <c r="H124" s="18">
        <f>_xll.ciqfunctions.udf.CIQ($C$2, "IQ_INT_EXP_INCL_CAP", J$6,$F$2,,,Ccy,Conv)</f>
        <v>1293</v>
      </c>
      <c r="I124" s="18">
        <f>_xll.ciqfunctions.udf.CIQ($C$2, "IQ_INT_EXP_INCL_CAP", K$6,$F$2,,,Ccy,Conv)</f>
        <v>1158</v>
      </c>
      <c r="J124" s="18">
        <f>_xll.ciqfunctions.udf.CIQ($C$2, "IQ_INT_EXP_INCL_CAP", L$6,$F$2,,,Ccy,Conv)</f>
        <v>1221</v>
      </c>
      <c r="K124" s="18">
        <f>_xll.ciqfunctions.udf.CIQ($C$2, "IQ_INT_EXP_INCL_CAP", M$6,$F$2,,,Ccy,Conv)</f>
        <v>1616</v>
      </c>
      <c r="L124" s="18">
        <f>_xll.ciqfunctions.udf.CIQ($C$2, "IQ_INT_EXP_INCL_CAP", N$6,$F$2,,,Ccy,Conv)</f>
        <v>1724</v>
      </c>
      <c r="M124" s="18"/>
      <c r="N124" s="18">
        <f>_xll.ciqfunctions.udf.CIQ($C$2, "IQ_INT_EXP_INCL_CAP", P$6,$F$2,,,Ccy,Conv)</f>
        <v>1724</v>
      </c>
      <c r="O124" s="221"/>
      <c r="P124" s="198"/>
      <c r="Q124" s="198"/>
      <c r="R124" s="198"/>
      <c r="S124" s="198"/>
      <c r="T124" s="223"/>
      <c r="U124" s="223"/>
      <c r="V124" s="223"/>
      <c r="W124" s="222"/>
      <c r="X124" s="215"/>
      <c r="Y124" s="215"/>
      <c r="Z124" s="215"/>
      <c r="AA124" s="215"/>
      <c r="AB124" s="215"/>
      <c r="AC124" s="198"/>
      <c r="AD124" s="198"/>
      <c r="AE124" s="198"/>
      <c r="AF124" s="215"/>
      <c r="AG124" s="198"/>
      <c r="AH124" s="198"/>
      <c r="AI124" s="198"/>
      <c r="AJ124" s="198"/>
      <c r="AK124" s="198"/>
      <c r="AL124" s="198"/>
      <c r="AM124" s="198"/>
      <c r="AN124" s="198"/>
      <c r="AO124" s="198"/>
      <c r="AP124" s="198"/>
      <c r="AQ124" s="198"/>
      <c r="AR124" s="198"/>
      <c r="AS124" s="198"/>
      <c r="AT124" s="198"/>
      <c r="AU124" s="198"/>
      <c r="AV124" s="198"/>
      <c r="AW124" s="198"/>
      <c r="AX124" s="198"/>
      <c r="AY124" s="198"/>
      <c r="AZ124" s="198"/>
      <c r="BA124" s="198"/>
      <c r="BB124" s="198"/>
      <c r="BC124" s="198"/>
      <c r="BD124" s="198"/>
      <c r="BE124" s="198"/>
      <c r="BF124" s="198"/>
      <c r="BG124" s="198"/>
      <c r="BH124" s="198"/>
      <c r="BI124" s="198"/>
      <c r="BJ124" s="198"/>
      <c r="BK124" s="198"/>
      <c r="BL124" s="198"/>
      <c r="BM124" s="198"/>
      <c r="BN124" s="198"/>
      <c r="BO124" s="198"/>
      <c r="BP124" s="198"/>
      <c r="BQ124" s="198"/>
      <c r="BR124" s="198"/>
      <c r="BS124" s="198"/>
      <c r="BT124" s="198"/>
      <c r="BU124" s="198"/>
      <c r="BV124" s="198"/>
      <c r="BW124" s="198"/>
      <c r="BX124" s="198"/>
    </row>
    <row r="125" spans="1:76" x14ac:dyDescent="0.25">
      <c r="A125" s="2" t="str">
        <f>'Language Index'!A149</f>
        <v>Non-Cash Pension Expense</v>
      </c>
      <c r="B125" s="18">
        <f>_xll.ciqfunctions.udf.CIQ($C$2, "IQ_NONCASH_PENSION_EXP", D$6,$F$2,,,Ccy,Conv)</f>
        <v>0</v>
      </c>
      <c r="C125" s="18">
        <f>_xll.ciqfunctions.udf.CIQ($C$2, "IQ_NONCASH_PENSION_EXP", E$6,$F$2,,,Ccy,Conv)</f>
        <v>706</v>
      </c>
      <c r="D125" s="18">
        <f>_xll.ciqfunctions.udf.CIQ($C$2, "IQ_NONCASH_PENSION_EXP", F$6,$F$2,,,Ccy,Conv)</f>
        <v>302</v>
      </c>
      <c r="E125" s="18">
        <f>_xll.ciqfunctions.udf.CIQ($C$2, "IQ_NONCASH_PENSION_EXP", G$6,$F$2,,,Ccy,Conv)</f>
        <v>1158</v>
      </c>
      <c r="F125" s="18">
        <f>_xll.ciqfunctions.udf.CIQ($C$2, "IQ_NONCASH_PENSION_EXP", H$6,$F$2,,,Ccy,Conv)</f>
        <v>1430</v>
      </c>
      <c r="G125" s="18">
        <f>_xll.ciqfunctions.udf.CIQ($C$2, "IQ_NONCASH_PENSION_EXP", I$6,$F$2,,,Ccy,Conv)</f>
        <v>396</v>
      </c>
      <c r="H125" s="18">
        <f>_xll.ciqfunctions.udf.CIQ($C$2, "IQ_NONCASH_PENSION_EXP", J$6,$F$2,,,Ccy,Conv)</f>
        <v>907</v>
      </c>
      <c r="I125" s="18">
        <f>_xll.ciqfunctions.udf.CIQ($C$2, "IQ_NONCASH_PENSION_EXP", K$6,$F$2,,,Ccy,Conv)</f>
        <v>1138</v>
      </c>
      <c r="J125" s="18">
        <f>_xll.ciqfunctions.udf.CIQ($C$2, "IQ_NONCASH_PENSION_EXP", L$6,$F$2,,,Ccy,Conv)</f>
        <v>6456</v>
      </c>
      <c r="K125" s="18">
        <f>_xll.ciqfunctions.udf.CIQ($C$2, "IQ_NONCASH_PENSION_EXP", M$6,$F$2,,,Ccy,Conv)</f>
        <v>-147</v>
      </c>
      <c r="L125" s="18">
        <f>_xll.ciqfunctions.udf.CIQ($C$2, "IQ_NONCASH_PENSION_EXP", N$6,$F$2,,,Ccy,Conv)</f>
        <v>3353</v>
      </c>
      <c r="M125" s="18"/>
      <c r="N125" s="18">
        <f>_xll.ciqfunctions.udf.CIQ($C$2, "IQ_NONCASH_PENSION_EXP", P$6,$F$2,,,Ccy,Conv)</f>
        <v>3353</v>
      </c>
      <c r="O125" s="221"/>
      <c r="P125" s="198"/>
      <c r="Q125" s="198"/>
      <c r="R125" s="198"/>
      <c r="S125" s="198"/>
      <c r="T125" s="223"/>
      <c r="U125" s="223"/>
      <c r="V125" s="223"/>
      <c r="W125" s="222"/>
      <c r="X125" s="215"/>
      <c r="Y125" s="215"/>
      <c r="Z125" s="215"/>
      <c r="AA125" s="215"/>
      <c r="AB125" s="215"/>
      <c r="AC125" s="198"/>
      <c r="AD125" s="198"/>
      <c r="AE125" s="198"/>
      <c r="AF125" s="215"/>
      <c r="AG125" s="198"/>
      <c r="AH125" s="198"/>
      <c r="AI125" s="198"/>
      <c r="AJ125" s="198"/>
      <c r="AK125" s="198"/>
      <c r="AL125" s="198"/>
      <c r="AM125" s="198"/>
      <c r="AN125" s="198"/>
      <c r="AO125" s="198"/>
      <c r="AP125" s="198"/>
      <c r="AQ125" s="198"/>
      <c r="AR125" s="198"/>
      <c r="AS125" s="198"/>
      <c r="AT125" s="198"/>
      <c r="AU125" s="198"/>
      <c r="AV125" s="198"/>
      <c r="AW125" s="198"/>
      <c r="AX125" s="198"/>
      <c r="AY125" s="198"/>
      <c r="AZ125" s="198"/>
      <c r="BA125" s="198"/>
      <c r="BB125" s="198"/>
      <c r="BC125" s="198"/>
      <c r="BD125" s="198"/>
      <c r="BE125" s="198"/>
      <c r="BF125" s="198"/>
      <c r="BG125" s="198"/>
      <c r="BH125" s="198"/>
      <c r="BI125" s="198"/>
      <c r="BJ125" s="198"/>
      <c r="BK125" s="198"/>
      <c r="BL125" s="198"/>
      <c r="BM125" s="198"/>
      <c r="BN125" s="198"/>
      <c r="BO125" s="198"/>
      <c r="BP125" s="198"/>
      <c r="BQ125" s="198"/>
      <c r="BR125" s="198"/>
      <c r="BS125" s="198"/>
      <c r="BT125" s="198"/>
      <c r="BU125" s="198"/>
      <c r="BV125" s="198"/>
      <c r="BW125" s="198"/>
      <c r="BX125" s="198"/>
    </row>
    <row r="126" spans="1:76" x14ac:dyDescent="0.25">
      <c r="A126" s="2" t="str">
        <f>'Language Index'!A150</f>
        <v>D&amp;A For EBITDA</v>
      </c>
      <c r="B126" s="18">
        <f>_xll.ciqfunctions.udf.CIQ($C$2, "IQ_DA_EBITDA", D$6,$F$2,,,Ccy,Conv)</f>
        <v>4492</v>
      </c>
      <c r="C126" s="18">
        <f>_xll.ciqfunctions.udf.CIQ($C$2, "IQ_DA_EBITDA", E$6,$F$2,,,Ccy,Conv)</f>
        <v>3855</v>
      </c>
      <c r="D126" s="18">
        <f>_xll.ciqfunctions.udf.CIQ($C$2, "IQ_DA_EBITDA", F$6,$F$2,,,Ccy,Conv)</f>
        <v>4381</v>
      </c>
      <c r="E126" s="18">
        <f>_xll.ciqfunctions.udf.CIQ($C$2, "IQ_DA_EBITDA", G$6,$F$2,,,Ccy,Conv)</f>
        <v>4541</v>
      </c>
      <c r="F126" s="18">
        <f>_xll.ciqfunctions.udf.CIQ($C$2, "IQ_DA_EBITDA", H$6,$F$2,,,Ccy,Conv)</f>
        <v>4480</v>
      </c>
      <c r="G126" s="18">
        <f>_xll.ciqfunctions.udf.CIQ($C$2, "IQ_DA_EBITDA", I$6,$F$2,,,Ccy,Conv)</f>
        <v>6059</v>
      </c>
      <c r="H126" s="18">
        <f>_xll.ciqfunctions.udf.CIQ($C$2, "IQ_DA_EBITDA", J$6,$F$2,,,Ccy,Conv)</f>
        <v>6695</v>
      </c>
      <c r="I126" s="18">
        <f>_xll.ciqfunctions.udf.CIQ($C$2, "IQ_DA_EBITDA", K$6,$F$2,,,Ccy,Conv)</f>
        <v>6417</v>
      </c>
      <c r="J126" s="18">
        <f>_xll.ciqfunctions.udf.CIQ($C$2, "IQ_DA_EBITDA", L$6,$F$2,,,Ccy,Conv)</f>
        <v>3902</v>
      </c>
      <c r="K126" s="18">
        <f>_xll.ciqfunctions.udf.CIQ($C$2, "IQ_DA_EBITDA", M$6,$F$2,,,Ccy,Conv)</f>
        <v>3496</v>
      </c>
      <c r="L126" s="18">
        <f>_xll.ciqfunctions.udf.CIQ($C$2, "IQ_DA_EBITDA", N$6,$F$2,,,Ccy,Conv)</f>
        <v>3767</v>
      </c>
      <c r="M126" s="18"/>
      <c r="N126" s="18">
        <f>_xll.ciqfunctions.udf.CIQ($C$2, "IQ_DA_EBITDA", P$6,$F$2,,,Ccy,Conv)</f>
        <v>3767</v>
      </c>
      <c r="O126" s="221"/>
      <c r="P126" s="198"/>
      <c r="Q126" s="198"/>
      <c r="R126" s="198"/>
      <c r="S126" s="198"/>
      <c r="T126" s="223"/>
      <c r="U126" s="223"/>
      <c r="V126" s="223"/>
      <c r="W126" s="222"/>
      <c r="X126" s="215"/>
      <c r="Y126" s="215"/>
      <c r="Z126" s="215"/>
      <c r="AA126" s="215"/>
      <c r="AB126" s="215"/>
      <c r="AC126" s="198"/>
      <c r="AD126" s="198"/>
      <c r="AE126" s="198"/>
      <c r="AF126" s="215"/>
      <c r="AG126" s="198"/>
      <c r="AH126" s="198"/>
      <c r="AI126" s="198"/>
      <c r="AJ126" s="198"/>
      <c r="AK126" s="198"/>
      <c r="AL126" s="198"/>
      <c r="AM126" s="198"/>
      <c r="AN126" s="198"/>
      <c r="AO126" s="198"/>
      <c r="AP126" s="198"/>
      <c r="AQ126" s="198"/>
      <c r="AR126" s="198"/>
      <c r="AS126" s="198"/>
      <c r="AT126" s="198"/>
      <c r="AU126" s="198"/>
      <c r="AV126" s="198"/>
      <c r="AW126" s="198"/>
      <c r="AX126" s="198"/>
      <c r="AY126" s="198"/>
      <c r="AZ126" s="198"/>
      <c r="BA126" s="198"/>
      <c r="BB126" s="198"/>
      <c r="BC126" s="198"/>
      <c r="BD126" s="198"/>
      <c r="BE126" s="198"/>
      <c r="BF126" s="198"/>
      <c r="BG126" s="198"/>
      <c r="BH126" s="198"/>
      <c r="BI126" s="198"/>
      <c r="BJ126" s="198"/>
      <c r="BK126" s="198"/>
      <c r="BL126" s="198"/>
      <c r="BM126" s="198"/>
      <c r="BN126" s="198"/>
      <c r="BO126" s="198"/>
      <c r="BP126" s="198"/>
      <c r="BQ126" s="198"/>
      <c r="BR126" s="198"/>
      <c r="BS126" s="198"/>
      <c r="BT126" s="198"/>
      <c r="BU126" s="198"/>
      <c r="BV126" s="198"/>
      <c r="BW126" s="198"/>
      <c r="BX126" s="198"/>
    </row>
    <row r="127" spans="1:76" x14ac:dyDescent="0.25">
      <c r="A127" s="2" t="str">
        <f>'Language Index'!A151</f>
        <v>Distributable Cash</v>
      </c>
      <c r="B127" s="18">
        <f>_xll.ciqfunctions.udf.CIQ($C$2, "IQ_DISTRIBUTABLE_CASH", D$6,$F$2,,,Ccy,Conv)</f>
        <v>0</v>
      </c>
      <c r="C127" s="18">
        <f>_xll.ciqfunctions.udf.CIQ($C$2, "IQ_DISTRIBUTABLE_CASH", E$6,$F$2,,,Ccy,Conv)</f>
        <v>0</v>
      </c>
      <c r="D127" s="18">
        <f>_xll.ciqfunctions.udf.CIQ($C$2, "IQ_DISTRIBUTABLE_CASH", F$6,$F$2,,,Ccy,Conv)</f>
        <v>0</v>
      </c>
      <c r="E127" s="18">
        <f>_xll.ciqfunctions.udf.CIQ($C$2, "IQ_DISTRIBUTABLE_CASH", G$6,$F$2,,,Ccy,Conv)</f>
        <v>0</v>
      </c>
      <c r="F127" s="18">
        <f>_xll.ciqfunctions.udf.CIQ($C$2, "IQ_DISTRIBUTABLE_CASH", H$6,$F$2,,,Ccy,Conv)</f>
        <v>0</v>
      </c>
      <c r="G127" s="18">
        <f>_xll.ciqfunctions.udf.CIQ($C$2, "IQ_DISTRIBUTABLE_CASH", I$6,$F$2,,,Ccy,Conv)</f>
        <v>0</v>
      </c>
      <c r="H127" s="18">
        <f>_xll.ciqfunctions.udf.CIQ($C$2, "IQ_DISTRIBUTABLE_CASH", J$6,$F$2,,,Ccy,Conv)</f>
        <v>0</v>
      </c>
      <c r="I127" s="18">
        <f>_xll.ciqfunctions.udf.CIQ($C$2, "IQ_DISTRIBUTABLE_CASH", K$6,$F$2,,,Ccy,Conv)</f>
        <v>0</v>
      </c>
      <c r="J127" s="18">
        <f>_xll.ciqfunctions.udf.CIQ($C$2, "IQ_DISTRIBUTABLE_CASH", L$6,$F$2,,,Ccy,Conv)</f>
        <v>0</v>
      </c>
      <c r="K127" s="18">
        <f>_xll.ciqfunctions.udf.CIQ($C$2, "IQ_DISTRIBUTABLE_CASH", M$6,$F$2,,,Ccy,Conv)</f>
        <v>0</v>
      </c>
      <c r="L127" s="18">
        <f>_xll.ciqfunctions.udf.CIQ($C$2, "IQ_DISTRIBUTABLE_CASH", N$6,$F$2,,,Ccy,Conv)</f>
        <v>0</v>
      </c>
      <c r="M127" s="18"/>
      <c r="N127" s="18">
        <f>_xll.ciqfunctions.udf.CIQ($C$2, "IQ_DISTRIBUTABLE_CASH", P$6,$F$2,,,Ccy,Conv)</f>
        <v>0</v>
      </c>
      <c r="O127" s="221"/>
      <c r="P127" s="198"/>
      <c r="Q127" s="198"/>
      <c r="R127" s="198"/>
      <c r="S127" s="198"/>
      <c r="T127" s="223"/>
      <c r="U127" s="223"/>
      <c r="V127" s="223"/>
      <c r="W127" s="222"/>
      <c r="X127" s="215"/>
      <c r="Y127" s="215"/>
      <c r="Z127" s="215"/>
      <c r="AA127" s="215"/>
      <c r="AB127" s="215"/>
      <c r="AC127" s="198"/>
      <c r="AD127" s="198"/>
      <c r="AE127" s="198"/>
      <c r="AF127" s="215"/>
      <c r="AG127" s="198"/>
      <c r="AH127" s="198"/>
      <c r="AI127" s="198"/>
      <c r="AJ127" s="198"/>
      <c r="AK127" s="198"/>
      <c r="AL127" s="198"/>
      <c r="AM127" s="198"/>
      <c r="AN127" s="198"/>
      <c r="AO127" s="198"/>
      <c r="AP127" s="198"/>
      <c r="AQ127" s="198"/>
      <c r="AR127" s="198"/>
      <c r="AS127" s="198"/>
      <c r="AT127" s="198"/>
      <c r="AU127" s="198"/>
      <c r="AV127" s="198"/>
      <c r="AW127" s="198"/>
      <c r="AX127" s="198"/>
      <c r="AY127" s="198"/>
      <c r="AZ127" s="198"/>
      <c r="BA127" s="198"/>
      <c r="BB127" s="198"/>
      <c r="BC127" s="198"/>
      <c r="BD127" s="198"/>
      <c r="BE127" s="198"/>
      <c r="BF127" s="198"/>
      <c r="BG127" s="198"/>
      <c r="BH127" s="198"/>
      <c r="BI127" s="198"/>
      <c r="BJ127" s="198"/>
      <c r="BK127" s="198"/>
      <c r="BL127" s="198"/>
      <c r="BM127" s="198"/>
      <c r="BN127" s="198"/>
      <c r="BO127" s="198"/>
      <c r="BP127" s="198"/>
      <c r="BQ127" s="198"/>
      <c r="BR127" s="198"/>
      <c r="BS127" s="198"/>
      <c r="BT127" s="198"/>
      <c r="BU127" s="198"/>
      <c r="BV127" s="198"/>
      <c r="BW127" s="198"/>
      <c r="BX127" s="198"/>
    </row>
    <row r="128" spans="1:76" x14ac:dyDescent="0.25">
      <c r="A128" s="2" t="str">
        <f>'Language Index'!A152</f>
        <v>Standardized Distributable Cash</v>
      </c>
      <c r="B128" s="18">
        <f>_xll.ciqfunctions.udf.CIQ($C$2, "IQ_DISTRIBUTABLE_CASH_STANDARDIZED", D$6,$F$2,,,Ccy,Conv)</f>
        <v>0</v>
      </c>
      <c r="C128" s="18">
        <f>_xll.ciqfunctions.udf.CIQ($C$2, "IQ_DISTRIBUTABLE_CASH_STANDARDIZED", E$6,$F$2,,,Ccy,Conv)</f>
        <v>0</v>
      </c>
      <c r="D128" s="18">
        <f>_xll.ciqfunctions.udf.CIQ($C$2, "IQ_DISTRIBUTABLE_CASH_STANDARDIZED", F$6,$F$2,,,Ccy,Conv)</f>
        <v>0</v>
      </c>
      <c r="E128" s="18">
        <f>_xll.ciqfunctions.udf.CIQ($C$2, "IQ_DISTRIBUTABLE_CASH_STANDARDIZED", G$6,$F$2,,,Ccy,Conv)</f>
        <v>0</v>
      </c>
      <c r="F128" s="18">
        <f>_xll.ciqfunctions.udf.CIQ($C$2, "IQ_DISTRIBUTABLE_CASH_STANDARDIZED", H$6,$F$2,,,Ccy,Conv)</f>
        <v>0</v>
      </c>
      <c r="G128" s="18">
        <f>_xll.ciqfunctions.udf.CIQ($C$2, "IQ_DISTRIBUTABLE_CASH_STANDARDIZED", I$6,$F$2,,,Ccy,Conv)</f>
        <v>0</v>
      </c>
      <c r="H128" s="18">
        <f>_xll.ciqfunctions.udf.CIQ($C$2, "IQ_DISTRIBUTABLE_CASH_STANDARDIZED", J$6,$F$2,,,Ccy,Conv)</f>
        <v>0</v>
      </c>
      <c r="I128" s="18">
        <f>_xll.ciqfunctions.udf.CIQ($C$2, "IQ_DISTRIBUTABLE_CASH_STANDARDIZED", K$6,$F$2,,,Ccy,Conv)</f>
        <v>0</v>
      </c>
      <c r="J128" s="18">
        <f>_xll.ciqfunctions.udf.CIQ($C$2, "IQ_DISTRIBUTABLE_CASH_STANDARDIZED", L$6,$F$2,,,Ccy,Conv)</f>
        <v>0</v>
      </c>
      <c r="K128" s="18">
        <f>_xll.ciqfunctions.udf.CIQ($C$2, "IQ_DISTRIBUTABLE_CASH_STANDARDIZED", M$6,$F$2,,,Ccy,Conv)</f>
        <v>0</v>
      </c>
      <c r="L128" s="18">
        <f>_xll.ciqfunctions.udf.CIQ($C$2, "IQ_DISTRIBUTABLE_CASH_STANDARDIZED", N$6,$F$2,,,Ccy,Conv)</f>
        <v>0</v>
      </c>
      <c r="M128" s="18"/>
      <c r="N128" s="18">
        <f>_xll.ciqfunctions.udf.CIQ($C$2, "IQ_DISTRIBUTABLE_CASH_STANDARDIZED", P$6,$F$2,,,Ccy,Conv)</f>
        <v>0</v>
      </c>
      <c r="O128" s="221"/>
      <c r="P128" s="198"/>
      <c r="Q128" s="198"/>
      <c r="R128" s="198"/>
      <c r="S128" s="198"/>
      <c r="T128" s="223"/>
      <c r="U128" s="223"/>
      <c r="V128" s="223"/>
      <c r="W128" s="222"/>
      <c r="X128" s="215"/>
      <c r="Y128" s="215"/>
      <c r="Z128" s="215"/>
      <c r="AA128" s="215"/>
      <c r="AB128" s="215"/>
      <c r="AC128" s="198"/>
      <c r="AD128" s="198"/>
      <c r="AE128" s="198"/>
      <c r="AF128" s="215"/>
      <c r="AG128" s="198"/>
      <c r="AH128" s="198"/>
      <c r="AI128" s="198"/>
      <c r="AJ128" s="198"/>
      <c r="AK128" s="198"/>
      <c r="AL128" s="198"/>
      <c r="AM128" s="198"/>
      <c r="AN128" s="198"/>
      <c r="AO128" s="198"/>
      <c r="AP128" s="198"/>
      <c r="AQ128" s="198"/>
      <c r="AR128" s="198"/>
      <c r="AS128" s="198"/>
      <c r="AT128" s="198"/>
      <c r="AU128" s="198"/>
      <c r="AV128" s="198"/>
      <c r="AW128" s="198"/>
      <c r="AX128" s="198"/>
      <c r="AY128" s="198"/>
      <c r="AZ128" s="198"/>
      <c r="BA128" s="198"/>
      <c r="BB128" s="198"/>
      <c r="BC128" s="198"/>
      <c r="BD128" s="198"/>
      <c r="BE128" s="198"/>
      <c r="BF128" s="198"/>
      <c r="BG128" s="198"/>
      <c r="BH128" s="198"/>
      <c r="BI128" s="198"/>
      <c r="BJ128" s="198"/>
      <c r="BK128" s="198"/>
      <c r="BL128" s="198"/>
      <c r="BM128" s="198"/>
      <c r="BN128" s="198"/>
      <c r="BO128" s="198"/>
      <c r="BP128" s="198"/>
      <c r="BQ128" s="198"/>
      <c r="BR128" s="198"/>
      <c r="BS128" s="198"/>
      <c r="BT128" s="198"/>
      <c r="BU128" s="198"/>
      <c r="BV128" s="198"/>
      <c r="BW128" s="198"/>
      <c r="BX128" s="198"/>
    </row>
    <row r="129" spans="1:76" x14ac:dyDescent="0.25">
      <c r="A129" s="2" t="str">
        <f>'Language Index'!A95</f>
        <v>Distributable Cash Shares (Basic)</v>
      </c>
      <c r="B129" s="18">
        <f>_xll.ciqfunctions.udf.CIQ($C$2, "IQ_DISTRIBUTABLE_CASH_SHARES_BASIC", D$6,$F$2)</f>
        <v>0</v>
      </c>
      <c r="C129" s="18">
        <f>_xll.ciqfunctions.udf.CIQ($C$2, "IQ_DISTRIBUTABLE_CASH_SHARES_BASIC", E$6,$F$2)</f>
        <v>0</v>
      </c>
      <c r="D129" s="18">
        <f>_xll.ciqfunctions.udf.CIQ($C$2, "IQ_DISTRIBUTABLE_CASH_SHARES_BASIC", F$6,$F$2)</f>
        <v>0</v>
      </c>
      <c r="E129" s="18">
        <f>_xll.ciqfunctions.udf.CIQ($C$2, "IQ_DISTRIBUTABLE_CASH_SHARES_BASIC", G$6,$F$2)</f>
        <v>0</v>
      </c>
      <c r="F129" s="18">
        <f>_xll.ciqfunctions.udf.CIQ($C$2, "IQ_DISTRIBUTABLE_CASH_SHARES_BASIC", H$6,$F$2)</f>
        <v>0</v>
      </c>
      <c r="G129" s="18">
        <f>_xll.ciqfunctions.udf.CIQ($C$2, "IQ_DISTRIBUTABLE_CASH_SHARES_BASIC", I$6,$F$2)</f>
        <v>0</v>
      </c>
      <c r="H129" s="18">
        <f>_xll.ciqfunctions.udf.CIQ($C$2, "IQ_DISTRIBUTABLE_CASH_SHARES_BASIC", J$6,$F$2)</f>
        <v>0</v>
      </c>
      <c r="I129" s="18">
        <f>_xll.ciqfunctions.udf.CIQ($C$2, "IQ_DISTRIBUTABLE_CASH_SHARES_BASIC", K$6,$F$2)</f>
        <v>0</v>
      </c>
      <c r="J129" s="18">
        <f>_xll.ciqfunctions.udf.CIQ($C$2, "IQ_DISTRIBUTABLE_CASH_SHARES_BASIC", L$6,$F$2)</f>
        <v>0</v>
      </c>
      <c r="K129" s="18">
        <f>_xll.ciqfunctions.udf.CIQ($C$2, "IQ_DISTRIBUTABLE_CASH_SHARES_BASIC", M$6,$F$2)</f>
        <v>0</v>
      </c>
      <c r="L129" s="18">
        <f>_xll.ciqfunctions.udf.CIQ($C$2, "IQ_DISTRIBUTABLE_CASH_SHARES_BASIC", N$6,$F$2)</f>
        <v>0</v>
      </c>
      <c r="M129" s="18"/>
      <c r="N129" s="18">
        <f>_xll.ciqfunctions.udf.CIQ($C$2, "IQ_DISTRIBUTABLE_CASH_SHARES_BASIC", P$6,$F$2)</f>
        <v>0</v>
      </c>
      <c r="O129" s="221"/>
      <c r="P129" s="198"/>
      <c r="Q129" s="198"/>
      <c r="R129" s="198"/>
      <c r="S129" s="198"/>
      <c r="T129" s="223"/>
      <c r="U129" s="223"/>
      <c r="V129" s="223"/>
      <c r="W129" s="222"/>
      <c r="X129" s="215"/>
      <c r="Y129" s="215"/>
      <c r="Z129" s="215"/>
      <c r="AA129" s="215"/>
      <c r="AB129" s="215"/>
      <c r="AC129" s="198"/>
      <c r="AD129" s="198"/>
      <c r="AE129" s="198"/>
      <c r="AF129" s="215"/>
      <c r="AG129" s="198"/>
      <c r="AH129" s="198"/>
      <c r="AI129" s="198"/>
      <c r="AJ129" s="198"/>
      <c r="AK129" s="198"/>
      <c r="AL129" s="198"/>
      <c r="AM129" s="198"/>
      <c r="AN129" s="198"/>
      <c r="AO129" s="198"/>
      <c r="AP129" s="198"/>
      <c r="AQ129" s="198"/>
      <c r="AR129" s="198"/>
      <c r="AS129" s="198"/>
      <c r="AT129" s="198"/>
      <c r="AU129" s="198"/>
      <c r="AV129" s="198"/>
      <c r="AW129" s="198"/>
      <c r="AX129" s="198"/>
      <c r="AY129" s="198"/>
      <c r="AZ129" s="198"/>
      <c r="BA129" s="198"/>
      <c r="BB129" s="198"/>
      <c r="BC129" s="198"/>
      <c r="BD129" s="198"/>
      <c r="BE129" s="198"/>
      <c r="BF129" s="198"/>
      <c r="BG129" s="198"/>
      <c r="BH129" s="198"/>
      <c r="BI129" s="198"/>
      <c r="BJ129" s="198"/>
      <c r="BK129" s="198"/>
      <c r="BL129" s="198"/>
      <c r="BM129" s="198"/>
      <c r="BN129" s="198"/>
      <c r="BO129" s="198"/>
      <c r="BP129" s="198"/>
      <c r="BQ129" s="198"/>
      <c r="BR129" s="198"/>
      <c r="BS129" s="198"/>
      <c r="BT129" s="198"/>
      <c r="BU129" s="198"/>
      <c r="BV129" s="198"/>
      <c r="BW129" s="198"/>
      <c r="BX129" s="198"/>
    </row>
    <row r="130" spans="1:76" x14ac:dyDescent="0.25">
      <c r="A130" s="2" t="str">
        <f>'Language Index'!A96</f>
        <v>Distributable Cash Shares (Diluted)</v>
      </c>
      <c r="B130" s="18">
        <f>_xll.ciqfunctions.udf.CIQ($C$2, "IQ_DISTRIBUTABLE_CASH_SHARES_DILUTED", D$6,$F$2)</f>
        <v>0</v>
      </c>
      <c r="C130" s="18">
        <f>_xll.ciqfunctions.udf.CIQ($C$2, "IQ_DISTRIBUTABLE_CASH_SHARES_DILUTED", E$6,$F$2)</f>
        <v>0</v>
      </c>
      <c r="D130" s="18">
        <f>_xll.ciqfunctions.udf.CIQ($C$2, "IQ_DISTRIBUTABLE_CASH_SHARES_DILUTED", F$6,$F$2)</f>
        <v>0</v>
      </c>
      <c r="E130" s="18">
        <f>_xll.ciqfunctions.udf.CIQ($C$2, "IQ_DISTRIBUTABLE_CASH_SHARES_DILUTED", G$6,$F$2)</f>
        <v>0</v>
      </c>
      <c r="F130" s="18">
        <f>_xll.ciqfunctions.udf.CIQ($C$2, "IQ_DISTRIBUTABLE_CASH_SHARES_DILUTED", H$6,$F$2)</f>
        <v>0</v>
      </c>
      <c r="G130" s="18">
        <f>_xll.ciqfunctions.udf.CIQ($C$2, "IQ_DISTRIBUTABLE_CASH_SHARES_DILUTED", I$6,$F$2)</f>
        <v>0</v>
      </c>
      <c r="H130" s="18">
        <f>_xll.ciqfunctions.udf.CIQ($C$2, "IQ_DISTRIBUTABLE_CASH_SHARES_DILUTED", J$6,$F$2)</f>
        <v>0</v>
      </c>
      <c r="I130" s="18">
        <f>_xll.ciqfunctions.udf.CIQ($C$2, "IQ_DISTRIBUTABLE_CASH_SHARES_DILUTED", K$6,$F$2)</f>
        <v>0</v>
      </c>
      <c r="J130" s="18">
        <f>_xll.ciqfunctions.udf.CIQ($C$2, "IQ_DISTRIBUTABLE_CASH_SHARES_DILUTED", L$6,$F$2)</f>
        <v>0</v>
      </c>
      <c r="K130" s="18">
        <f>_xll.ciqfunctions.udf.CIQ($C$2, "IQ_DISTRIBUTABLE_CASH_SHARES_DILUTED", M$6,$F$2)</f>
        <v>0</v>
      </c>
      <c r="L130" s="18">
        <f>_xll.ciqfunctions.udf.CIQ($C$2, "IQ_DISTRIBUTABLE_CASH_SHARES_DILUTED", N$6,$F$2)</f>
        <v>0</v>
      </c>
      <c r="M130" s="18"/>
      <c r="N130" s="18">
        <f>_xll.ciqfunctions.udf.CIQ($C$2, "IQ_DISTRIBUTABLE_CASH_SHARES_DILUTED", P$6,$F$2)</f>
        <v>0</v>
      </c>
      <c r="O130" s="221"/>
      <c r="P130" s="198"/>
      <c r="Q130" s="198"/>
      <c r="R130" s="198"/>
      <c r="S130" s="198"/>
      <c r="T130" s="223"/>
      <c r="U130" s="223"/>
      <c r="V130" s="223"/>
      <c r="W130" s="222"/>
      <c r="X130" s="215"/>
      <c r="Y130" s="215"/>
      <c r="Z130" s="215"/>
      <c r="AA130" s="215"/>
      <c r="AB130" s="215"/>
      <c r="AC130" s="198"/>
      <c r="AD130" s="198"/>
      <c r="AE130" s="198"/>
      <c r="AF130" s="215"/>
      <c r="AG130" s="198"/>
      <c r="AH130" s="198"/>
      <c r="AI130" s="198"/>
      <c r="AJ130" s="198"/>
      <c r="AK130" s="198"/>
      <c r="AL130" s="198"/>
      <c r="AM130" s="198"/>
      <c r="AN130" s="198"/>
      <c r="AO130" s="198"/>
      <c r="AP130" s="198"/>
      <c r="AQ130" s="198"/>
      <c r="AR130" s="198"/>
      <c r="AS130" s="198"/>
      <c r="AT130" s="198"/>
      <c r="AU130" s="198"/>
      <c r="AV130" s="198"/>
      <c r="AW130" s="198"/>
      <c r="AX130" s="198"/>
      <c r="AY130" s="198"/>
      <c r="AZ130" s="198"/>
      <c r="BA130" s="198"/>
      <c r="BB130" s="198"/>
      <c r="BC130" s="198"/>
      <c r="BD130" s="198"/>
      <c r="BE130" s="198"/>
      <c r="BF130" s="198"/>
      <c r="BG130" s="198"/>
      <c r="BH130" s="198"/>
      <c r="BI130" s="198"/>
      <c r="BJ130" s="198"/>
      <c r="BK130" s="198"/>
      <c r="BL130" s="198"/>
      <c r="BM130" s="198"/>
      <c r="BN130" s="198"/>
      <c r="BO130" s="198"/>
      <c r="BP130" s="198"/>
      <c r="BQ130" s="198"/>
      <c r="BR130" s="198"/>
      <c r="BS130" s="198"/>
      <c r="BT130" s="198"/>
      <c r="BU130" s="198"/>
      <c r="BV130" s="198"/>
      <c r="BW130" s="198"/>
      <c r="BX130" s="198"/>
    </row>
    <row r="131" spans="1:76" x14ac:dyDescent="0.25">
      <c r="A131" s="2" t="str">
        <f>'Language Index'!A153</f>
        <v>Annualized Distributions per Unit</v>
      </c>
      <c r="B131" s="18">
        <f>_xll.ciqfunctions.udf.CIQ($C$2, "IQ_ANNU_DISTRIBUTION_UNIT", D$6,$F$2,,,Ccy,Conv)</f>
        <v>0</v>
      </c>
      <c r="C131" s="18">
        <f>_xll.ciqfunctions.udf.CIQ($C$2, "IQ_ANNU_DISTRIBUTION_UNIT", E$6,$F$2,,,Ccy,Conv)</f>
        <v>0</v>
      </c>
      <c r="D131" s="18">
        <f>_xll.ciqfunctions.udf.CIQ($C$2, "IQ_ANNU_DISTRIBUTION_UNIT", F$6,$F$2,,,Ccy,Conv)</f>
        <v>0</v>
      </c>
      <c r="E131" s="18">
        <f>_xll.ciqfunctions.udf.CIQ($C$2, "IQ_ANNU_DISTRIBUTION_UNIT", G$6,$F$2,,,Ccy,Conv)</f>
        <v>0</v>
      </c>
      <c r="F131" s="18">
        <f>_xll.ciqfunctions.udf.CIQ($C$2, "IQ_ANNU_DISTRIBUTION_UNIT", H$6,$F$2,,,Ccy,Conv)</f>
        <v>0</v>
      </c>
      <c r="G131" s="18">
        <f>_xll.ciqfunctions.udf.CIQ($C$2, "IQ_ANNU_DISTRIBUTION_UNIT", I$6,$F$2,,,Ccy,Conv)</f>
        <v>0</v>
      </c>
      <c r="H131" s="18">
        <f>_xll.ciqfunctions.udf.CIQ($C$2, "IQ_ANNU_DISTRIBUTION_UNIT", J$6,$F$2,,,Ccy,Conv)</f>
        <v>0</v>
      </c>
      <c r="I131" s="18">
        <f>_xll.ciqfunctions.udf.CIQ($C$2, "IQ_ANNU_DISTRIBUTION_UNIT", K$6,$F$2,,,Ccy,Conv)</f>
        <v>0</v>
      </c>
      <c r="J131" s="18">
        <f>_xll.ciqfunctions.udf.CIQ($C$2, "IQ_ANNU_DISTRIBUTION_UNIT", L$6,$F$2,,,Ccy,Conv)</f>
        <v>0</v>
      </c>
      <c r="K131" s="18">
        <f>_xll.ciqfunctions.udf.CIQ($C$2, "IQ_ANNU_DISTRIBUTION_UNIT", M$6,$F$2,,,Ccy,Conv)</f>
        <v>0</v>
      </c>
      <c r="L131" s="18">
        <f>_xll.ciqfunctions.udf.CIQ($C$2, "IQ_ANNU_DISTRIBUTION_UNIT", N$6,$F$2,,,Ccy,Conv)</f>
        <v>0</v>
      </c>
      <c r="M131" s="18"/>
      <c r="N131" s="18">
        <f>_xll.ciqfunctions.udf.CIQ($C$2, "IQ_ANNU_DISTRIBUTION_UNIT", P$6,$F$2,,,Ccy,Conv)</f>
        <v>0</v>
      </c>
      <c r="O131" s="221"/>
      <c r="P131" s="198"/>
      <c r="Q131" s="198"/>
      <c r="R131" s="198"/>
      <c r="S131" s="198"/>
      <c r="T131" s="223"/>
      <c r="U131" s="223"/>
      <c r="V131" s="223"/>
      <c r="W131" s="222"/>
      <c r="X131" s="215"/>
      <c r="Y131" s="215"/>
      <c r="Z131" s="215"/>
      <c r="AA131" s="215"/>
      <c r="AB131" s="215"/>
      <c r="AC131" s="198"/>
      <c r="AD131" s="198"/>
      <c r="AE131" s="198"/>
      <c r="AF131" s="215"/>
      <c r="AG131" s="198"/>
      <c r="AH131" s="198"/>
      <c r="AI131" s="198"/>
      <c r="AJ131" s="198"/>
      <c r="AK131" s="198"/>
      <c r="AL131" s="198"/>
      <c r="AM131" s="198"/>
      <c r="AN131" s="198"/>
      <c r="AO131" s="198"/>
      <c r="AP131" s="198"/>
      <c r="AQ131" s="198"/>
      <c r="AR131" s="198"/>
      <c r="AS131" s="198"/>
      <c r="AT131" s="198"/>
      <c r="AU131" s="198"/>
      <c r="AV131" s="198"/>
      <c r="AW131" s="198"/>
      <c r="AX131" s="198"/>
      <c r="AY131" s="198"/>
      <c r="AZ131" s="198"/>
      <c r="BA131" s="198"/>
      <c r="BB131" s="198"/>
      <c r="BC131" s="198"/>
      <c r="BD131" s="198"/>
      <c r="BE131" s="198"/>
      <c r="BF131" s="198"/>
      <c r="BG131" s="198"/>
      <c r="BH131" s="198"/>
      <c r="BI131" s="198"/>
      <c r="BJ131" s="198"/>
      <c r="BK131" s="198"/>
      <c r="BL131" s="198"/>
      <c r="BM131" s="198"/>
      <c r="BN131" s="198"/>
      <c r="BO131" s="198"/>
      <c r="BP131" s="198"/>
      <c r="BQ131" s="198"/>
      <c r="BR131" s="198"/>
      <c r="BS131" s="198"/>
      <c r="BT131" s="198"/>
      <c r="BU131" s="198"/>
      <c r="BV131" s="198"/>
      <c r="BW131" s="198"/>
      <c r="BX131" s="198"/>
    </row>
    <row r="132" spans="1:76" x14ac:dyDescent="0.25">
      <c r="A132" s="2" t="str">
        <f>'Language Index'!A154</f>
        <v>Distributable Cash Payout Ratio (Income Trusts)</v>
      </c>
      <c r="B132" s="18">
        <f>_xll.ciqfunctions.udf.CIQ($C$2, "IQ_DISTRIBUTABLE_CASH_PAYOUT", D$6,$F$2)</f>
        <v>0</v>
      </c>
      <c r="C132" s="18">
        <f>_xll.ciqfunctions.udf.CIQ($C$2, "IQ_DISTRIBUTABLE_CASH_PAYOUT", E$6,$F$2)</f>
        <v>0</v>
      </c>
      <c r="D132" s="18">
        <f>_xll.ciqfunctions.udf.CIQ($C$2, "IQ_DISTRIBUTABLE_CASH_PAYOUT", F$6,$F$2)</f>
        <v>0</v>
      </c>
      <c r="E132" s="18">
        <f>_xll.ciqfunctions.udf.CIQ($C$2, "IQ_DISTRIBUTABLE_CASH_PAYOUT", G$6,$F$2)</f>
        <v>0</v>
      </c>
      <c r="F132" s="18">
        <f>_xll.ciqfunctions.udf.CIQ($C$2, "IQ_DISTRIBUTABLE_CASH_PAYOUT", H$6,$F$2)</f>
        <v>0</v>
      </c>
      <c r="G132" s="18">
        <f>_xll.ciqfunctions.udf.CIQ($C$2, "IQ_DISTRIBUTABLE_CASH_PAYOUT", I$6,$F$2)</f>
        <v>0</v>
      </c>
      <c r="H132" s="18">
        <f>_xll.ciqfunctions.udf.CIQ($C$2, "IQ_DISTRIBUTABLE_CASH_PAYOUT", J$6,$F$2)</f>
        <v>0</v>
      </c>
      <c r="I132" s="18">
        <f>_xll.ciqfunctions.udf.CIQ($C$2, "IQ_DISTRIBUTABLE_CASH_PAYOUT", K$6,$F$2)</f>
        <v>0</v>
      </c>
      <c r="J132" s="18">
        <f>_xll.ciqfunctions.udf.CIQ($C$2, "IQ_DISTRIBUTABLE_CASH_PAYOUT", L$6,$F$2)</f>
        <v>0</v>
      </c>
      <c r="K132" s="18">
        <f>_xll.ciqfunctions.udf.CIQ($C$2, "IQ_DISTRIBUTABLE_CASH_PAYOUT", M$6,$F$2)</f>
        <v>0</v>
      </c>
      <c r="L132" s="18">
        <f>_xll.ciqfunctions.udf.CIQ($C$2, "IQ_DISTRIBUTABLE_CASH_PAYOUT", N$6,$F$2)</f>
        <v>0</v>
      </c>
      <c r="M132" s="18"/>
      <c r="N132" s="18">
        <f>_xll.ciqfunctions.udf.CIQ($C$2, "IQ_DISTRIBUTABLE_CASH_PAYOUT", P$6,$F$2)</f>
        <v>0</v>
      </c>
      <c r="O132" s="221"/>
      <c r="P132" s="198"/>
      <c r="Q132" s="198"/>
      <c r="R132" s="198"/>
      <c r="S132" s="198"/>
      <c r="T132" s="223"/>
      <c r="U132" s="223"/>
      <c r="V132" s="223"/>
      <c r="W132" s="222"/>
      <c r="X132" s="215"/>
      <c r="Y132" s="215"/>
      <c r="Z132" s="215"/>
      <c r="AA132" s="215"/>
      <c r="AB132" s="215"/>
      <c r="AC132" s="198"/>
      <c r="AD132" s="198"/>
      <c r="AE132" s="198"/>
      <c r="AF132" s="215"/>
      <c r="AG132" s="198"/>
      <c r="AH132" s="198"/>
      <c r="AI132" s="198"/>
      <c r="AJ132" s="198"/>
      <c r="AK132" s="198"/>
      <c r="AL132" s="198"/>
      <c r="AM132" s="198"/>
      <c r="AN132" s="198"/>
      <c r="AO132" s="198"/>
      <c r="AP132" s="198"/>
      <c r="AQ132" s="198"/>
      <c r="AR132" s="198"/>
      <c r="AS132" s="198"/>
      <c r="AT132" s="198"/>
      <c r="AU132" s="198"/>
      <c r="AV132" s="198"/>
      <c r="AW132" s="198"/>
      <c r="AX132" s="198"/>
      <c r="AY132" s="198"/>
      <c r="AZ132" s="198"/>
      <c r="BA132" s="198"/>
      <c r="BB132" s="198"/>
      <c r="BC132" s="198"/>
      <c r="BD132" s="198"/>
      <c r="BE132" s="198"/>
      <c r="BF132" s="198"/>
      <c r="BG132" s="198"/>
      <c r="BH132" s="198"/>
      <c r="BI132" s="198"/>
      <c r="BJ132" s="198"/>
      <c r="BK132" s="198"/>
      <c r="BL132" s="198"/>
      <c r="BM132" s="198"/>
      <c r="BN132" s="198"/>
      <c r="BO132" s="198"/>
      <c r="BP132" s="198"/>
      <c r="BQ132" s="198"/>
      <c r="BR132" s="198"/>
      <c r="BS132" s="198"/>
      <c r="BT132" s="198"/>
      <c r="BU132" s="198"/>
      <c r="BV132" s="198"/>
      <c r="BW132" s="198"/>
      <c r="BX132" s="198"/>
    </row>
    <row r="133" spans="1:76" x14ac:dyDescent="0.25">
      <c r="A133" s="2" t="str">
        <f>'Language Index'!A155</f>
        <v>Common Stock Dividend Declared</v>
      </c>
      <c r="B133" s="18">
        <f>_xll.ciqfunctions.udf.CIQ($C$2, "IQ_COMMON_DIV", D$6,$F$2,,,Ccy,Conv)</f>
        <v>4265</v>
      </c>
      <c r="C133" s="18">
        <f>_xll.ciqfunctions.udf.CIQ($C$2, "IQ_COMMON_DIV", E$6,$F$2,,,Ccy,Conv)</f>
        <v>4897</v>
      </c>
      <c r="D133" s="18">
        <f>_xll.ciqfunctions.udf.CIQ($C$2, "IQ_COMMON_DIV", F$6,$F$2,,,Ccy,Conv)</f>
        <v>5256</v>
      </c>
      <c r="E133" s="18">
        <f>_xll.ciqfunctions.udf.CIQ($C$2, "IQ_COMMON_DIV", G$6,$F$2,,,Ccy,Conv)</f>
        <v>5506</v>
      </c>
      <c r="F133" s="18">
        <f>_xll.ciqfunctions.udf.CIQ($C$2, "IQ_COMMON_DIV", H$6,$F$2,,,Ccy,Conv)</f>
        <v>5666</v>
      </c>
      <c r="G133" s="18">
        <f>_xll.ciqfunctions.udf.CIQ($C$2, "IQ_COMMON_DIV", I$6,$F$2,,,Ccy,Conv)</f>
        <v>5707</v>
      </c>
      <c r="H133" s="18">
        <f>_xll.ciqfunctions.udf.CIQ($C$2, "IQ_COMMON_DIV", J$6,$F$2,,,Ccy,Conv)</f>
        <v>5797</v>
      </c>
      <c r="I133" s="18">
        <f>_xll.ciqfunctions.udf.CIQ($C$2, "IQ_COMMON_DIV", K$6,$F$2,,,Ccy,Conv)</f>
        <v>5869</v>
      </c>
      <c r="J133" s="18">
        <f>_xll.ciqfunctions.udf.CIQ($C$2, "IQ_COMMON_DIV", L$6,$F$2,,,Ccy,Conv)</f>
        <v>5948</v>
      </c>
      <c r="K133" s="18">
        <f>_xll.ciqfunctions.udf.CIQ($C$2, "IQ_COMMON_DIV", M$6,$F$2,,,Ccy,Conv)</f>
        <v>6040</v>
      </c>
      <c r="L133" s="18">
        <f>_xll.ciqfunctions.udf.CIQ($C$2, "IQ_COMMON_DIV", N$6,$F$2,,,Ccy,Conv)</f>
        <v>6147</v>
      </c>
      <c r="M133" s="18"/>
      <c r="N133" s="18">
        <f>_xll.ciqfunctions.udf.CIQ($C$2, "IQ_COMMON_DIV", P$6,$F$2,,,Ccy,Conv)</f>
        <v>6147</v>
      </c>
      <c r="O133" s="221"/>
      <c r="P133" s="198"/>
      <c r="Q133" s="198"/>
      <c r="R133" s="198"/>
      <c r="S133" s="198"/>
      <c r="T133" s="223"/>
      <c r="U133" s="223"/>
      <c r="V133" s="223"/>
      <c r="W133" s="222"/>
      <c r="X133" s="215"/>
      <c r="Y133" s="215"/>
      <c r="Z133" s="215"/>
      <c r="AA133" s="215"/>
      <c r="AB133" s="215"/>
      <c r="AC133" s="198"/>
      <c r="AD133" s="198"/>
      <c r="AE133" s="198"/>
      <c r="AF133" s="215"/>
      <c r="AG133" s="198"/>
      <c r="AH133" s="198"/>
      <c r="AI133" s="198"/>
      <c r="AJ133" s="198"/>
      <c r="AK133" s="198"/>
      <c r="AL133" s="198"/>
      <c r="AM133" s="198"/>
      <c r="AN133" s="198"/>
      <c r="AO133" s="198"/>
      <c r="AP133" s="198"/>
      <c r="AQ133" s="198"/>
      <c r="AR133" s="198"/>
      <c r="AS133" s="198"/>
      <c r="AT133" s="198"/>
      <c r="AU133" s="198"/>
      <c r="AV133" s="198"/>
      <c r="AW133" s="198"/>
      <c r="AX133" s="198"/>
      <c r="AY133" s="198"/>
      <c r="AZ133" s="198"/>
      <c r="BA133" s="198"/>
      <c r="BB133" s="198"/>
      <c r="BC133" s="198"/>
      <c r="BD133" s="198"/>
      <c r="BE133" s="198"/>
      <c r="BF133" s="198"/>
      <c r="BG133" s="198"/>
      <c r="BH133" s="198"/>
      <c r="BI133" s="198"/>
      <c r="BJ133" s="198"/>
      <c r="BK133" s="198"/>
      <c r="BL133" s="198"/>
      <c r="BM133" s="198"/>
      <c r="BN133" s="198"/>
      <c r="BO133" s="198"/>
      <c r="BP133" s="198"/>
      <c r="BQ133" s="198"/>
      <c r="BR133" s="198"/>
      <c r="BS133" s="198"/>
      <c r="BT133" s="198"/>
      <c r="BU133" s="198"/>
      <c r="BV133" s="198"/>
      <c r="BW133" s="198"/>
      <c r="BX133" s="198"/>
    </row>
    <row r="134" spans="1:76" x14ac:dyDescent="0.25">
      <c r="A134" s="2" t="str">
        <f>'Language Index'!A156</f>
        <v>Effective Tax Rate (%)</v>
      </c>
      <c r="B134" s="18">
        <f>_xll.ciqfunctions.udf.CIQ($C$2, "IQ_EFFECT_TAX_RATE", D$6,$F$2)</f>
        <v>21.1858</v>
      </c>
      <c r="C134" s="18">
        <f>_xll.ciqfunctions.udf.CIQ($C$2, "IQ_EFFECT_TAX_RATE", E$6,$F$2)</f>
        <v>16.186800000000002</v>
      </c>
      <c r="D134" s="18">
        <f>_xll.ciqfunctions.udf.CIQ($C$2, "IQ_EFFECT_TAX_RATE", F$6,$F$2)</f>
        <v>3.6415000000000002</v>
      </c>
      <c r="E134" s="18">
        <f>_xll.ciqfunctions.udf.CIQ($C$2, "IQ_EFFECT_TAX_RATE", G$6,$F$2)</f>
        <v>49.491199999999999</v>
      </c>
      <c r="F134" s="18">
        <f>_xll.ciqfunctions.udf.CIQ($C$2, "IQ_EFFECT_TAX_RATE", H$6,$F$2)</f>
        <v>23.091100000000001</v>
      </c>
      <c r="G134" s="18">
        <f>_xll.ciqfunctions.udf.CIQ($C$2, "IQ_EFFECT_TAX_RATE", I$6,$F$2)</f>
        <v>0.83260000000000001</v>
      </c>
      <c r="H134" s="18" t="str">
        <f>_xll.ciqfunctions.udf.CIQ($C$2, "IQ_EFFECT_TAX_RATE", J$6,$F$2)</f>
        <v>NM</v>
      </c>
      <c r="I134" s="18">
        <f>_xll.ciqfunctions.udf.CIQ($C$2, "IQ_EFFECT_TAX_RATE", K$6,$F$2)</f>
        <v>2.5634999999999999</v>
      </c>
      <c r="J134" s="18" t="str">
        <f>_xll.ciqfunctions.udf.CIQ($C$2, "IQ_EFFECT_TAX_RATE", L$6,$F$2)</f>
        <v>NM</v>
      </c>
      <c r="K134" s="18">
        <f>_xll.ciqfunctions.udf.CIQ($C$2, "IQ_EFFECT_TAX_RATE", M$6,$F$2)</f>
        <v>13.5327</v>
      </c>
      <c r="L134" s="18" t="str">
        <f>_xll.ciqfunctions.udf.CIQ($C$2, "IQ_EFFECT_TAX_RATE", N$6,$F$2)</f>
        <v>NM</v>
      </c>
      <c r="M134" s="18"/>
      <c r="N134" s="18" t="str">
        <f>_xll.ciqfunctions.udf.CIQ($C$2, "IQ_EFFECT_TAX_RATE", P$6,$F$2)</f>
        <v>NM</v>
      </c>
      <c r="O134" s="221"/>
      <c r="P134" s="198"/>
      <c r="Q134" s="198"/>
      <c r="R134" s="198"/>
      <c r="S134" s="198"/>
      <c r="T134" s="223"/>
      <c r="U134" s="223"/>
      <c r="V134" s="223"/>
      <c r="W134" s="222"/>
      <c r="X134" s="215"/>
      <c r="Y134" s="215"/>
      <c r="Z134" s="215"/>
      <c r="AA134" s="215"/>
      <c r="AB134" s="215"/>
      <c r="AC134" s="198"/>
      <c r="AD134" s="198"/>
      <c r="AE134" s="198"/>
      <c r="AF134" s="215"/>
      <c r="AG134" s="198"/>
      <c r="AH134" s="198"/>
      <c r="AI134" s="198"/>
      <c r="AJ134" s="198"/>
      <c r="AK134" s="198"/>
      <c r="AL134" s="198"/>
      <c r="AM134" s="198"/>
      <c r="AN134" s="198"/>
      <c r="AO134" s="198"/>
      <c r="AP134" s="198"/>
      <c r="AQ134" s="198"/>
      <c r="AR134" s="198"/>
      <c r="AS134" s="198"/>
      <c r="AT134" s="198"/>
      <c r="AU134" s="198"/>
      <c r="AV134" s="198"/>
      <c r="AW134" s="198"/>
      <c r="AX134" s="198"/>
      <c r="AY134" s="198"/>
      <c r="AZ134" s="198"/>
      <c r="BA134" s="198"/>
      <c r="BB134" s="198"/>
      <c r="BC134" s="198"/>
      <c r="BD134" s="198"/>
      <c r="BE134" s="198"/>
      <c r="BF134" s="198"/>
      <c r="BG134" s="198"/>
      <c r="BH134" s="198"/>
      <c r="BI134" s="198"/>
      <c r="BJ134" s="198"/>
      <c r="BK134" s="198"/>
      <c r="BL134" s="198"/>
      <c r="BM134" s="198"/>
      <c r="BN134" s="198"/>
      <c r="BO134" s="198"/>
      <c r="BP134" s="198"/>
      <c r="BQ134" s="198"/>
      <c r="BR134" s="198"/>
      <c r="BS134" s="198"/>
      <c r="BT134" s="198"/>
      <c r="BU134" s="198"/>
      <c r="BV134" s="198"/>
      <c r="BW134" s="198"/>
      <c r="BX134" s="198"/>
    </row>
    <row r="135" spans="1:76" x14ac:dyDescent="0.25">
      <c r="A135" s="2" t="str">
        <f>'Language Index'!A157</f>
        <v>Payout Ratio (%)</v>
      </c>
      <c r="B135" s="18">
        <f>_xll.ciqfunctions.udf.CIQ($C$2, "IQ_PAYOUT_RATIO", D$6,$F$2)</f>
        <v>35.476599999999998</v>
      </c>
      <c r="C135" s="18">
        <f>_xll.ciqfunctions.udf.CIQ($C$2, "IQ_PAYOUT_RATIO", E$6,$F$2)</f>
        <v>37.126600000000003</v>
      </c>
      <c r="D135" s="18">
        <f>_xll.ciqfunctions.udf.CIQ($C$2, "IQ_PAYOUT_RATIO", F$6,$F$2)</f>
        <v>44.272199999999998</v>
      </c>
      <c r="E135" s="18">
        <f>_xll.ciqfunctions.udf.CIQ($C$2, "IQ_PAYOUT_RATIO", G$6,$F$2)</f>
        <v>95.706500000000005</v>
      </c>
      <c r="F135" s="18">
        <f>_xll.ciqfunctions.udf.CIQ($C$2, "IQ_PAYOUT_RATIO", H$6,$F$2)</f>
        <v>64.917500000000004</v>
      </c>
      <c r="G135" s="18">
        <f>_xll.ciqfunctions.udf.CIQ($C$2, "IQ_PAYOUT_RATIO", I$6,$F$2)</f>
        <v>60.513199999999998</v>
      </c>
      <c r="H135" s="18">
        <f>_xll.ciqfunctions.udf.CIQ($C$2, "IQ_PAYOUT_RATIO", J$6,$F$2)</f>
        <v>103.703</v>
      </c>
      <c r="I135" s="18">
        <f>_xll.ciqfunctions.udf.CIQ($C$2, "IQ_PAYOUT_RATIO", K$6,$F$2)</f>
        <v>102.1939</v>
      </c>
      <c r="J135" s="18">
        <f>_xll.ciqfunctions.udf.CIQ($C$2, "IQ_PAYOUT_RATIO", L$6,$F$2)</f>
        <v>362.9042</v>
      </c>
      <c r="K135" s="18">
        <f>_xll.ciqfunctions.udf.CIQ($C$2, "IQ_PAYOUT_RATIO", M$6,$F$2)</f>
        <v>80.511799999999994</v>
      </c>
      <c r="L135" s="18">
        <f>_xll.ciqfunctions.udf.CIQ($C$2, "IQ_PAYOUT_RATIO", N$6,$F$2)</f>
        <v>102.0587</v>
      </c>
      <c r="M135" s="18"/>
      <c r="N135" s="18">
        <f>_xll.ciqfunctions.udf.CIQ($C$2, "IQ_PAYOUT_RATIO", P$6,$F$2)</f>
        <v>102.0587</v>
      </c>
      <c r="O135" s="221"/>
      <c r="P135" s="198"/>
      <c r="Q135" s="198"/>
      <c r="R135" s="198"/>
      <c r="S135" s="198"/>
      <c r="T135" s="205"/>
      <c r="U135" s="205"/>
      <c r="V135" s="205"/>
      <c r="W135" s="198"/>
      <c r="X135" s="198"/>
      <c r="Y135" s="198"/>
      <c r="Z135" s="198"/>
      <c r="AA135" s="198"/>
      <c r="AB135" s="198"/>
      <c r="AC135" s="198"/>
      <c r="AD135" s="198"/>
      <c r="AE135" s="198"/>
      <c r="AF135" s="198"/>
      <c r="AG135" s="198"/>
      <c r="AH135" s="198"/>
      <c r="AI135" s="198"/>
      <c r="AJ135" s="198"/>
      <c r="AK135" s="198"/>
      <c r="AL135" s="198"/>
      <c r="AM135" s="198"/>
      <c r="AN135" s="198"/>
      <c r="AO135" s="198"/>
      <c r="AP135" s="198"/>
      <c r="AQ135" s="198"/>
      <c r="AR135" s="198"/>
      <c r="AS135" s="198"/>
      <c r="AT135" s="198"/>
      <c r="AU135" s="198"/>
      <c r="AV135" s="198"/>
      <c r="AW135" s="198"/>
      <c r="AX135" s="198"/>
      <c r="AY135" s="198"/>
      <c r="AZ135" s="198"/>
      <c r="BA135" s="198"/>
      <c r="BB135" s="198"/>
      <c r="BC135" s="198"/>
      <c r="BD135" s="198"/>
      <c r="BE135" s="198"/>
      <c r="BF135" s="198"/>
      <c r="BG135" s="198"/>
      <c r="BH135" s="198"/>
      <c r="BI135" s="198"/>
      <c r="BJ135" s="198"/>
      <c r="BK135" s="198"/>
      <c r="BL135" s="198"/>
      <c r="BM135" s="198"/>
      <c r="BN135" s="198"/>
      <c r="BO135" s="198"/>
      <c r="BP135" s="198"/>
      <c r="BQ135" s="198"/>
      <c r="BR135" s="198"/>
      <c r="BS135" s="198"/>
      <c r="BT135" s="198"/>
      <c r="BU135" s="198"/>
      <c r="BV135" s="198"/>
      <c r="BW135" s="198"/>
      <c r="BX135" s="198"/>
    </row>
    <row r="136" spans="1:76" x14ac:dyDescent="0.25">
      <c r="A136" s="2" t="str">
        <f>'Language Index'!A158</f>
        <v>Debt Issuance Costs</v>
      </c>
      <c r="B136" s="18">
        <f>_xll.ciqfunctions.udf.CIQ($C$2, "IQ_DIC", D$6,$F$2,,,Ccy,Conv)</f>
        <v>0</v>
      </c>
      <c r="C136" s="18">
        <f>_xll.ciqfunctions.udf.CIQ($C$2, "IQ_DIC", E$6,$F$2,,,Ccy,Conv)</f>
        <v>0</v>
      </c>
      <c r="D136" s="18">
        <f>_xll.ciqfunctions.udf.CIQ($C$2, "IQ_DIC", F$6,$F$2,,,Ccy,Conv)</f>
        <v>0</v>
      </c>
      <c r="E136" s="18">
        <f>_xll.ciqfunctions.udf.CIQ($C$2, "IQ_DIC", G$6,$F$2,,,Ccy,Conv)</f>
        <v>0</v>
      </c>
      <c r="F136" s="18">
        <f>_xll.ciqfunctions.udf.CIQ($C$2, "IQ_DIC", H$6,$F$2,,,Ccy,Conv)</f>
        <v>0</v>
      </c>
      <c r="G136" s="18">
        <f>_xll.ciqfunctions.udf.CIQ($C$2, "IQ_DIC", I$6,$F$2,,,Ccy,Conv)</f>
        <v>0</v>
      </c>
      <c r="H136" s="18">
        <f>_xll.ciqfunctions.udf.CIQ($C$2, "IQ_DIC", J$6,$F$2,,,Ccy,Conv)</f>
        <v>0</v>
      </c>
      <c r="I136" s="18">
        <f>_xll.ciqfunctions.udf.CIQ($C$2, "IQ_DIC", K$6,$F$2,,,Ccy,Conv)</f>
        <v>0</v>
      </c>
      <c r="J136" s="18">
        <f>_xll.ciqfunctions.udf.CIQ($C$2, "IQ_DIC", L$6,$F$2,,,Ccy,Conv)</f>
        <v>0</v>
      </c>
      <c r="K136" s="18">
        <f>_xll.ciqfunctions.udf.CIQ($C$2, "IQ_DIC", M$6,$F$2,,,Ccy,Conv)</f>
        <v>0</v>
      </c>
      <c r="L136" s="18">
        <f>_xll.ciqfunctions.udf.CIQ($C$2, "IQ_DIC", N$6,$F$2,,,Ccy,Conv)</f>
        <v>0</v>
      </c>
      <c r="M136" s="18"/>
      <c r="N136" s="18">
        <f>_xll.ciqfunctions.udf.CIQ($C$2, "IQ_DIC", P$6,$F$2,,,Ccy,Conv)</f>
        <v>0</v>
      </c>
      <c r="O136" s="221"/>
      <c r="P136" s="198"/>
      <c r="Q136" s="198"/>
      <c r="R136" s="198"/>
      <c r="S136" s="198"/>
      <c r="T136" s="205"/>
      <c r="U136" s="205"/>
      <c r="V136" s="205"/>
      <c r="W136" s="198"/>
      <c r="X136" s="198"/>
      <c r="Y136" s="198"/>
      <c r="Z136" s="198"/>
      <c r="AA136" s="198"/>
      <c r="AB136" s="198"/>
      <c r="AC136" s="198"/>
      <c r="AD136" s="198"/>
      <c r="AE136" s="198"/>
      <c r="AF136" s="198"/>
      <c r="AG136" s="198"/>
      <c r="AH136" s="198"/>
      <c r="AI136" s="198"/>
      <c r="AJ136" s="198"/>
      <c r="AK136" s="198"/>
      <c r="AL136" s="198"/>
      <c r="AM136" s="198"/>
      <c r="AN136" s="198"/>
      <c r="AO136" s="198"/>
      <c r="AP136" s="198"/>
      <c r="AQ136" s="198"/>
      <c r="AR136" s="198"/>
      <c r="AS136" s="198"/>
      <c r="AT136" s="198"/>
      <c r="AU136" s="198"/>
      <c r="AV136" s="198"/>
      <c r="AW136" s="198"/>
      <c r="AX136" s="198"/>
      <c r="AY136" s="198"/>
      <c r="AZ136" s="198"/>
      <c r="BA136" s="198"/>
      <c r="BB136" s="198"/>
      <c r="BC136" s="198"/>
      <c r="BD136" s="198"/>
      <c r="BE136" s="198"/>
      <c r="BF136" s="198"/>
      <c r="BG136" s="198"/>
      <c r="BH136" s="198"/>
      <c r="BI136" s="198"/>
      <c r="BJ136" s="198"/>
      <c r="BK136" s="198"/>
      <c r="BL136" s="198"/>
      <c r="BM136" s="198"/>
      <c r="BN136" s="198"/>
      <c r="BO136" s="198"/>
      <c r="BP136" s="198"/>
      <c r="BQ136" s="198"/>
      <c r="BR136" s="198"/>
      <c r="BS136" s="198"/>
      <c r="BT136" s="198"/>
      <c r="BU136" s="198"/>
      <c r="BV136" s="198"/>
      <c r="BW136" s="198"/>
      <c r="BX136" s="198"/>
    </row>
    <row r="137" spans="1:76" x14ac:dyDescent="0.25">
      <c r="A137" s="2" t="str">
        <f>'Language Index'!A164</f>
        <v>Advertising Expense</v>
      </c>
      <c r="B137" s="18">
        <f>_xll.ciqfunctions.udf.CIQ($C$2,"IQ_ADVERTISING",D$6,$F$2,,,Ccy,Conv)</f>
        <v>1307</v>
      </c>
      <c r="C137" s="18">
        <f>_xll.ciqfunctions.udf.CIQ($C$2,"IQ_ADVERTISING",E$6,$F$2,,,Ccy,Conv)</f>
        <v>1290</v>
      </c>
      <c r="D137" s="18">
        <f>_xll.ciqfunctions.udf.CIQ($C$2,"IQ_ADVERTISING",F$6,$F$2,,,Ccy,Conv)</f>
        <v>1327</v>
      </c>
      <c r="E137" s="18">
        <f>_xll.ciqfunctions.udf.CIQ($C$2,"IQ_ADVERTISING",G$6,$F$2,,,Ccy,Conv)</f>
        <v>1445</v>
      </c>
      <c r="F137" s="18">
        <f>_xll.ciqfunctions.udf.CIQ($C$2,"IQ_ADVERTISING",H$6,$F$2,,,Ccy,Conv)</f>
        <v>1466</v>
      </c>
      <c r="G137" s="18">
        <f>_xll.ciqfunctions.udf.CIQ($C$2,"IQ_ADVERTISING",I$6,$F$2,,,Ccy,Conv)</f>
        <v>1509</v>
      </c>
      <c r="H137" s="18">
        <f>_xll.ciqfunctions.udf.CIQ($C$2,"IQ_ADVERTISING",J$6,$F$2,,,Ccy,Conv)</f>
        <v>1509</v>
      </c>
      <c r="I137" s="18">
        <f>_xll.ciqfunctions.udf.CIQ($C$2,"IQ_ADVERTISING",K$6,$F$2,,,Ccy,Conv)</f>
        <v>1413</v>
      </c>
      <c r="J137" s="18">
        <f>_xll.ciqfunctions.udf.CIQ($C$2,"IQ_ADVERTISING",L$6,$F$2,,,Ccy,Conv)</f>
        <v>1330</v>
      </c>
      <c r="K137" s="18">
        <f>_xll.ciqfunctions.udf.CIQ($C$2,"IQ_ADVERTISING",M$6,$F$2,,,Ccy,Conv)</f>
        <v>1237</v>
      </c>
      <c r="L137" s="18">
        <f>_xll.ciqfunctions.udf.CIQ($C$2,"IQ_ADVERTISING",N$6,$F$2,,,Ccy,Conv)</f>
        <v>1173</v>
      </c>
      <c r="M137" s="18"/>
      <c r="N137" s="18">
        <f>_xll.ciqfunctions.udf.CIQ($C$2,"IQ_ADVERTISING",P$6,$F$2,,,Ccy,Conv)</f>
        <v>1173</v>
      </c>
      <c r="O137" s="221"/>
      <c r="P137" s="198"/>
      <c r="Q137" s="198"/>
      <c r="R137" s="198"/>
      <c r="S137" s="198"/>
      <c r="T137" s="205"/>
      <c r="U137" s="205"/>
      <c r="V137" s="205"/>
      <c r="W137" s="224"/>
      <c r="X137" s="224"/>
      <c r="Y137" s="224"/>
      <c r="Z137" s="224"/>
      <c r="AA137" s="224"/>
      <c r="AB137" s="224"/>
      <c r="AC137" s="198"/>
      <c r="AD137" s="198"/>
      <c r="AE137" s="198"/>
      <c r="AF137" s="224"/>
      <c r="AG137" s="198"/>
      <c r="AH137" s="198"/>
      <c r="AI137" s="198"/>
      <c r="AJ137" s="198"/>
      <c r="AK137" s="198"/>
      <c r="AL137" s="198"/>
      <c r="AM137" s="198"/>
      <c r="AN137" s="198"/>
      <c r="AO137" s="198"/>
      <c r="AP137" s="198"/>
      <c r="AQ137" s="198"/>
      <c r="AR137" s="198"/>
      <c r="AS137" s="198"/>
      <c r="AT137" s="198"/>
      <c r="AU137" s="198"/>
      <c r="AV137" s="198"/>
      <c r="AW137" s="198"/>
      <c r="AX137" s="198"/>
      <c r="AY137" s="198"/>
      <c r="AZ137" s="198"/>
      <c r="BA137" s="198"/>
      <c r="BB137" s="198"/>
      <c r="BC137" s="198"/>
      <c r="BD137" s="198"/>
      <c r="BE137" s="198"/>
      <c r="BF137" s="198"/>
      <c r="BG137" s="198"/>
      <c r="BH137" s="198"/>
      <c r="BI137" s="198"/>
      <c r="BJ137" s="198"/>
      <c r="BK137" s="198"/>
      <c r="BL137" s="198"/>
      <c r="BM137" s="198"/>
      <c r="BN137" s="198"/>
      <c r="BO137" s="198"/>
      <c r="BP137" s="198"/>
      <c r="BQ137" s="198"/>
      <c r="BR137" s="198"/>
      <c r="BS137" s="198"/>
      <c r="BT137" s="198"/>
      <c r="BU137" s="198"/>
      <c r="BV137" s="198"/>
      <c r="BW137" s="198"/>
      <c r="BX137" s="198"/>
    </row>
    <row r="138" spans="1:76" x14ac:dyDescent="0.25">
      <c r="A138" s="2" t="str">
        <f>'Language Index'!A165</f>
        <v>Marketing Expense</v>
      </c>
      <c r="B138" s="18">
        <f>_xll.ciqfunctions.udf.CIQ($C$2,"IQ_MARKETING",D$6,$F$2,,,Ccy,Conv)</f>
        <v>0</v>
      </c>
      <c r="C138" s="18">
        <f>_xll.ciqfunctions.udf.CIQ($C$2,"IQ_MARKETING",E$6,$F$2,,,Ccy,Conv)</f>
        <v>0</v>
      </c>
      <c r="D138" s="18">
        <f>_xll.ciqfunctions.udf.CIQ($C$2,"IQ_MARKETING",F$6,$F$2,,,Ccy,Conv)</f>
        <v>0</v>
      </c>
      <c r="E138" s="18">
        <f>_xll.ciqfunctions.udf.CIQ($C$2,"IQ_MARKETING",G$6,$F$2,,,Ccy,Conv)</f>
        <v>0</v>
      </c>
      <c r="F138" s="18">
        <f>_xll.ciqfunctions.udf.CIQ($C$2,"IQ_MARKETING",H$6,$F$2,,,Ccy,Conv)</f>
        <v>0</v>
      </c>
      <c r="G138" s="18">
        <f>_xll.ciqfunctions.udf.CIQ($C$2,"IQ_MARKETING",I$6,$F$2,,,Ccy,Conv)</f>
        <v>0</v>
      </c>
      <c r="H138" s="18">
        <f>_xll.ciqfunctions.udf.CIQ($C$2,"IQ_MARKETING",J$6,$F$2,,,Ccy,Conv)</f>
        <v>0</v>
      </c>
      <c r="I138" s="18">
        <f>_xll.ciqfunctions.udf.CIQ($C$2,"IQ_MARKETING",K$6,$F$2,,,Ccy,Conv)</f>
        <v>0</v>
      </c>
      <c r="J138" s="18">
        <f>_xll.ciqfunctions.udf.CIQ($C$2,"IQ_MARKETING",L$6,$F$2,,,Ccy,Conv)</f>
        <v>0</v>
      </c>
      <c r="K138" s="18">
        <f>_xll.ciqfunctions.udf.CIQ($C$2,"IQ_MARKETING",M$6,$F$2,,,Ccy,Conv)</f>
        <v>0</v>
      </c>
      <c r="L138" s="18">
        <f>_xll.ciqfunctions.udf.CIQ($C$2,"IQ_MARKETING",N$6,$F$2,,,Ccy,Conv)</f>
        <v>0</v>
      </c>
      <c r="M138" s="18"/>
      <c r="N138" s="18">
        <f>_xll.ciqfunctions.udf.CIQ($C$2,"IQ_MARKETING",P$6,$F$2,,,Ccy,Conv)</f>
        <v>0</v>
      </c>
      <c r="O138" s="221"/>
      <c r="P138" s="198"/>
      <c r="Q138" s="198"/>
      <c r="R138" s="198"/>
      <c r="S138" s="198"/>
      <c r="T138" s="205"/>
      <c r="U138" s="205"/>
      <c r="V138" s="205"/>
      <c r="W138" s="224"/>
      <c r="X138" s="224"/>
      <c r="Y138" s="224"/>
      <c r="Z138" s="224"/>
      <c r="AA138" s="224"/>
      <c r="AB138" s="224"/>
      <c r="AC138" s="198"/>
      <c r="AD138" s="198"/>
      <c r="AE138" s="198"/>
      <c r="AF138" s="224"/>
      <c r="AG138" s="198"/>
      <c r="AH138" s="198"/>
      <c r="AI138" s="198"/>
      <c r="AJ138" s="198"/>
      <c r="AK138" s="198"/>
      <c r="AL138" s="198"/>
      <c r="AM138" s="198"/>
      <c r="AN138" s="198"/>
      <c r="AO138" s="198"/>
      <c r="AP138" s="198"/>
      <c r="AQ138" s="198"/>
      <c r="AR138" s="198"/>
      <c r="AS138" s="198"/>
      <c r="AT138" s="198"/>
      <c r="AU138" s="198"/>
      <c r="AV138" s="198"/>
      <c r="AW138" s="198"/>
      <c r="AX138" s="198"/>
      <c r="AY138" s="198"/>
      <c r="AZ138" s="198"/>
      <c r="BA138" s="198"/>
      <c r="BB138" s="198"/>
      <c r="BC138" s="198"/>
      <c r="BD138" s="198"/>
      <c r="BE138" s="198"/>
      <c r="BF138" s="198"/>
      <c r="BG138" s="198"/>
      <c r="BH138" s="198"/>
      <c r="BI138" s="198"/>
      <c r="BJ138" s="198"/>
      <c r="BK138" s="198"/>
      <c r="BL138" s="198"/>
      <c r="BM138" s="198"/>
      <c r="BN138" s="198"/>
      <c r="BO138" s="198"/>
      <c r="BP138" s="198"/>
      <c r="BQ138" s="198"/>
      <c r="BR138" s="198"/>
      <c r="BS138" s="198"/>
      <c r="BT138" s="198"/>
      <c r="BU138" s="198"/>
      <c r="BV138" s="198"/>
      <c r="BW138" s="198"/>
      <c r="BX138" s="198"/>
    </row>
    <row r="139" spans="1:76" x14ac:dyDescent="0.25">
      <c r="A139" s="2" t="str">
        <f>'Language Index'!A166</f>
        <v>Selling And Marketing Expense</v>
      </c>
      <c r="B139" s="18">
        <f>_xll.ciqfunctions.udf.CIQ($C$2,"IQ_SALES_MARKETING",D$6,$F$2,,,Ccy,Conv)</f>
        <v>1307</v>
      </c>
      <c r="C139" s="18">
        <f>_xll.ciqfunctions.udf.CIQ($C$2,"IQ_SALES_MARKETING",E$6,$F$2,,,Ccy,Conv)</f>
        <v>1290</v>
      </c>
      <c r="D139" s="18">
        <f>_xll.ciqfunctions.udf.CIQ($C$2,"IQ_SALES_MARKETING",F$6,$F$2,,,Ccy,Conv)</f>
        <v>1327</v>
      </c>
      <c r="E139" s="18">
        <f>_xll.ciqfunctions.udf.CIQ($C$2,"IQ_SALES_MARKETING",G$6,$F$2,,,Ccy,Conv)</f>
        <v>1445</v>
      </c>
      <c r="F139" s="18">
        <f>_xll.ciqfunctions.udf.CIQ($C$2,"IQ_SALES_MARKETING",H$6,$F$2,,,Ccy,Conv)</f>
        <v>1466</v>
      </c>
      <c r="G139" s="18">
        <f>_xll.ciqfunctions.udf.CIQ($C$2,"IQ_SALES_MARKETING",I$6,$F$2,,,Ccy,Conv)</f>
        <v>1509</v>
      </c>
      <c r="H139" s="18">
        <f>_xll.ciqfunctions.udf.CIQ($C$2,"IQ_SALES_MARKETING",J$6,$F$2,,,Ccy,Conv)</f>
        <v>1509</v>
      </c>
      <c r="I139" s="18">
        <f>_xll.ciqfunctions.udf.CIQ($C$2,"IQ_SALES_MARKETING",K$6,$F$2,,,Ccy,Conv)</f>
        <v>1413</v>
      </c>
      <c r="J139" s="18">
        <f>_xll.ciqfunctions.udf.CIQ($C$2,"IQ_SALES_MARKETING",L$6,$F$2,,,Ccy,Conv)</f>
        <v>1330</v>
      </c>
      <c r="K139" s="18">
        <f>_xll.ciqfunctions.udf.CIQ($C$2,"IQ_SALES_MARKETING",M$6,$F$2,,,Ccy,Conv)</f>
        <v>1237</v>
      </c>
      <c r="L139" s="18">
        <f>_xll.ciqfunctions.udf.CIQ($C$2,"IQ_SALES_MARKETING",N$6,$F$2,,,Ccy,Conv)</f>
        <v>1173</v>
      </c>
      <c r="M139" s="18"/>
      <c r="N139" s="18">
        <f>_xll.ciqfunctions.udf.CIQ($C$2,"IQ_SALES_MARKETING",P$6,$F$2,,,Ccy,Conv)</f>
        <v>1173</v>
      </c>
      <c r="O139" s="221"/>
      <c r="P139" s="198"/>
      <c r="Q139" s="198"/>
      <c r="R139" s="198"/>
      <c r="S139" s="198"/>
      <c r="T139" s="205"/>
      <c r="U139" s="205"/>
      <c r="V139" s="205"/>
      <c r="W139" s="224"/>
      <c r="X139" s="224"/>
      <c r="Y139" s="224"/>
      <c r="Z139" s="224"/>
      <c r="AA139" s="224"/>
      <c r="AB139" s="224"/>
      <c r="AC139" s="198"/>
      <c r="AD139" s="198"/>
      <c r="AE139" s="198"/>
      <c r="AF139" s="224"/>
      <c r="AG139" s="198"/>
      <c r="AH139" s="198"/>
      <c r="AI139" s="198"/>
      <c r="AJ139" s="198"/>
      <c r="AK139" s="198"/>
      <c r="AL139" s="198"/>
      <c r="AM139" s="198"/>
      <c r="AN139" s="198"/>
      <c r="AO139" s="198"/>
      <c r="AP139" s="198"/>
      <c r="AQ139" s="198"/>
      <c r="AR139" s="198"/>
      <c r="AS139" s="198"/>
      <c r="AT139" s="198"/>
      <c r="AU139" s="198"/>
      <c r="AV139" s="198"/>
      <c r="AW139" s="198"/>
      <c r="AX139" s="198"/>
      <c r="AY139" s="198"/>
      <c r="AZ139" s="198"/>
      <c r="BA139" s="198"/>
      <c r="BB139" s="198"/>
      <c r="BC139" s="198"/>
      <c r="BD139" s="198"/>
      <c r="BE139" s="198"/>
      <c r="BF139" s="198"/>
      <c r="BG139" s="198"/>
      <c r="BH139" s="198"/>
      <c r="BI139" s="198"/>
      <c r="BJ139" s="198"/>
      <c r="BK139" s="198"/>
      <c r="BL139" s="198"/>
      <c r="BM139" s="198"/>
      <c r="BN139" s="198"/>
      <c r="BO139" s="198"/>
      <c r="BP139" s="198"/>
      <c r="BQ139" s="198"/>
      <c r="BR139" s="198"/>
      <c r="BS139" s="198"/>
      <c r="BT139" s="198"/>
      <c r="BU139" s="198"/>
      <c r="BV139" s="198"/>
      <c r="BW139" s="198"/>
      <c r="BX139" s="198"/>
    </row>
    <row r="140" spans="1:76" x14ac:dyDescent="0.25">
      <c r="A140" s="2" t="str">
        <f>'Language Index'!A167</f>
        <v>General and Administrative Expense</v>
      </c>
      <c r="B140" s="18">
        <f>_xll.ciqfunctions.udf.CIQ($C$2,"IQ_GA_EXP",D$6,$F$2,,,Ccy,Conv)</f>
        <v>0</v>
      </c>
      <c r="C140" s="18">
        <f>_xll.ciqfunctions.udf.CIQ($C$2,"IQ_GA_EXP",E$6,$F$2,,,Ccy,Conv)</f>
        <v>0</v>
      </c>
      <c r="D140" s="18">
        <f>_xll.ciqfunctions.udf.CIQ($C$2,"IQ_GA_EXP",F$6,$F$2,,,Ccy,Conv)</f>
        <v>0</v>
      </c>
      <c r="E140" s="18">
        <f>_xll.ciqfunctions.udf.CIQ($C$2,"IQ_GA_EXP",G$6,$F$2,,,Ccy,Conv)</f>
        <v>0</v>
      </c>
      <c r="F140" s="18">
        <f>_xll.ciqfunctions.udf.CIQ($C$2,"IQ_GA_EXP",H$6,$F$2,,,Ccy,Conv)</f>
        <v>0</v>
      </c>
      <c r="G140" s="18">
        <f>_xll.ciqfunctions.udf.CIQ($C$2,"IQ_GA_EXP",I$6,$F$2,,,Ccy,Conv)</f>
        <v>0</v>
      </c>
      <c r="H140" s="18">
        <f>_xll.ciqfunctions.udf.CIQ($C$2,"IQ_GA_EXP",J$6,$F$2,,,Ccy,Conv)</f>
        <v>0</v>
      </c>
      <c r="I140" s="18">
        <f>_xll.ciqfunctions.udf.CIQ($C$2,"IQ_GA_EXP",K$6,$F$2,,,Ccy,Conv)</f>
        <v>0</v>
      </c>
      <c r="J140" s="18">
        <f>_xll.ciqfunctions.udf.CIQ($C$2,"IQ_GA_EXP",L$6,$F$2,,,Ccy,Conv)</f>
        <v>0</v>
      </c>
      <c r="K140" s="18">
        <f>_xll.ciqfunctions.udf.CIQ($C$2,"IQ_GA_EXP",M$6,$F$2,,,Ccy,Conv)</f>
        <v>0</v>
      </c>
      <c r="L140" s="18">
        <f>_xll.ciqfunctions.udf.CIQ($C$2,"IQ_GA_EXP",N$6,$F$2,,,Ccy,Conv)</f>
        <v>0</v>
      </c>
      <c r="M140" s="18"/>
      <c r="N140" s="18">
        <f>_xll.ciqfunctions.udf.CIQ($C$2,"IQ_GA_EXP",P$6,$F$2,,,Ccy,Conv)</f>
        <v>0</v>
      </c>
      <c r="O140" s="221"/>
      <c r="P140" s="198"/>
      <c r="Q140" s="198"/>
      <c r="R140" s="198"/>
      <c r="S140" s="198"/>
      <c r="T140" s="205"/>
      <c r="U140" s="205"/>
      <c r="V140" s="205"/>
      <c r="W140" s="224"/>
      <c r="X140" s="224"/>
      <c r="Y140" s="224"/>
      <c r="Z140" s="224"/>
      <c r="AA140" s="224"/>
      <c r="AB140" s="224"/>
      <c r="AC140" s="198"/>
      <c r="AD140" s="198"/>
      <c r="AE140" s="198"/>
      <c r="AF140" s="224"/>
      <c r="AG140" s="198"/>
      <c r="AH140" s="198"/>
      <c r="AI140" s="198"/>
      <c r="AJ140" s="198"/>
      <c r="AK140" s="198"/>
      <c r="AL140" s="198"/>
      <c r="AM140" s="198"/>
      <c r="AN140" s="198"/>
      <c r="AO140" s="198"/>
      <c r="AP140" s="198"/>
      <c r="AQ140" s="198"/>
      <c r="AR140" s="198"/>
      <c r="AS140" s="198"/>
      <c r="AT140" s="198"/>
      <c r="AU140" s="198"/>
      <c r="AV140" s="198"/>
      <c r="AW140" s="198"/>
      <c r="AX140" s="198"/>
      <c r="AY140" s="198"/>
      <c r="AZ140" s="198"/>
      <c r="BA140" s="198"/>
      <c r="BB140" s="198"/>
      <c r="BC140" s="198"/>
      <c r="BD140" s="198"/>
      <c r="BE140" s="198"/>
      <c r="BF140" s="198"/>
      <c r="BG140" s="198"/>
      <c r="BH140" s="198"/>
      <c r="BI140" s="198"/>
      <c r="BJ140" s="198"/>
      <c r="BK140" s="198"/>
      <c r="BL140" s="198"/>
      <c r="BM140" s="198"/>
      <c r="BN140" s="198"/>
      <c r="BO140" s="198"/>
      <c r="BP140" s="198"/>
      <c r="BQ140" s="198"/>
      <c r="BR140" s="198"/>
      <c r="BS140" s="198"/>
      <c r="BT140" s="198"/>
      <c r="BU140" s="198"/>
      <c r="BV140" s="198"/>
      <c r="BW140" s="198"/>
      <c r="BX140" s="198"/>
    </row>
    <row r="141" spans="1:76" x14ac:dyDescent="0.25">
      <c r="A141" s="2" t="str">
        <f>'Language Index'!A168</f>
        <v>R&amp;D Expense (Foot Note)</v>
      </c>
      <c r="B141" s="18">
        <f>_xll.ciqfunctions.udf.CIQ($C$2, "IQ_RD_EXP_FN", D$6,$F$2,,,Ccy,Conv)</f>
        <v>5437</v>
      </c>
      <c r="C141" s="18">
        <f>_xll.ciqfunctions.udf.CIQ($C$2, "IQ_RD_EXP_FN", E$6,$F$2,,,Ccy,Conv)</f>
        <v>5247</v>
      </c>
      <c r="D141" s="18">
        <f>_xll.ciqfunctions.udf.CIQ($C$2, "IQ_RD_EXP_FN", F$6,$F$2,,,Ccy,Conv)</f>
        <v>5726</v>
      </c>
      <c r="E141" s="18">
        <f>_xll.ciqfunctions.udf.CIQ($C$2, "IQ_RD_EXP_FN", G$6,$F$2,,,Ccy,Conv)</f>
        <v>5590</v>
      </c>
      <c r="F141" s="18">
        <f>_xll.ciqfunctions.udf.CIQ($C$2, "IQ_RD_EXP_FN", H$6,$F$2,,,Ccy,Conv)</f>
        <v>5379</v>
      </c>
      <c r="G141" s="18">
        <f>_xll.ciqfunctions.udf.CIQ($C$2, "IQ_RD_EXP_FN", I$6,$F$2,,,Ccy,Conv)</f>
        <v>5910</v>
      </c>
      <c r="H141" s="18">
        <f>_xll.ciqfunctions.udf.CIQ($C$2, "IQ_RD_EXP_FN", J$6,$F$2,,,Ccy,Conv)</f>
        <v>6262</v>
      </c>
      <c r="I141" s="18">
        <f>_xll.ciqfunctions.udf.CIQ($C$2, "IQ_RD_EXP_FN", K$6,$F$2,,,Ccy,Conv)</f>
        <v>6488</v>
      </c>
      <c r="J141" s="18">
        <f>_xll.ciqfunctions.udf.CIQ($C$2, "IQ_RD_EXP_FN", L$6,$F$2,,,Ccy,Conv)</f>
        <v>6567</v>
      </c>
      <c r="K141" s="18">
        <f>_xll.ciqfunctions.udf.CIQ($C$2, "IQ_RD_EXP_FN", M$6,$F$2,,,Ccy,Conv)</f>
        <v>6775</v>
      </c>
      <c r="L141" s="18">
        <f>_xll.ciqfunctions.udf.CIQ($C$2, "IQ_RD_EXP_FN", N$6,$F$2,,,Ccy,Conv)</f>
        <v>7479</v>
      </c>
      <c r="M141" s="18"/>
      <c r="N141" s="18">
        <f>_xll.ciqfunctions.udf.CIQ($C$2, "IQ_RD_EXP_FN", P$6,$F$2,,,Ccy,Conv)</f>
        <v>7479</v>
      </c>
      <c r="O141" s="221"/>
      <c r="P141" s="198"/>
      <c r="Q141" s="198"/>
      <c r="R141" s="198"/>
      <c r="S141" s="198"/>
      <c r="T141" s="205"/>
      <c r="U141" s="205"/>
      <c r="V141" s="205"/>
      <c r="W141" s="224"/>
      <c r="X141" s="224"/>
      <c r="Y141" s="224"/>
      <c r="Z141" s="224"/>
      <c r="AA141" s="224"/>
      <c r="AB141" s="224"/>
      <c r="AC141" s="198"/>
      <c r="AD141" s="198"/>
      <c r="AE141" s="198"/>
      <c r="AF141" s="224"/>
      <c r="AG141" s="198"/>
      <c r="AH141" s="198"/>
      <c r="AI141" s="198"/>
      <c r="AJ141" s="198"/>
      <c r="AK141" s="198"/>
      <c r="AL141" s="198"/>
      <c r="AM141" s="198"/>
      <c r="AN141" s="198"/>
      <c r="AO141" s="198"/>
      <c r="AP141" s="198"/>
      <c r="AQ141" s="198"/>
      <c r="AR141" s="198"/>
      <c r="AS141" s="198"/>
      <c r="AT141" s="198"/>
      <c r="AU141" s="198"/>
      <c r="AV141" s="198"/>
      <c r="AW141" s="198"/>
      <c r="AX141" s="198"/>
      <c r="AY141" s="198"/>
      <c r="AZ141" s="198"/>
      <c r="BA141" s="198"/>
      <c r="BB141" s="198"/>
      <c r="BC141" s="198"/>
      <c r="BD141" s="198"/>
      <c r="BE141" s="198"/>
      <c r="BF141" s="198"/>
      <c r="BG141" s="198"/>
      <c r="BH141" s="198"/>
      <c r="BI141" s="198"/>
      <c r="BJ141" s="198"/>
      <c r="BK141" s="198"/>
      <c r="BL141" s="198"/>
      <c r="BM141" s="198"/>
      <c r="BN141" s="198"/>
      <c r="BO141" s="198"/>
      <c r="BP141" s="198"/>
      <c r="BQ141" s="198"/>
      <c r="BR141" s="198"/>
      <c r="BS141" s="198"/>
      <c r="BT141" s="198"/>
      <c r="BU141" s="198"/>
      <c r="BV141" s="198"/>
      <c r="BW141" s="198"/>
      <c r="BX141" s="198"/>
    </row>
    <row r="142" spans="1:76" x14ac:dyDescent="0.25">
      <c r="A142" s="2" t="str">
        <f>'Language Index'!A169</f>
        <v>Net Rental Expense, Total</v>
      </c>
      <c r="B142" s="18">
        <f>_xll.ciqfunctions.udf.CIQ($C$2, "IQ_NET_RENTAL_EXP_FN", D$6,$F$2,,,Ccy,Conv)</f>
        <v>1497</v>
      </c>
      <c r="C142" s="18">
        <f>_xll.ciqfunctions.udf.CIQ($C$2, "IQ_NET_RENTAL_EXP_FN", E$6,$F$2,,,Ccy,Conv)</f>
        <v>1445</v>
      </c>
      <c r="D142" s="18">
        <f>_xll.ciqfunctions.udf.CIQ($C$2, "IQ_NET_RENTAL_EXP_FN", F$6,$F$2,,,Ccy,Conv)</f>
        <v>0</v>
      </c>
      <c r="E142" s="18">
        <f>_xll.ciqfunctions.udf.CIQ($C$2, "IQ_NET_RENTAL_EXP_FN", G$6,$F$2,,,Ccy,Conv)</f>
        <v>0</v>
      </c>
      <c r="F142" s="18">
        <f>_xll.ciqfunctions.udf.CIQ($C$2, "IQ_NET_RENTAL_EXP_FN", H$6,$F$2,,,Ccy,Conv)</f>
        <v>0</v>
      </c>
      <c r="G142" s="18">
        <f>_xll.ciqfunctions.udf.CIQ($C$2, "IQ_NET_RENTAL_EXP_FN", I$6,$F$2,,,Ccy,Conv)</f>
        <v>1623</v>
      </c>
      <c r="H142" s="18">
        <f>_xll.ciqfunctions.udf.CIQ($C$2, "IQ_NET_RENTAL_EXP_FN", J$6,$F$2,,,Ccy,Conv)</f>
        <v>1524</v>
      </c>
      <c r="I142" s="18">
        <f>_xll.ciqfunctions.udf.CIQ($C$2, "IQ_NET_RENTAL_EXP_FN", K$6,$F$2,,,Ccy,Conv)</f>
        <v>1437</v>
      </c>
      <c r="J142" s="18">
        <f>_xll.ciqfunctions.udf.CIQ($C$2, "IQ_NET_RENTAL_EXP_FN", L$6,$F$2,,,Ccy,Conv)</f>
        <v>1247</v>
      </c>
      <c r="K142" s="18">
        <f>_xll.ciqfunctions.udf.CIQ($C$2, "IQ_NET_RENTAL_EXP_FN", M$6,$F$2,,,Ccy,Conv)</f>
        <v>1292</v>
      </c>
      <c r="L142" s="18">
        <f>_xll.ciqfunctions.udf.CIQ($C$2, "IQ_NET_RENTAL_EXP_FN", N$6,$F$2,,,Ccy,Conv)</f>
        <v>1309</v>
      </c>
      <c r="M142" s="18"/>
      <c r="N142" s="18">
        <f>_xll.ciqfunctions.udf.CIQ($C$2, "IQ_NET_RENTAL_EXP_FN", P$6,$F$2,,,Ccy,Conv)</f>
        <v>1309</v>
      </c>
      <c r="O142" s="221"/>
      <c r="P142" s="198"/>
      <c r="Q142" s="198"/>
      <c r="R142" s="198"/>
      <c r="S142" s="198"/>
      <c r="T142" s="205"/>
      <c r="U142" s="205"/>
      <c r="V142" s="205"/>
      <c r="W142" s="224"/>
      <c r="X142" s="224"/>
      <c r="Y142" s="224"/>
      <c r="Z142" s="224"/>
      <c r="AA142" s="224"/>
      <c r="AB142" s="224"/>
      <c r="AC142" s="198"/>
      <c r="AD142" s="198"/>
      <c r="AE142" s="198"/>
      <c r="AF142" s="224"/>
      <c r="AG142" s="198"/>
      <c r="AH142" s="198"/>
      <c r="AI142" s="198"/>
      <c r="AJ142" s="198"/>
      <c r="AK142" s="198"/>
      <c r="AL142" s="198"/>
      <c r="AM142" s="198"/>
      <c r="AN142" s="198"/>
      <c r="AO142" s="198"/>
      <c r="AP142" s="198"/>
      <c r="AQ142" s="198"/>
      <c r="AR142" s="198"/>
      <c r="AS142" s="198"/>
      <c r="AT142" s="198"/>
      <c r="AU142" s="198"/>
      <c r="AV142" s="198"/>
      <c r="AW142" s="198"/>
      <c r="AX142" s="198"/>
      <c r="AY142" s="198"/>
      <c r="AZ142" s="198"/>
      <c r="BA142" s="198"/>
      <c r="BB142" s="198"/>
      <c r="BC142" s="198"/>
      <c r="BD142" s="198"/>
      <c r="BE142" s="198"/>
      <c r="BF142" s="198"/>
      <c r="BG142" s="198"/>
      <c r="BH142" s="198"/>
      <c r="BI142" s="198"/>
      <c r="BJ142" s="198"/>
      <c r="BK142" s="198"/>
      <c r="BL142" s="198"/>
      <c r="BM142" s="198"/>
      <c r="BN142" s="198"/>
      <c r="BO142" s="198"/>
      <c r="BP142" s="198"/>
      <c r="BQ142" s="198"/>
      <c r="BR142" s="198"/>
      <c r="BS142" s="198"/>
      <c r="BT142" s="198"/>
      <c r="BU142" s="198"/>
      <c r="BV142" s="198"/>
      <c r="BW142" s="198"/>
      <c r="BX142" s="198"/>
    </row>
    <row r="143" spans="1:76" x14ac:dyDescent="0.25">
      <c r="A143" s="2" t="str">
        <f>'Language Index'!A170</f>
        <v>Net Rental Expense</v>
      </c>
      <c r="B143" s="18">
        <f>_xll.ciqfunctions.udf.CIQ($C$2, "IQ_NET_RENTAL_EXP", D$6,$F$2,,,Ccy,Conv)</f>
        <v>1497</v>
      </c>
      <c r="C143" s="18">
        <f>_xll.ciqfunctions.udf.CIQ($C$2, "IQ_NET_RENTAL_EXP", E$6,$F$2,,,Ccy,Conv)</f>
        <v>1445</v>
      </c>
      <c r="D143" s="18">
        <f>_xll.ciqfunctions.udf.CIQ($C$2, "IQ_NET_RENTAL_EXP", F$6,$F$2,,,Ccy,Conv)</f>
        <v>0</v>
      </c>
      <c r="E143" s="18">
        <f>_xll.ciqfunctions.udf.CIQ($C$2, "IQ_NET_RENTAL_EXP", G$6,$F$2,,,Ccy,Conv)</f>
        <v>0</v>
      </c>
      <c r="F143" s="18">
        <f>_xll.ciqfunctions.udf.CIQ($C$2, "IQ_NET_RENTAL_EXP", H$6,$F$2,,,Ccy,Conv)</f>
        <v>0</v>
      </c>
      <c r="G143" s="18">
        <f>_xll.ciqfunctions.udf.CIQ($C$2, "IQ_NET_RENTAL_EXP", I$6,$F$2,,,Ccy,Conv)</f>
        <v>0</v>
      </c>
      <c r="H143" s="18">
        <f>_xll.ciqfunctions.udf.CIQ($C$2, "IQ_NET_RENTAL_EXP", J$6,$F$2,,,Ccy,Conv)</f>
        <v>0</v>
      </c>
      <c r="I143" s="18">
        <f>_xll.ciqfunctions.udf.CIQ($C$2, "IQ_NET_RENTAL_EXP", K$6,$F$2,,,Ccy,Conv)</f>
        <v>0</v>
      </c>
      <c r="J143" s="18">
        <f>_xll.ciqfunctions.udf.CIQ($C$2, "IQ_NET_RENTAL_EXP", L$6,$F$2,,,Ccy,Conv)</f>
        <v>0</v>
      </c>
      <c r="K143" s="18">
        <f>_xll.ciqfunctions.udf.CIQ($C$2, "IQ_NET_RENTAL_EXP", M$6,$F$2,,,Ccy,Conv)</f>
        <v>0</v>
      </c>
      <c r="L143" s="18">
        <f>_xll.ciqfunctions.udf.CIQ($C$2, "IQ_NET_RENTAL_EXP", N$6,$F$2,,,Ccy,Conv)</f>
        <v>0</v>
      </c>
      <c r="M143" s="18"/>
      <c r="N143" s="18">
        <f>_xll.ciqfunctions.udf.CIQ($C$2, "IQ_NET_RENTAL_EXP", P$6,$F$2,,,Ccy,Conv)</f>
        <v>0</v>
      </c>
      <c r="O143" s="221"/>
      <c r="P143" s="198"/>
      <c r="Q143" s="198"/>
      <c r="R143" s="198"/>
      <c r="S143" s="198"/>
      <c r="T143" s="205"/>
      <c r="U143" s="205"/>
      <c r="V143" s="205"/>
      <c r="W143" s="224"/>
      <c r="X143" s="224"/>
      <c r="Y143" s="224"/>
      <c r="Z143" s="224"/>
      <c r="AA143" s="224"/>
      <c r="AB143" s="224"/>
      <c r="AC143" s="198"/>
      <c r="AD143" s="198"/>
      <c r="AE143" s="198"/>
      <c r="AF143" s="224"/>
      <c r="AG143" s="198"/>
      <c r="AH143" s="198"/>
      <c r="AI143" s="198"/>
      <c r="AJ143" s="198"/>
      <c r="AK143" s="198"/>
      <c r="AL143" s="198"/>
      <c r="AM143" s="198"/>
      <c r="AN143" s="198"/>
      <c r="AO143" s="198"/>
      <c r="AP143" s="198"/>
      <c r="AQ143" s="198"/>
      <c r="AR143" s="198"/>
      <c r="AS143" s="198"/>
      <c r="AT143" s="198"/>
      <c r="AU143" s="198"/>
      <c r="AV143" s="198"/>
      <c r="AW143" s="198"/>
      <c r="AX143" s="198"/>
      <c r="AY143" s="198"/>
      <c r="AZ143" s="198"/>
      <c r="BA143" s="198"/>
      <c r="BB143" s="198"/>
      <c r="BC143" s="198"/>
      <c r="BD143" s="198"/>
      <c r="BE143" s="198"/>
      <c r="BF143" s="198"/>
      <c r="BG143" s="198"/>
      <c r="BH143" s="198"/>
      <c r="BI143" s="198"/>
      <c r="BJ143" s="198"/>
      <c r="BK143" s="198"/>
      <c r="BL143" s="198"/>
      <c r="BM143" s="198"/>
      <c r="BN143" s="198"/>
      <c r="BO143" s="198"/>
      <c r="BP143" s="198"/>
      <c r="BQ143" s="198"/>
      <c r="BR143" s="198"/>
      <c r="BS143" s="198"/>
      <c r="BT143" s="198"/>
      <c r="BU143" s="198"/>
      <c r="BV143" s="198"/>
      <c r="BW143" s="198"/>
      <c r="BX143" s="198"/>
    </row>
    <row r="144" spans="1:76" x14ac:dyDescent="0.25">
      <c r="A144" s="2" t="str">
        <f>'Language Index'!A171</f>
        <v>Net Rental Expense (Supple)</v>
      </c>
      <c r="B144" s="18">
        <f>_xll.ciqfunctions.udf.CIQ($C$2, "IQ_NET_RENTAL_EXP_SUPPLE", D$6,$F$2,,,Ccy,Conv)</f>
        <v>0</v>
      </c>
      <c r="C144" s="18">
        <f>_xll.ciqfunctions.udf.CIQ($C$2, "IQ_NET_RENTAL_EXP_SUPPLE", E$6,$F$2,,,Ccy,Conv)</f>
        <v>0</v>
      </c>
      <c r="D144" s="18">
        <f>_xll.ciqfunctions.udf.CIQ($C$2, "IQ_NET_RENTAL_EXP_SUPPLE", F$6,$F$2,,,Ccy,Conv)</f>
        <v>0</v>
      </c>
      <c r="E144" s="18">
        <f>_xll.ciqfunctions.udf.CIQ($C$2, "IQ_NET_RENTAL_EXP_SUPPLE", G$6,$F$2,,,Ccy,Conv)</f>
        <v>0</v>
      </c>
      <c r="F144" s="18">
        <f>_xll.ciqfunctions.udf.CIQ($C$2, "IQ_NET_RENTAL_EXP_SUPPLE", H$6,$F$2,,,Ccy,Conv)</f>
        <v>0</v>
      </c>
      <c r="G144" s="18">
        <f>_xll.ciqfunctions.udf.CIQ($C$2, "IQ_NET_RENTAL_EXP_SUPPLE", I$6,$F$2,,,Ccy,Conv)</f>
        <v>1623</v>
      </c>
      <c r="H144" s="18">
        <f>_xll.ciqfunctions.udf.CIQ($C$2, "IQ_NET_RENTAL_EXP_SUPPLE", J$6,$F$2,,,Ccy,Conv)</f>
        <v>1524</v>
      </c>
      <c r="I144" s="18">
        <f>_xll.ciqfunctions.udf.CIQ($C$2, "IQ_NET_RENTAL_EXP_SUPPLE", K$6,$F$2,,,Ccy,Conv)</f>
        <v>1437</v>
      </c>
      <c r="J144" s="18">
        <f>_xll.ciqfunctions.udf.CIQ($C$2, "IQ_NET_RENTAL_EXP_SUPPLE", L$6,$F$2,,,Ccy,Conv)</f>
        <v>1247</v>
      </c>
      <c r="K144" s="18">
        <f>_xll.ciqfunctions.udf.CIQ($C$2, "IQ_NET_RENTAL_EXP_SUPPLE", M$6,$F$2,,,Ccy,Conv)</f>
        <v>1292</v>
      </c>
      <c r="L144" s="18">
        <f>_xll.ciqfunctions.udf.CIQ($C$2, "IQ_NET_RENTAL_EXP_SUPPLE", N$6,$F$2,,,Ccy,Conv)</f>
        <v>1309</v>
      </c>
      <c r="M144" s="18"/>
      <c r="N144" s="18">
        <f>_xll.ciqfunctions.udf.CIQ($C$2, "IQ_NET_RENTAL_EXP_SUPPLE", P$6,$F$2,,,Ccy,Conv)</f>
        <v>1309</v>
      </c>
      <c r="O144" s="221"/>
      <c r="P144" s="198"/>
      <c r="Q144" s="198"/>
      <c r="R144" s="198"/>
      <c r="S144" s="198"/>
      <c r="T144" s="205"/>
      <c r="U144" s="205"/>
      <c r="V144" s="205"/>
      <c r="W144" s="224"/>
      <c r="X144" s="224"/>
      <c r="Y144" s="224"/>
      <c r="Z144" s="224"/>
      <c r="AA144" s="224"/>
      <c r="AB144" s="224"/>
      <c r="AC144" s="198"/>
      <c r="AD144" s="198"/>
      <c r="AE144" s="198"/>
      <c r="AF144" s="224"/>
      <c r="AG144" s="198"/>
      <c r="AH144" s="198"/>
      <c r="AI144" s="198"/>
      <c r="AJ144" s="198"/>
      <c r="AK144" s="198"/>
      <c r="AL144" s="198"/>
      <c r="AM144" s="198"/>
      <c r="AN144" s="198"/>
      <c r="AO144" s="198"/>
      <c r="AP144" s="198"/>
      <c r="AQ144" s="198"/>
      <c r="AR144" s="198"/>
      <c r="AS144" s="198"/>
      <c r="AT144" s="198"/>
      <c r="AU144" s="198"/>
      <c r="AV144" s="198"/>
      <c r="AW144" s="198"/>
      <c r="AX144" s="198"/>
      <c r="AY144" s="198"/>
      <c r="AZ144" s="198"/>
      <c r="BA144" s="198"/>
      <c r="BB144" s="198"/>
      <c r="BC144" s="198"/>
      <c r="BD144" s="198"/>
      <c r="BE144" s="198"/>
      <c r="BF144" s="198"/>
      <c r="BG144" s="198"/>
      <c r="BH144" s="198"/>
      <c r="BI144" s="198"/>
      <c r="BJ144" s="198"/>
      <c r="BK144" s="198"/>
      <c r="BL144" s="198"/>
      <c r="BM144" s="198"/>
      <c r="BN144" s="198"/>
      <c r="BO144" s="198"/>
      <c r="BP144" s="198"/>
      <c r="BQ144" s="198"/>
      <c r="BR144" s="198"/>
      <c r="BS144" s="198"/>
      <c r="BT144" s="198"/>
      <c r="BU144" s="198"/>
      <c r="BV144" s="198"/>
      <c r="BW144" s="198"/>
      <c r="BX144" s="198"/>
    </row>
    <row r="145" spans="1:76" x14ac:dyDescent="0.25">
      <c r="A145" s="2" t="str">
        <f>'Language Index'!A172</f>
        <v>Contingent Rental Expense</v>
      </c>
      <c r="B145" s="18">
        <f>_xll.ciqfunctions.udf.CIQ($C$2, "IQ_CONTINGENT_RENTAL", D$6,$F$2,,,Ccy,Conv)</f>
        <v>0</v>
      </c>
      <c r="C145" s="18">
        <f>_xll.ciqfunctions.udf.CIQ($C$2, "IQ_CONTINGENT_RENTAL", E$6,$F$2,,,Ccy,Conv)</f>
        <v>0</v>
      </c>
      <c r="D145" s="18">
        <f>_xll.ciqfunctions.udf.CIQ($C$2, "IQ_CONTINGENT_RENTAL", F$6,$F$2,,,Ccy,Conv)</f>
        <v>0</v>
      </c>
      <c r="E145" s="18">
        <f>_xll.ciqfunctions.udf.CIQ($C$2, "IQ_CONTINGENT_RENTAL", G$6,$F$2,,,Ccy,Conv)</f>
        <v>0</v>
      </c>
      <c r="F145" s="18">
        <f>_xll.ciqfunctions.udf.CIQ($C$2, "IQ_CONTINGENT_RENTAL", H$6,$F$2,,,Ccy,Conv)</f>
        <v>0</v>
      </c>
      <c r="G145" s="18">
        <f>_xll.ciqfunctions.udf.CIQ($C$2, "IQ_CONTINGENT_RENTAL", I$6,$F$2,,,Ccy,Conv)</f>
        <v>364</v>
      </c>
      <c r="H145" s="18">
        <f>_xll.ciqfunctions.udf.CIQ($C$2, "IQ_CONTINGENT_RENTAL", J$6,$F$2,,,Ccy,Conv)</f>
        <v>343</v>
      </c>
      <c r="I145" s="18">
        <f>_xll.ciqfunctions.udf.CIQ($C$2, "IQ_CONTINGENT_RENTAL", K$6,$F$2,,,Ccy,Conv)</f>
        <v>336</v>
      </c>
      <c r="J145" s="18">
        <f>_xll.ciqfunctions.udf.CIQ($C$2, "IQ_CONTINGENT_RENTAL", L$6,$F$2,,,Ccy,Conv)</f>
        <v>262</v>
      </c>
      <c r="K145" s="18">
        <f>_xll.ciqfunctions.udf.CIQ($C$2, "IQ_CONTINGENT_RENTAL", M$6,$F$2,,,Ccy,Conv)</f>
        <v>331</v>
      </c>
      <c r="L145" s="18">
        <f>_xll.ciqfunctions.udf.CIQ($C$2, "IQ_CONTINGENT_RENTAL", N$6,$F$2,,,Ccy,Conv)</f>
        <v>321</v>
      </c>
      <c r="M145" s="18"/>
      <c r="N145" s="18">
        <f>_xll.ciqfunctions.udf.CIQ($C$2, "IQ_CONTINGENT_RENTAL", P$6,$F$2,,,Ccy,Conv)</f>
        <v>321</v>
      </c>
      <c r="O145" s="221"/>
      <c r="P145" s="198"/>
      <c r="Q145" s="198"/>
      <c r="R145" s="198"/>
      <c r="S145" s="198"/>
      <c r="T145" s="205"/>
      <c r="U145" s="205"/>
      <c r="V145" s="205"/>
      <c r="W145" s="224"/>
      <c r="X145" s="224"/>
      <c r="Y145" s="224"/>
      <c r="Z145" s="224"/>
      <c r="AA145" s="224"/>
      <c r="AB145" s="224"/>
      <c r="AC145" s="198"/>
      <c r="AD145" s="198"/>
      <c r="AE145" s="198"/>
      <c r="AF145" s="224"/>
      <c r="AG145" s="198"/>
      <c r="AH145" s="198"/>
      <c r="AI145" s="198"/>
      <c r="AJ145" s="198"/>
      <c r="AK145" s="198"/>
      <c r="AL145" s="198"/>
      <c r="AM145" s="198"/>
      <c r="AN145" s="198"/>
      <c r="AO145" s="198"/>
      <c r="AP145" s="198"/>
      <c r="AQ145" s="198"/>
      <c r="AR145" s="198"/>
      <c r="AS145" s="198"/>
      <c r="AT145" s="198"/>
      <c r="AU145" s="198"/>
      <c r="AV145" s="198"/>
      <c r="AW145" s="198"/>
      <c r="AX145" s="198"/>
      <c r="AY145" s="198"/>
      <c r="AZ145" s="198"/>
      <c r="BA145" s="198"/>
      <c r="BB145" s="198"/>
      <c r="BC145" s="198"/>
      <c r="BD145" s="198"/>
      <c r="BE145" s="198"/>
      <c r="BF145" s="198"/>
      <c r="BG145" s="198"/>
      <c r="BH145" s="198"/>
      <c r="BI145" s="198"/>
      <c r="BJ145" s="198"/>
      <c r="BK145" s="198"/>
      <c r="BL145" s="198"/>
      <c r="BM145" s="198"/>
      <c r="BN145" s="198"/>
      <c r="BO145" s="198"/>
      <c r="BP145" s="198"/>
      <c r="BQ145" s="198"/>
      <c r="BR145" s="198"/>
      <c r="BS145" s="198"/>
      <c r="BT145" s="198"/>
      <c r="BU145" s="198"/>
      <c r="BV145" s="198"/>
      <c r="BW145" s="198"/>
      <c r="BX145" s="198"/>
    </row>
    <row r="146" spans="1:76" x14ac:dyDescent="0.25">
      <c r="A146" s="2" t="str">
        <f>'Language Index'!A173</f>
        <v>Minimum Rental Expense</v>
      </c>
      <c r="B146" s="18">
        <f>_xll.ciqfunctions.udf.CIQ($C$2, "IQ_MINIMUM_RENTAL", D$6,$F$2,,,Ccy,Conv)</f>
        <v>0</v>
      </c>
      <c r="C146" s="18">
        <f>_xll.ciqfunctions.udf.CIQ($C$2, "IQ_MINIMUM_RENTAL", E$6,$F$2,,,Ccy,Conv)</f>
        <v>0</v>
      </c>
      <c r="D146" s="18">
        <f>_xll.ciqfunctions.udf.CIQ($C$2, "IQ_MINIMUM_RENTAL", F$6,$F$2,,,Ccy,Conv)</f>
        <v>0</v>
      </c>
      <c r="E146" s="18">
        <f>_xll.ciqfunctions.udf.CIQ($C$2, "IQ_MINIMUM_RENTAL", G$6,$F$2,,,Ccy,Conv)</f>
        <v>0</v>
      </c>
      <c r="F146" s="18">
        <f>_xll.ciqfunctions.udf.CIQ($C$2, "IQ_MINIMUM_RENTAL", H$6,$F$2,,,Ccy,Conv)</f>
        <v>0</v>
      </c>
      <c r="G146" s="18">
        <f>_xll.ciqfunctions.udf.CIQ($C$2, "IQ_MINIMUM_RENTAL", I$6,$F$2,,,Ccy,Conv)</f>
        <v>0</v>
      </c>
      <c r="H146" s="18">
        <f>_xll.ciqfunctions.udf.CIQ($C$2, "IQ_MINIMUM_RENTAL", J$6,$F$2,,,Ccy,Conv)</f>
        <v>0</v>
      </c>
      <c r="I146" s="18">
        <f>_xll.ciqfunctions.udf.CIQ($C$2, "IQ_MINIMUM_RENTAL", K$6,$F$2,,,Ccy,Conv)</f>
        <v>0</v>
      </c>
      <c r="J146" s="18">
        <f>_xll.ciqfunctions.udf.CIQ($C$2, "IQ_MINIMUM_RENTAL", L$6,$F$2,,,Ccy,Conv)</f>
        <v>0</v>
      </c>
      <c r="K146" s="18">
        <f>_xll.ciqfunctions.udf.CIQ($C$2, "IQ_MINIMUM_RENTAL", M$6,$F$2,,,Ccy,Conv)</f>
        <v>0</v>
      </c>
      <c r="L146" s="18">
        <f>_xll.ciqfunctions.udf.CIQ($C$2, "IQ_MINIMUM_RENTAL", N$6,$F$2,,,Ccy,Conv)</f>
        <v>0</v>
      </c>
      <c r="M146" s="18"/>
      <c r="N146" s="18">
        <f>_xll.ciqfunctions.udf.CIQ($C$2, "IQ_MINIMUM_RENTAL", P$6,$F$2,,,Ccy,Conv)</f>
        <v>0</v>
      </c>
      <c r="O146" s="221"/>
      <c r="P146" s="198"/>
      <c r="Q146" s="198"/>
      <c r="R146" s="198"/>
      <c r="S146" s="198"/>
      <c r="T146" s="205"/>
      <c r="U146" s="205"/>
      <c r="V146" s="205"/>
      <c r="W146" s="224"/>
      <c r="X146" s="224"/>
      <c r="Y146" s="224"/>
      <c r="Z146" s="224"/>
      <c r="AA146" s="224"/>
      <c r="AB146" s="224"/>
      <c r="AC146" s="198"/>
      <c r="AD146" s="198"/>
      <c r="AE146" s="198"/>
      <c r="AF146" s="224"/>
      <c r="AG146" s="198"/>
      <c r="AH146" s="198"/>
      <c r="AI146" s="198"/>
      <c r="AJ146" s="198"/>
      <c r="AK146" s="198"/>
      <c r="AL146" s="198"/>
      <c r="AM146" s="198"/>
      <c r="AN146" s="198"/>
      <c r="AO146" s="198"/>
      <c r="AP146" s="198"/>
      <c r="AQ146" s="198"/>
      <c r="AR146" s="198"/>
      <c r="AS146" s="198"/>
      <c r="AT146" s="198"/>
      <c r="AU146" s="198"/>
      <c r="AV146" s="198"/>
      <c r="AW146" s="198"/>
      <c r="AX146" s="198"/>
      <c r="AY146" s="198"/>
      <c r="AZ146" s="198"/>
      <c r="BA146" s="198"/>
      <c r="BB146" s="198"/>
      <c r="BC146" s="198"/>
      <c r="BD146" s="198"/>
      <c r="BE146" s="198"/>
      <c r="BF146" s="198"/>
      <c r="BG146" s="198"/>
      <c r="BH146" s="198"/>
      <c r="BI146" s="198"/>
      <c r="BJ146" s="198"/>
      <c r="BK146" s="198"/>
      <c r="BL146" s="198"/>
      <c r="BM146" s="198"/>
      <c r="BN146" s="198"/>
      <c r="BO146" s="198"/>
      <c r="BP146" s="198"/>
      <c r="BQ146" s="198"/>
      <c r="BR146" s="198"/>
      <c r="BS146" s="198"/>
      <c r="BT146" s="198"/>
      <c r="BU146" s="198"/>
      <c r="BV146" s="198"/>
      <c r="BW146" s="198"/>
      <c r="BX146" s="198"/>
    </row>
    <row r="147" spans="1:76" x14ac:dyDescent="0.25">
      <c r="A147" s="2" t="str">
        <f>'Language Index'!A174</f>
        <v>Other Rental Expense</v>
      </c>
      <c r="B147" s="18">
        <f>_xll.ciqfunctions.udf.CIQ($C$2, "IQ_OTHER_RENTAL", D$6,$F$2,,,Ccy,Conv)</f>
        <v>0</v>
      </c>
      <c r="C147" s="18">
        <f>_xll.ciqfunctions.udf.CIQ($C$2, "IQ_OTHER_RENTAL", E$6,$F$2,,,Ccy,Conv)</f>
        <v>0</v>
      </c>
      <c r="D147" s="18">
        <f>_xll.ciqfunctions.udf.CIQ($C$2, "IQ_OTHER_RENTAL", F$6,$F$2,,,Ccy,Conv)</f>
        <v>0</v>
      </c>
      <c r="E147" s="18">
        <f>_xll.ciqfunctions.udf.CIQ($C$2, "IQ_OTHER_RENTAL", G$6,$F$2,,,Ccy,Conv)</f>
        <v>0</v>
      </c>
      <c r="F147" s="18">
        <f>_xll.ciqfunctions.udf.CIQ($C$2, "IQ_OTHER_RENTAL", H$6,$F$2,,,Ccy,Conv)</f>
        <v>0</v>
      </c>
      <c r="G147" s="18">
        <f>_xll.ciqfunctions.udf.CIQ($C$2, "IQ_OTHER_RENTAL", I$6,$F$2,,,Ccy,Conv)</f>
        <v>0</v>
      </c>
      <c r="H147" s="18">
        <f>_xll.ciqfunctions.udf.CIQ($C$2, "IQ_OTHER_RENTAL", J$6,$F$2,,,Ccy,Conv)</f>
        <v>0</v>
      </c>
      <c r="I147" s="18">
        <f>_xll.ciqfunctions.udf.CIQ($C$2, "IQ_OTHER_RENTAL", K$6,$F$2,,,Ccy,Conv)</f>
        <v>0</v>
      </c>
      <c r="J147" s="18">
        <f>_xll.ciqfunctions.udf.CIQ($C$2, "IQ_OTHER_RENTAL", L$6,$F$2,,,Ccy,Conv)</f>
        <v>0</v>
      </c>
      <c r="K147" s="18">
        <f>_xll.ciqfunctions.udf.CIQ($C$2, "IQ_OTHER_RENTAL", M$6,$F$2,,,Ccy,Conv)</f>
        <v>0</v>
      </c>
      <c r="L147" s="18">
        <f>_xll.ciqfunctions.udf.CIQ($C$2, "IQ_OTHER_RENTAL", N$6,$F$2,,,Ccy,Conv)</f>
        <v>0</v>
      </c>
      <c r="M147" s="18"/>
      <c r="N147" s="18">
        <f>_xll.ciqfunctions.udf.CIQ($C$2, "IQ_OTHER_RENTAL", P$6,$F$2,,,Ccy,Conv)</f>
        <v>0</v>
      </c>
      <c r="O147" s="221"/>
      <c r="P147" s="198"/>
      <c r="Q147" s="198"/>
      <c r="R147" s="198"/>
      <c r="S147" s="198"/>
      <c r="T147" s="205"/>
      <c r="U147" s="205"/>
      <c r="V147" s="205"/>
      <c r="W147" s="224"/>
      <c r="X147" s="224"/>
      <c r="Y147" s="224"/>
      <c r="Z147" s="224"/>
      <c r="AA147" s="224"/>
      <c r="AB147" s="224"/>
      <c r="AC147" s="198"/>
      <c r="AD147" s="198"/>
      <c r="AE147" s="198"/>
      <c r="AF147" s="224"/>
      <c r="AG147" s="198"/>
      <c r="AH147" s="198"/>
      <c r="AI147" s="198"/>
      <c r="AJ147" s="198"/>
      <c r="AK147" s="198"/>
      <c r="AL147" s="198"/>
      <c r="AM147" s="198"/>
      <c r="AN147" s="198"/>
      <c r="AO147" s="198"/>
      <c r="AP147" s="198"/>
      <c r="AQ147" s="198"/>
      <c r="AR147" s="198"/>
      <c r="AS147" s="198"/>
      <c r="AT147" s="198"/>
      <c r="AU147" s="198"/>
      <c r="AV147" s="198"/>
      <c r="AW147" s="198"/>
      <c r="AX147" s="198"/>
      <c r="AY147" s="198"/>
      <c r="AZ147" s="198"/>
      <c r="BA147" s="198"/>
      <c r="BB147" s="198"/>
      <c r="BC147" s="198"/>
      <c r="BD147" s="198"/>
      <c r="BE147" s="198"/>
      <c r="BF147" s="198"/>
      <c r="BG147" s="198"/>
      <c r="BH147" s="198"/>
      <c r="BI147" s="198"/>
      <c r="BJ147" s="198"/>
      <c r="BK147" s="198"/>
      <c r="BL147" s="198"/>
      <c r="BM147" s="198"/>
      <c r="BN147" s="198"/>
      <c r="BO147" s="198"/>
      <c r="BP147" s="198"/>
      <c r="BQ147" s="198"/>
      <c r="BR147" s="198"/>
      <c r="BS147" s="198"/>
      <c r="BT147" s="198"/>
      <c r="BU147" s="198"/>
      <c r="BV147" s="198"/>
      <c r="BW147" s="198"/>
      <c r="BX147" s="198"/>
    </row>
    <row r="148" spans="1:76" x14ac:dyDescent="0.25">
      <c r="A148" s="2" t="str">
        <f>'Language Index'!A175</f>
        <v>Aircraft Rental Expense</v>
      </c>
      <c r="B148" s="18">
        <f>_xll.ciqfunctions.udf.CIQ($C$2, "IQ_AIRCRAFT_RENT", D$6,$F$2,,,Ccy,Conv)</f>
        <v>0</v>
      </c>
      <c r="C148" s="18">
        <f>_xll.ciqfunctions.udf.CIQ($C$2, "IQ_AIRCRAFT_RENT", E$6,$F$2,,,Ccy,Conv)</f>
        <v>0</v>
      </c>
      <c r="D148" s="18">
        <f>_xll.ciqfunctions.udf.CIQ($C$2, "IQ_AIRCRAFT_RENT", F$6,$F$2,,,Ccy,Conv)</f>
        <v>0</v>
      </c>
      <c r="E148" s="18">
        <f>_xll.ciqfunctions.udf.CIQ($C$2, "IQ_AIRCRAFT_RENT", G$6,$F$2,,,Ccy,Conv)</f>
        <v>0</v>
      </c>
      <c r="F148" s="18">
        <f>_xll.ciqfunctions.udf.CIQ($C$2, "IQ_AIRCRAFT_RENT", H$6,$F$2,,,Ccy,Conv)</f>
        <v>0</v>
      </c>
      <c r="G148" s="18">
        <f>_xll.ciqfunctions.udf.CIQ($C$2, "IQ_AIRCRAFT_RENT", I$6,$F$2,,,Ccy,Conv)</f>
        <v>0</v>
      </c>
      <c r="H148" s="18">
        <f>_xll.ciqfunctions.udf.CIQ($C$2, "IQ_AIRCRAFT_RENT", J$6,$F$2,,,Ccy,Conv)</f>
        <v>0</v>
      </c>
      <c r="I148" s="18">
        <f>_xll.ciqfunctions.udf.CIQ($C$2, "IQ_AIRCRAFT_RENT", K$6,$F$2,,,Ccy,Conv)</f>
        <v>0</v>
      </c>
      <c r="J148" s="18">
        <f>_xll.ciqfunctions.udf.CIQ($C$2, "IQ_AIRCRAFT_RENT", L$6,$F$2,,,Ccy,Conv)</f>
        <v>0</v>
      </c>
      <c r="K148" s="18">
        <f>_xll.ciqfunctions.udf.CIQ($C$2, "IQ_AIRCRAFT_RENT", M$6,$F$2,,,Ccy,Conv)</f>
        <v>0</v>
      </c>
      <c r="L148" s="18">
        <f>_xll.ciqfunctions.udf.CIQ($C$2, "IQ_AIRCRAFT_RENT", N$6,$F$2,,,Ccy,Conv)</f>
        <v>0</v>
      </c>
      <c r="M148" s="18"/>
      <c r="N148" s="18">
        <f>_xll.ciqfunctions.udf.CIQ($C$2, "IQ_AIRCRAFT_RENT", P$6,$F$2,,,Ccy,Conv)</f>
        <v>0</v>
      </c>
      <c r="O148" s="221"/>
      <c r="P148" s="198"/>
      <c r="Q148" s="198"/>
      <c r="R148" s="198"/>
      <c r="S148" s="198"/>
      <c r="T148" s="205"/>
      <c r="U148" s="205"/>
      <c r="V148" s="205"/>
      <c r="W148" s="224"/>
      <c r="X148" s="224"/>
      <c r="Y148" s="224"/>
      <c r="Z148" s="224"/>
      <c r="AA148" s="224"/>
      <c r="AB148" s="224"/>
      <c r="AC148" s="198"/>
      <c r="AD148" s="198"/>
      <c r="AE148" s="198"/>
      <c r="AF148" s="224"/>
      <c r="AG148" s="198"/>
      <c r="AH148" s="198"/>
      <c r="AI148" s="198"/>
      <c r="AJ148" s="198"/>
      <c r="AK148" s="198"/>
      <c r="AL148" s="198"/>
      <c r="AM148" s="198"/>
      <c r="AN148" s="198"/>
      <c r="AO148" s="198"/>
      <c r="AP148" s="198"/>
      <c r="AQ148" s="198"/>
      <c r="AR148" s="198"/>
      <c r="AS148" s="198"/>
      <c r="AT148" s="198"/>
      <c r="AU148" s="198"/>
      <c r="AV148" s="198"/>
      <c r="AW148" s="198"/>
      <c r="AX148" s="198"/>
      <c r="AY148" s="198"/>
      <c r="AZ148" s="198"/>
      <c r="BA148" s="198"/>
      <c r="BB148" s="198"/>
      <c r="BC148" s="198"/>
      <c r="BD148" s="198"/>
      <c r="BE148" s="198"/>
      <c r="BF148" s="198"/>
      <c r="BG148" s="198"/>
      <c r="BH148" s="198"/>
      <c r="BI148" s="198"/>
      <c r="BJ148" s="198"/>
      <c r="BK148" s="198"/>
      <c r="BL148" s="198"/>
      <c r="BM148" s="198"/>
      <c r="BN148" s="198"/>
      <c r="BO148" s="198"/>
      <c r="BP148" s="198"/>
      <c r="BQ148" s="198"/>
      <c r="BR148" s="198"/>
      <c r="BS148" s="198"/>
      <c r="BT148" s="198"/>
      <c r="BU148" s="198"/>
      <c r="BV148" s="198"/>
      <c r="BW148" s="198"/>
      <c r="BX148" s="198"/>
    </row>
    <row r="149" spans="1:76" x14ac:dyDescent="0.25">
      <c r="A149" s="2" t="str">
        <f>'Language Index'!A176</f>
        <v>Depreciation of Rental Assets</v>
      </c>
      <c r="B149" s="18">
        <f>_xll.ciqfunctions.udf.CIQ($C$2, "IQ_DEPRECIATION_RENTAL_ASSETS", D$6,$F$2,,,Ccy,Conv)</f>
        <v>0</v>
      </c>
      <c r="C149" s="18">
        <f>_xll.ciqfunctions.udf.CIQ($C$2, "IQ_DEPRECIATION_RENTAL_ASSETS", E$6,$F$2,,,Ccy,Conv)</f>
        <v>0</v>
      </c>
      <c r="D149" s="18">
        <f>_xll.ciqfunctions.udf.CIQ($C$2, "IQ_DEPRECIATION_RENTAL_ASSETS", F$6,$F$2,,,Ccy,Conv)</f>
        <v>0</v>
      </c>
      <c r="E149" s="18">
        <f>_xll.ciqfunctions.udf.CIQ($C$2, "IQ_DEPRECIATION_RENTAL_ASSETS", G$6,$F$2,,,Ccy,Conv)</f>
        <v>0</v>
      </c>
      <c r="F149" s="18">
        <f>_xll.ciqfunctions.udf.CIQ($C$2, "IQ_DEPRECIATION_RENTAL_ASSETS", H$6,$F$2,,,Ccy,Conv)</f>
        <v>0</v>
      </c>
      <c r="G149" s="18">
        <f>_xll.ciqfunctions.udf.CIQ($C$2, "IQ_DEPRECIATION_RENTAL_ASSETS", I$6,$F$2,,,Ccy,Conv)</f>
        <v>0</v>
      </c>
      <c r="H149" s="18">
        <f>_xll.ciqfunctions.udf.CIQ($C$2, "IQ_DEPRECIATION_RENTAL_ASSETS", J$6,$F$2,,,Ccy,Conv)</f>
        <v>0</v>
      </c>
      <c r="I149" s="18">
        <f>_xll.ciqfunctions.udf.CIQ($C$2, "IQ_DEPRECIATION_RENTAL_ASSETS", K$6,$F$2,,,Ccy,Conv)</f>
        <v>0</v>
      </c>
      <c r="J149" s="18">
        <f>_xll.ciqfunctions.udf.CIQ($C$2, "IQ_DEPRECIATION_RENTAL_ASSETS", L$6,$F$2,,,Ccy,Conv)</f>
        <v>0</v>
      </c>
      <c r="K149" s="18">
        <f>_xll.ciqfunctions.udf.CIQ($C$2, "IQ_DEPRECIATION_RENTAL_ASSETS", M$6,$F$2,,,Ccy,Conv)</f>
        <v>0</v>
      </c>
      <c r="L149" s="18">
        <f>_xll.ciqfunctions.udf.CIQ($C$2, "IQ_DEPRECIATION_RENTAL_ASSETS", N$6,$F$2,,,Ccy,Conv)</f>
        <v>0</v>
      </c>
      <c r="M149" s="18"/>
      <c r="N149" s="18">
        <f>_xll.ciqfunctions.udf.CIQ($C$2, "IQ_DEPRECIATION_RENTAL_ASSETS", P$6,$F$2,,,Ccy,Conv)</f>
        <v>0</v>
      </c>
      <c r="O149" s="221"/>
      <c r="P149" s="198"/>
      <c r="Q149" s="198"/>
      <c r="R149" s="198"/>
      <c r="S149" s="198"/>
      <c r="T149" s="205"/>
      <c r="U149" s="205"/>
      <c r="V149" s="205"/>
      <c r="W149" s="224"/>
      <c r="X149" s="224"/>
      <c r="Y149" s="224"/>
      <c r="Z149" s="224"/>
      <c r="AA149" s="224"/>
      <c r="AB149" s="224"/>
      <c r="AC149" s="198"/>
      <c r="AD149" s="198"/>
      <c r="AE149" s="198"/>
      <c r="AF149" s="224"/>
      <c r="AG149" s="198"/>
      <c r="AH149" s="198"/>
      <c r="AI149" s="198"/>
      <c r="AJ149" s="198"/>
      <c r="AK149" s="198"/>
      <c r="AL149" s="198"/>
      <c r="AM149" s="198"/>
      <c r="AN149" s="198"/>
      <c r="AO149" s="198"/>
      <c r="AP149" s="198"/>
      <c r="AQ149" s="198"/>
      <c r="AR149" s="198"/>
      <c r="AS149" s="198"/>
      <c r="AT149" s="198"/>
      <c r="AU149" s="198"/>
      <c r="AV149" s="198"/>
      <c r="AW149" s="198"/>
      <c r="AX149" s="198"/>
      <c r="AY149" s="198"/>
      <c r="AZ149" s="198"/>
      <c r="BA149" s="198"/>
      <c r="BB149" s="198"/>
      <c r="BC149" s="198"/>
      <c r="BD149" s="198"/>
      <c r="BE149" s="198"/>
      <c r="BF149" s="198"/>
      <c r="BG149" s="198"/>
      <c r="BH149" s="198"/>
      <c r="BI149" s="198"/>
      <c r="BJ149" s="198"/>
      <c r="BK149" s="198"/>
      <c r="BL149" s="198"/>
      <c r="BM149" s="198"/>
      <c r="BN149" s="198"/>
      <c r="BO149" s="198"/>
      <c r="BP149" s="198"/>
      <c r="BQ149" s="198"/>
      <c r="BR149" s="198"/>
      <c r="BS149" s="198"/>
      <c r="BT149" s="198"/>
      <c r="BU149" s="198"/>
      <c r="BV149" s="198"/>
      <c r="BW149" s="198"/>
      <c r="BX149" s="198"/>
    </row>
    <row r="150" spans="1:76" x14ac:dyDescent="0.25">
      <c r="A150" s="2" t="str">
        <f>'Language Index'!A177</f>
        <v>Exploration/Drilling Exp.</v>
      </c>
      <c r="B150" s="18">
        <f>_xll.ciqfunctions.udf.CIQ($C$2, "IQ_EXPLORE_DRILL_EXP_TOTAL", D$6,$F$2,,,Ccy,Conv)</f>
        <v>0</v>
      </c>
      <c r="C150" s="18">
        <f>_xll.ciqfunctions.udf.CIQ($C$2, "IQ_EXPLORE_DRILL_EXP_TOTAL", E$6,$F$2,,,Ccy,Conv)</f>
        <v>0</v>
      </c>
      <c r="D150" s="18">
        <f>_xll.ciqfunctions.udf.CIQ($C$2, "IQ_EXPLORE_DRILL_EXP_TOTAL", F$6,$F$2,,,Ccy,Conv)</f>
        <v>0</v>
      </c>
      <c r="E150" s="18">
        <f>_xll.ciqfunctions.udf.CIQ($C$2, "IQ_EXPLORE_DRILL_EXP_TOTAL", G$6,$F$2,,,Ccy,Conv)</f>
        <v>0</v>
      </c>
      <c r="F150" s="18">
        <f>_xll.ciqfunctions.udf.CIQ($C$2, "IQ_EXPLORE_DRILL_EXP_TOTAL", H$6,$F$2,,,Ccy,Conv)</f>
        <v>0</v>
      </c>
      <c r="G150" s="18">
        <f>_xll.ciqfunctions.udf.CIQ($C$2, "IQ_EXPLORE_DRILL_EXP_TOTAL", I$6,$F$2,,,Ccy,Conv)</f>
        <v>0</v>
      </c>
      <c r="H150" s="18">
        <f>_xll.ciqfunctions.udf.CIQ($C$2, "IQ_EXPLORE_DRILL_EXP_TOTAL", J$6,$F$2,,,Ccy,Conv)</f>
        <v>0</v>
      </c>
      <c r="I150" s="18">
        <f>_xll.ciqfunctions.udf.CIQ($C$2, "IQ_EXPLORE_DRILL_EXP_TOTAL", K$6,$F$2,,,Ccy,Conv)</f>
        <v>0</v>
      </c>
      <c r="J150" s="18">
        <f>_xll.ciqfunctions.udf.CIQ($C$2, "IQ_EXPLORE_DRILL_EXP_TOTAL", L$6,$F$2,,,Ccy,Conv)</f>
        <v>0</v>
      </c>
      <c r="K150" s="18">
        <f>_xll.ciqfunctions.udf.CIQ($C$2, "IQ_EXPLORE_DRILL_EXP_TOTAL", M$6,$F$2,,,Ccy,Conv)</f>
        <v>0</v>
      </c>
      <c r="L150" s="18">
        <f>_xll.ciqfunctions.udf.CIQ($C$2, "IQ_EXPLORE_DRILL_EXP_TOTAL", N$6,$F$2,,,Ccy,Conv)</f>
        <v>0</v>
      </c>
      <c r="M150" s="18"/>
      <c r="N150" s="18">
        <f>_xll.ciqfunctions.udf.CIQ($C$2, "IQ_EXPLORE_DRILL_EXP_TOTAL", P$6,$F$2,,,Ccy,Conv)</f>
        <v>0</v>
      </c>
      <c r="O150" s="221"/>
      <c r="P150" s="198"/>
      <c r="Q150" s="198"/>
      <c r="R150" s="198"/>
      <c r="S150" s="198"/>
      <c r="T150" s="205"/>
      <c r="U150" s="205"/>
      <c r="V150" s="205"/>
      <c r="W150" s="224"/>
      <c r="X150" s="224"/>
      <c r="Y150" s="224"/>
      <c r="Z150" s="224"/>
      <c r="AA150" s="224"/>
      <c r="AB150" s="224"/>
      <c r="AC150" s="198"/>
      <c r="AD150" s="198"/>
      <c r="AE150" s="198"/>
      <c r="AF150" s="224"/>
      <c r="AG150" s="198"/>
      <c r="AH150" s="198"/>
      <c r="AI150" s="198"/>
      <c r="AJ150" s="198"/>
      <c r="AK150" s="198"/>
      <c r="AL150" s="198"/>
      <c r="AM150" s="198"/>
      <c r="AN150" s="198"/>
      <c r="AO150" s="198"/>
      <c r="AP150" s="198"/>
      <c r="AQ150" s="198"/>
      <c r="AR150" s="198"/>
      <c r="AS150" s="198"/>
      <c r="AT150" s="198"/>
      <c r="AU150" s="198"/>
      <c r="AV150" s="198"/>
      <c r="AW150" s="198"/>
      <c r="AX150" s="198"/>
      <c r="AY150" s="198"/>
      <c r="AZ150" s="198"/>
      <c r="BA150" s="198"/>
      <c r="BB150" s="198"/>
      <c r="BC150" s="198"/>
      <c r="BD150" s="198"/>
      <c r="BE150" s="198"/>
      <c r="BF150" s="198"/>
      <c r="BG150" s="198"/>
      <c r="BH150" s="198"/>
      <c r="BI150" s="198"/>
      <c r="BJ150" s="198"/>
      <c r="BK150" s="198"/>
      <c r="BL150" s="198"/>
      <c r="BM150" s="198"/>
      <c r="BN150" s="198"/>
      <c r="BO150" s="198"/>
      <c r="BP150" s="198"/>
      <c r="BQ150" s="198"/>
      <c r="BR150" s="198"/>
      <c r="BS150" s="198"/>
      <c r="BT150" s="198"/>
      <c r="BU150" s="198"/>
      <c r="BV150" s="198"/>
      <c r="BW150" s="198"/>
      <c r="BX150" s="198"/>
    </row>
    <row r="151" spans="1:76" x14ac:dyDescent="0.25">
      <c r="A151" s="2" t="str">
        <f>'Language Index'!A178</f>
        <v>Maintenance &amp; Repair Expenses</v>
      </c>
      <c r="B151" s="18">
        <f>_xll.ciqfunctions.udf.CIQ($C$2, "IQ_MAINT_REPAIR", D$6,$F$2,,,Ccy,Conv)</f>
        <v>0</v>
      </c>
      <c r="C151" s="18">
        <f>_xll.ciqfunctions.udf.CIQ($C$2, "IQ_MAINT_REPAIR", E$6,$F$2,,,Ccy,Conv)</f>
        <v>0</v>
      </c>
      <c r="D151" s="18">
        <f>_xll.ciqfunctions.udf.CIQ($C$2, "IQ_MAINT_REPAIR", F$6,$F$2,,,Ccy,Conv)</f>
        <v>0</v>
      </c>
      <c r="E151" s="18">
        <f>_xll.ciqfunctions.udf.CIQ($C$2, "IQ_MAINT_REPAIR", G$6,$F$2,,,Ccy,Conv)</f>
        <v>0</v>
      </c>
      <c r="F151" s="18">
        <f>_xll.ciqfunctions.udf.CIQ($C$2, "IQ_MAINT_REPAIR", H$6,$F$2,,,Ccy,Conv)</f>
        <v>0</v>
      </c>
      <c r="G151" s="18">
        <f>_xll.ciqfunctions.udf.CIQ($C$2, "IQ_MAINT_REPAIR", I$6,$F$2,,,Ccy,Conv)</f>
        <v>0</v>
      </c>
      <c r="H151" s="18">
        <f>_xll.ciqfunctions.udf.CIQ($C$2, "IQ_MAINT_REPAIR", J$6,$F$2,,,Ccy,Conv)</f>
        <v>0</v>
      </c>
      <c r="I151" s="18">
        <f>_xll.ciqfunctions.udf.CIQ($C$2, "IQ_MAINT_REPAIR", K$6,$F$2,,,Ccy,Conv)</f>
        <v>0</v>
      </c>
      <c r="J151" s="18">
        <f>_xll.ciqfunctions.udf.CIQ($C$2, "IQ_MAINT_REPAIR", L$6,$F$2,,,Ccy,Conv)</f>
        <v>0</v>
      </c>
      <c r="K151" s="18">
        <f>_xll.ciqfunctions.udf.CIQ($C$2, "IQ_MAINT_REPAIR", M$6,$F$2,,,Ccy,Conv)</f>
        <v>0</v>
      </c>
      <c r="L151" s="18">
        <f>_xll.ciqfunctions.udf.CIQ($C$2, "IQ_MAINT_REPAIR", N$6,$F$2,,,Ccy,Conv)</f>
        <v>0</v>
      </c>
      <c r="M151" s="18"/>
      <c r="N151" s="18">
        <f>_xll.ciqfunctions.udf.CIQ($C$2, "IQ_MAINT_REPAIR", P$6,$F$2,,,Ccy,Conv)</f>
        <v>0</v>
      </c>
      <c r="O151" s="221"/>
      <c r="P151" s="198"/>
      <c r="Q151" s="198"/>
      <c r="R151" s="198"/>
      <c r="S151" s="198"/>
      <c r="T151" s="205"/>
      <c r="U151" s="205"/>
      <c r="V151" s="205"/>
      <c r="W151" s="224"/>
      <c r="X151" s="224"/>
      <c r="Y151" s="224"/>
      <c r="Z151" s="224"/>
      <c r="AA151" s="224"/>
      <c r="AB151" s="224"/>
      <c r="AC151" s="198"/>
      <c r="AD151" s="198"/>
      <c r="AE151" s="198"/>
      <c r="AF151" s="224"/>
      <c r="AG151" s="198"/>
      <c r="AH151" s="198"/>
      <c r="AI151" s="198"/>
      <c r="AJ151" s="198"/>
      <c r="AK151" s="198"/>
      <c r="AL151" s="198"/>
      <c r="AM151" s="198"/>
      <c r="AN151" s="198"/>
      <c r="AO151" s="198"/>
      <c r="AP151" s="198"/>
      <c r="AQ151" s="198"/>
      <c r="AR151" s="198"/>
      <c r="AS151" s="198"/>
      <c r="AT151" s="198"/>
      <c r="AU151" s="198"/>
      <c r="AV151" s="198"/>
      <c r="AW151" s="198"/>
      <c r="AX151" s="198"/>
      <c r="AY151" s="198"/>
      <c r="AZ151" s="198"/>
      <c r="BA151" s="198"/>
      <c r="BB151" s="198"/>
      <c r="BC151" s="198"/>
      <c r="BD151" s="198"/>
      <c r="BE151" s="198"/>
      <c r="BF151" s="198"/>
      <c r="BG151" s="198"/>
      <c r="BH151" s="198"/>
      <c r="BI151" s="198"/>
      <c r="BJ151" s="198"/>
      <c r="BK151" s="198"/>
      <c r="BL151" s="198"/>
      <c r="BM151" s="198"/>
      <c r="BN151" s="198"/>
      <c r="BO151" s="198"/>
      <c r="BP151" s="198"/>
      <c r="BQ151" s="198"/>
      <c r="BR151" s="198"/>
      <c r="BS151" s="198"/>
      <c r="BT151" s="198"/>
      <c r="BU151" s="198"/>
      <c r="BV151" s="198"/>
      <c r="BW151" s="198"/>
      <c r="BX151" s="198"/>
    </row>
    <row r="152" spans="1:76" x14ac:dyDescent="0.25">
      <c r="A152" s="2" t="str">
        <f>'Language Index'!A179</f>
        <v>Imputed Oper. Lease Interest Exp</v>
      </c>
      <c r="B152" s="18">
        <f>_xll.ciqfunctions.udf.CIQ($C$2, "IQ_IMPUT_OPER_LEASE_INT_EXP", D$6,$F$2,,,Ccy,Conv)</f>
        <v>145.28085999999999</v>
      </c>
      <c r="C152" s="18">
        <f>_xll.ciqfunctions.udf.CIQ($C$2, "IQ_IMPUT_OPER_LEASE_INT_EXP", E$6,$F$2,,,Ccy,Conv)</f>
        <v>134.2116</v>
      </c>
      <c r="D152" s="18">
        <f>_xll.ciqfunctions.udf.CIQ($C$2, "IQ_IMPUT_OPER_LEASE_INT_EXP", F$6,$F$2,,,Ccy,Conv)</f>
        <v>0</v>
      </c>
      <c r="E152" s="18">
        <f>_xll.ciqfunctions.udf.CIQ($C$2, "IQ_IMPUT_OPER_LEASE_INT_EXP", G$6,$F$2,,,Ccy,Conv)</f>
        <v>0</v>
      </c>
      <c r="F152" s="18">
        <f>_xll.ciqfunctions.udf.CIQ($C$2, "IQ_IMPUT_OPER_LEASE_INT_EXP", H$6,$F$2,,,Ccy,Conv)</f>
        <v>0</v>
      </c>
      <c r="G152" s="18">
        <f>_xll.ciqfunctions.udf.CIQ($C$2, "IQ_IMPUT_OPER_LEASE_INT_EXP", I$6,$F$2,,,Ccy,Conv)</f>
        <v>307.13652000000002</v>
      </c>
      <c r="H152" s="18">
        <f>_xll.ciqfunctions.udf.CIQ($C$2, "IQ_IMPUT_OPER_LEASE_INT_EXP", J$6,$F$2,,,Ccy,Conv)</f>
        <v>236.61014</v>
      </c>
      <c r="I152" s="18">
        <f>_xll.ciqfunctions.udf.CIQ($C$2, "IQ_IMPUT_OPER_LEASE_INT_EXP", K$6,$F$2,,,Ccy,Conv)</f>
        <v>221.44745</v>
      </c>
      <c r="J152" s="18">
        <f>_xll.ciqfunctions.udf.CIQ($C$2, "IQ_IMPUT_OPER_LEASE_INT_EXP", L$6,$F$2,,,Ccy,Conv)</f>
        <v>223.18306999999999</v>
      </c>
      <c r="K152" s="18">
        <f>_xll.ciqfunctions.udf.CIQ($C$2, "IQ_IMPUT_OPER_LEASE_INT_EXP", M$6,$F$2,,,Ccy,Conv)</f>
        <v>293.15996999999999</v>
      </c>
      <c r="L152" s="18">
        <f>_xll.ciqfunctions.udf.CIQ($C$2, "IQ_IMPUT_OPER_LEASE_INT_EXP", N$6,$F$2,,,Ccy,Conv)</f>
        <v>305.13314000000003</v>
      </c>
      <c r="M152" s="18"/>
      <c r="N152" s="18">
        <f>_xll.ciqfunctions.udf.CIQ($C$2, "IQ_IMPUT_OPER_LEASE_INT_EXP", P$6,$F$2,,,Ccy,Conv)</f>
        <v>305.13314000000003</v>
      </c>
      <c r="O152" s="221"/>
      <c r="P152" s="198"/>
      <c r="Q152" s="198"/>
      <c r="R152" s="198"/>
      <c r="S152" s="198"/>
      <c r="T152" s="205"/>
      <c r="U152" s="205"/>
      <c r="V152" s="205"/>
      <c r="W152" s="224"/>
      <c r="X152" s="224"/>
      <c r="Y152" s="224"/>
      <c r="Z152" s="224"/>
      <c r="AA152" s="224"/>
      <c r="AB152" s="224"/>
      <c r="AC152" s="198"/>
      <c r="AD152" s="198"/>
      <c r="AE152" s="198"/>
      <c r="AF152" s="224"/>
      <c r="AG152" s="198"/>
      <c r="AH152" s="198"/>
      <c r="AI152" s="198"/>
      <c r="AJ152" s="198"/>
      <c r="AK152" s="198"/>
      <c r="AL152" s="198"/>
      <c r="AM152" s="198"/>
      <c r="AN152" s="198"/>
      <c r="AO152" s="198"/>
      <c r="AP152" s="198"/>
      <c r="AQ152" s="198"/>
      <c r="AR152" s="198"/>
      <c r="AS152" s="198"/>
      <c r="AT152" s="198"/>
      <c r="AU152" s="198"/>
      <c r="AV152" s="198"/>
      <c r="AW152" s="198"/>
      <c r="AX152" s="198"/>
      <c r="AY152" s="198"/>
      <c r="AZ152" s="198"/>
      <c r="BA152" s="198"/>
      <c r="BB152" s="198"/>
      <c r="BC152" s="198"/>
      <c r="BD152" s="198"/>
      <c r="BE152" s="198"/>
      <c r="BF152" s="198"/>
      <c r="BG152" s="198"/>
      <c r="BH152" s="198"/>
      <c r="BI152" s="198"/>
      <c r="BJ152" s="198"/>
      <c r="BK152" s="198"/>
      <c r="BL152" s="198"/>
      <c r="BM152" s="198"/>
      <c r="BN152" s="198"/>
      <c r="BO152" s="198"/>
      <c r="BP152" s="198"/>
      <c r="BQ152" s="198"/>
      <c r="BR152" s="198"/>
      <c r="BS152" s="198"/>
      <c r="BT152" s="198"/>
      <c r="BU152" s="198"/>
      <c r="BV152" s="198"/>
      <c r="BW152" s="198"/>
      <c r="BX152" s="198"/>
    </row>
    <row r="153" spans="1:76" x14ac:dyDescent="0.25">
      <c r="A153" s="2" t="str">
        <f>'Language Index'!A180</f>
        <v>Imputed Oper. Lease Depreciation</v>
      </c>
      <c r="B153" s="18">
        <f>_xll.ciqfunctions.udf.CIQ($C$2, "IQ_IMPUT_OPER_LEASE_DEPR", D$6,$F$2,,,Ccy,Conv)</f>
        <v>1351.7191399999999</v>
      </c>
      <c r="C153" s="18">
        <f>_xll.ciqfunctions.udf.CIQ($C$2, "IQ_IMPUT_OPER_LEASE_DEPR", E$6,$F$2,,,Ccy,Conv)</f>
        <v>1310.7883999999999</v>
      </c>
      <c r="D153" s="18">
        <f>_xll.ciqfunctions.udf.CIQ($C$2, "IQ_IMPUT_OPER_LEASE_DEPR", F$6,$F$2,,,Ccy,Conv)</f>
        <v>0</v>
      </c>
      <c r="E153" s="18">
        <f>_xll.ciqfunctions.udf.CIQ($C$2, "IQ_IMPUT_OPER_LEASE_DEPR", G$6,$F$2,,,Ccy,Conv)</f>
        <v>0</v>
      </c>
      <c r="F153" s="18">
        <f>_xll.ciqfunctions.udf.CIQ($C$2, "IQ_IMPUT_OPER_LEASE_DEPR", H$6,$F$2,,,Ccy,Conv)</f>
        <v>0</v>
      </c>
      <c r="G153" s="18">
        <f>_xll.ciqfunctions.udf.CIQ($C$2, "IQ_IMPUT_OPER_LEASE_DEPR", I$6,$F$2,,,Ccy,Conv)</f>
        <v>1315.86348</v>
      </c>
      <c r="H153" s="18">
        <f>_xll.ciqfunctions.udf.CIQ($C$2, "IQ_IMPUT_OPER_LEASE_DEPR", J$6,$F$2,,,Ccy,Conv)</f>
        <v>1287.38986</v>
      </c>
      <c r="I153" s="18">
        <f>_xll.ciqfunctions.udf.CIQ($C$2, "IQ_IMPUT_OPER_LEASE_DEPR", K$6,$F$2,,,Ccy,Conv)</f>
        <v>1215.5525500000001</v>
      </c>
      <c r="J153" s="18">
        <f>_xll.ciqfunctions.udf.CIQ($C$2, "IQ_IMPUT_OPER_LEASE_DEPR", L$6,$F$2,,,Ccy,Conv)</f>
        <v>1023.81693</v>
      </c>
      <c r="K153" s="18">
        <f>_xll.ciqfunctions.udf.CIQ($C$2, "IQ_IMPUT_OPER_LEASE_DEPR", M$6,$F$2,,,Ccy,Conv)</f>
        <v>998.84002999999996</v>
      </c>
      <c r="L153" s="18">
        <f>_xll.ciqfunctions.udf.CIQ($C$2, "IQ_IMPUT_OPER_LEASE_DEPR", N$6,$F$2,,,Ccy,Conv)</f>
        <v>1003.86686</v>
      </c>
      <c r="M153" s="18"/>
      <c r="N153" s="18">
        <f>_xll.ciqfunctions.udf.CIQ($C$2, "IQ_IMPUT_OPER_LEASE_DEPR", P$6,$F$2,,,Ccy,Conv)</f>
        <v>1003.86686</v>
      </c>
      <c r="O153" s="221"/>
      <c r="P153" s="198"/>
      <c r="Q153" s="198"/>
      <c r="R153" s="198"/>
      <c r="S153" s="198"/>
      <c r="T153" s="223"/>
      <c r="U153" s="223"/>
      <c r="V153" s="223"/>
      <c r="W153" s="222"/>
      <c r="X153" s="215"/>
      <c r="Y153" s="215"/>
      <c r="Z153" s="215"/>
      <c r="AA153" s="215"/>
      <c r="AB153" s="215"/>
      <c r="AC153" s="198"/>
      <c r="AD153" s="198"/>
      <c r="AE153" s="198"/>
      <c r="AF153" s="215"/>
      <c r="AG153" s="198"/>
      <c r="AH153" s="198"/>
      <c r="AI153" s="198"/>
      <c r="AJ153" s="198"/>
      <c r="AK153" s="198"/>
      <c r="AL153" s="198"/>
      <c r="AM153" s="198"/>
      <c r="AN153" s="198"/>
      <c r="AO153" s="198"/>
      <c r="AP153" s="198"/>
      <c r="AQ153" s="198"/>
      <c r="AR153" s="198"/>
      <c r="AS153" s="198"/>
      <c r="AT153" s="198"/>
      <c r="AU153" s="198"/>
      <c r="AV153" s="198"/>
      <c r="AW153" s="198"/>
      <c r="AX153" s="198"/>
      <c r="AY153" s="198"/>
      <c r="AZ153" s="198"/>
      <c r="BA153" s="198"/>
      <c r="BB153" s="198"/>
      <c r="BC153" s="198"/>
      <c r="BD153" s="198"/>
      <c r="BE153" s="198"/>
      <c r="BF153" s="198"/>
      <c r="BG153" s="198"/>
      <c r="BH153" s="198"/>
      <c r="BI153" s="198"/>
      <c r="BJ153" s="198"/>
      <c r="BK153" s="198"/>
      <c r="BL153" s="198"/>
      <c r="BM153" s="198"/>
      <c r="BN153" s="198"/>
      <c r="BO153" s="198"/>
      <c r="BP153" s="198"/>
      <c r="BQ153" s="198"/>
      <c r="BR153" s="198"/>
      <c r="BS153" s="198"/>
      <c r="BT153" s="198"/>
      <c r="BU153" s="198"/>
      <c r="BV153" s="198"/>
      <c r="BW153" s="198"/>
      <c r="BX153" s="198"/>
    </row>
    <row r="154" spans="1:76" x14ac:dyDescent="0.25">
      <c r="A154" s="2" t="str">
        <f>'Language Index'!A181</f>
        <v>Salaries and Other Employee Benefits</v>
      </c>
      <c r="B154" s="18">
        <f>_xll.ciqfunctions.udf.CIQ($C$2, "IQ_SALARIES_OTHER_BENEFITS", D$6,$F$2,,,Ccy,Conv)</f>
        <v>0</v>
      </c>
      <c r="C154" s="18">
        <f>_xll.ciqfunctions.udf.CIQ($C$2, "IQ_SALARIES_OTHER_BENEFITS", E$6,$F$2,,,Ccy,Conv)</f>
        <v>0</v>
      </c>
      <c r="D154" s="18">
        <f>_xll.ciqfunctions.udf.CIQ($C$2, "IQ_SALARIES_OTHER_BENEFITS", F$6,$F$2,,,Ccy,Conv)</f>
        <v>0</v>
      </c>
      <c r="E154" s="18">
        <f>_xll.ciqfunctions.udf.CIQ($C$2, "IQ_SALARIES_OTHER_BENEFITS", G$6,$F$2,,,Ccy,Conv)</f>
        <v>0</v>
      </c>
      <c r="F154" s="18">
        <f>_xll.ciqfunctions.udf.CIQ($C$2, "IQ_SALARIES_OTHER_BENEFITS", H$6,$F$2,,,Ccy,Conv)</f>
        <v>0</v>
      </c>
      <c r="G154" s="18">
        <f>_xll.ciqfunctions.udf.CIQ($C$2, "IQ_SALARIES_OTHER_BENEFITS", I$6,$F$2,,,Ccy,Conv)</f>
        <v>0</v>
      </c>
      <c r="H154" s="18">
        <f>_xll.ciqfunctions.udf.CIQ($C$2, "IQ_SALARIES_OTHER_BENEFITS", J$6,$F$2,,,Ccy,Conv)</f>
        <v>0</v>
      </c>
      <c r="I154" s="18">
        <f>_xll.ciqfunctions.udf.CIQ($C$2, "IQ_SALARIES_OTHER_BENEFITS", K$6,$F$2,,,Ccy,Conv)</f>
        <v>0</v>
      </c>
      <c r="J154" s="18">
        <f>_xll.ciqfunctions.udf.CIQ($C$2, "IQ_SALARIES_OTHER_BENEFITS", L$6,$F$2,,,Ccy,Conv)</f>
        <v>0</v>
      </c>
      <c r="K154" s="18">
        <f>_xll.ciqfunctions.udf.CIQ($C$2, "IQ_SALARIES_OTHER_BENEFITS", M$6,$F$2,,,Ccy,Conv)</f>
        <v>0</v>
      </c>
      <c r="L154" s="18">
        <f>_xll.ciqfunctions.udf.CIQ($C$2, "IQ_SALARIES_OTHER_BENEFITS", N$6,$F$2,,,Ccy,Conv)</f>
        <v>0</v>
      </c>
      <c r="M154" s="18"/>
      <c r="N154" s="18">
        <f>_xll.ciqfunctions.udf.CIQ($C$2, "IQ_SALARIES_OTHER_BENEFITS", P$6,$F$2,,,Ccy,Conv)</f>
        <v>0</v>
      </c>
      <c r="O154" s="221"/>
      <c r="P154" s="198"/>
      <c r="Q154" s="198"/>
      <c r="R154" s="198"/>
      <c r="S154" s="198"/>
      <c r="T154" s="223"/>
      <c r="U154" s="223"/>
      <c r="V154" s="223"/>
      <c r="W154" s="222"/>
      <c r="X154" s="215"/>
      <c r="Y154" s="215"/>
      <c r="Z154" s="215"/>
      <c r="AA154" s="215"/>
      <c r="AB154" s="215"/>
      <c r="AC154" s="198"/>
      <c r="AD154" s="198"/>
      <c r="AE154" s="198"/>
      <c r="AF154" s="215"/>
      <c r="AG154" s="198"/>
      <c r="AH154" s="198"/>
      <c r="AI154" s="198"/>
      <c r="AJ154" s="198"/>
      <c r="AK154" s="198"/>
      <c r="AL154" s="198"/>
      <c r="AM154" s="198"/>
      <c r="AN154" s="198"/>
      <c r="AO154" s="198"/>
      <c r="AP154" s="198"/>
      <c r="AQ154" s="198"/>
      <c r="AR154" s="198"/>
      <c r="AS154" s="198"/>
      <c r="AT154" s="198"/>
      <c r="AU154" s="198"/>
      <c r="AV154" s="198"/>
      <c r="AW154" s="198"/>
      <c r="AX154" s="198"/>
      <c r="AY154" s="198"/>
      <c r="AZ154" s="198"/>
      <c r="BA154" s="198"/>
      <c r="BB154" s="198"/>
      <c r="BC154" s="198"/>
      <c r="BD154" s="198"/>
      <c r="BE154" s="198"/>
      <c r="BF154" s="198"/>
      <c r="BG154" s="198"/>
      <c r="BH154" s="198"/>
      <c r="BI154" s="198"/>
      <c r="BJ154" s="198"/>
      <c r="BK154" s="198"/>
      <c r="BL154" s="198"/>
      <c r="BM154" s="198"/>
      <c r="BN154" s="198"/>
      <c r="BO154" s="198"/>
      <c r="BP154" s="198"/>
      <c r="BQ154" s="198"/>
      <c r="BR154" s="198"/>
      <c r="BS154" s="198"/>
      <c r="BT154" s="198"/>
      <c r="BU154" s="198"/>
      <c r="BV154" s="198"/>
      <c r="BW154" s="198"/>
      <c r="BX154" s="198"/>
    </row>
    <row r="155" spans="1:76" x14ac:dyDescent="0.25">
      <c r="A155" s="2" t="str">
        <f>'Language Index'!A182</f>
        <v>Restructuring Charges (Supple)</v>
      </c>
      <c r="B155" s="18">
        <f>_xll.ciqfunctions.udf.CIQ($C$2,"IQ_RESTRUCTURE_SUPPLE", D$6,$F$2,,,Ccy,Conv)</f>
        <v>0</v>
      </c>
      <c r="C155" s="18">
        <f>_xll.ciqfunctions.udf.CIQ($C$2,"IQ_RESTRUCTURE_SUPPLE", E$6,$F$2,,,Ccy,Conv)</f>
        <v>0</v>
      </c>
      <c r="D155" s="18">
        <f>_xll.ciqfunctions.udf.CIQ($C$2,"IQ_RESTRUCTURE_SUPPLE", F$6,$F$2,,,Ccy,Conv)</f>
        <v>0</v>
      </c>
      <c r="E155" s="18">
        <f>_xll.ciqfunctions.udf.CIQ($C$2,"IQ_RESTRUCTURE_SUPPLE", G$6,$F$2,,,Ccy,Conv)</f>
        <v>0</v>
      </c>
      <c r="F155" s="18">
        <f>_xll.ciqfunctions.udf.CIQ($C$2,"IQ_RESTRUCTURE_SUPPLE", H$6,$F$2,,,Ccy,Conv)</f>
        <v>0</v>
      </c>
      <c r="G155" s="18">
        <f>_xll.ciqfunctions.udf.CIQ($C$2,"IQ_RESTRUCTURE_SUPPLE", I$6,$F$2,,,Ccy,Conv)</f>
        <v>0</v>
      </c>
      <c r="H155" s="18">
        <f>_xll.ciqfunctions.udf.CIQ($C$2,"IQ_RESTRUCTURE_SUPPLE", J$6,$F$2,,,Ccy,Conv)</f>
        <v>0</v>
      </c>
      <c r="I155" s="18">
        <f>_xll.ciqfunctions.udf.CIQ($C$2,"IQ_RESTRUCTURE_SUPPLE", K$6,$F$2,,,Ccy,Conv)</f>
        <v>0</v>
      </c>
      <c r="J155" s="18">
        <f>_xll.ciqfunctions.udf.CIQ($C$2,"IQ_RESTRUCTURE_SUPPLE", L$6,$F$2,,,Ccy,Conv)</f>
        <v>0</v>
      </c>
      <c r="K155" s="18">
        <f>_xll.ciqfunctions.udf.CIQ($C$2,"IQ_RESTRUCTURE_SUPPLE", M$6,$F$2,,,Ccy,Conv)</f>
        <v>0</v>
      </c>
      <c r="L155" s="18">
        <f>_xll.ciqfunctions.udf.CIQ($C$2,"IQ_RESTRUCTURE_SUPPLE", N$6,$F$2,,,Ccy,Conv)</f>
        <v>0</v>
      </c>
      <c r="M155" s="18"/>
      <c r="N155" s="18">
        <f>_xll.ciqfunctions.udf.CIQ($C$2,"IQ_RESTRUCTURE_SUPPLE", P$6,$F$2,,,Ccy,Conv)</f>
        <v>0</v>
      </c>
      <c r="O155" s="221"/>
      <c r="P155" s="198"/>
      <c r="Q155" s="198"/>
      <c r="R155" s="198"/>
      <c r="S155" s="198"/>
      <c r="T155" s="223"/>
      <c r="U155" s="223"/>
      <c r="V155" s="223"/>
      <c r="W155" s="222"/>
      <c r="X155" s="215"/>
      <c r="Y155" s="215"/>
      <c r="Z155" s="215"/>
      <c r="AA155" s="215"/>
      <c r="AB155" s="215"/>
      <c r="AC155" s="198"/>
      <c r="AD155" s="198"/>
      <c r="AE155" s="198"/>
      <c r="AF155" s="215"/>
      <c r="AG155" s="198"/>
      <c r="AH155" s="198"/>
      <c r="AI155" s="198"/>
      <c r="AJ155" s="198"/>
      <c r="AK155" s="198"/>
      <c r="AL155" s="198"/>
      <c r="AM155" s="198"/>
      <c r="AN155" s="198"/>
      <c r="AO155" s="198"/>
      <c r="AP155" s="198"/>
      <c r="AQ155" s="198"/>
      <c r="AR155" s="198"/>
      <c r="AS155" s="198"/>
      <c r="AT155" s="198"/>
      <c r="AU155" s="198"/>
      <c r="AV155" s="198"/>
      <c r="AW155" s="198"/>
      <c r="AX155" s="198"/>
      <c r="AY155" s="198"/>
      <c r="AZ155" s="198"/>
      <c r="BA155" s="198"/>
      <c r="BB155" s="198"/>
      <c r="BC155" s="198"/>
      <c r="BD155" s="198"/>
      <c r="BE155" s="198"/>
      <c r="BF155" s="198"/>
      <c r="BG155" s="198"/>
      <c r="BH155" s="198"/>
      <c r="BI155" s="198"/>
      <c r="BJ155" s="198"/>
      <c r="BK155" s="198"/>
      <c r="BL155" s="198"/>
      <c r="BM155" s="198"/>
      <c r="BN155" s="198"/>
      <c r="BO155" s="198"/>
      <c r="BP155" s="198"/>
      <c r="BQ155" s="198"/>
      <c r="BR155" s="198"/>
      <c r="BS155" s="198"/>
      <c r="BT155" s="198"/>
      <c r="BU155" s="198"/>
      <c r="BV155" s="198"/>
      <c r="BW155" s="198"/>
      <c r="BX155" s="198"/>
    </row>
    <row r="156" spans="1:76" x14ac:dyDescent="0.25">
      <c r="A156" s="2" t="str">
        <f>'Language Index'!A183</f>
        <v>Merger &amp; Related Restruct. Charges (Supple)</v>
      </c>
      <c r="B156" s="18">
        <f>_xll.ciqfunctions.udf.CIQ($C$2,"IQ_MERGER_SUPPLE", D$6,$F$2,,,Ccy,Conv)</f>
        <v>0</v>
      </c>
      <c r="C156" s="18">
        <f>_xll.ciqfunctions.udf.CIQ($C$2,"IQ_MERGER_SUPPLE", E$6,$F$2,,,Ccy,Conv)</f>
        <v>0</v>
      </c>
      <c r="D156" s="18">
        <f>_xll.ciqfunctions.udf.CIQ($C$2,"IQ_MERGER_SUPPLE", F$6,$F$2,,,Ccy,Conv)</f>
        <v>0</v>
      </c>
      <c r="E156" s="18">
        <f>_xll.ciqfunctions.udf.CIQ($C$2,"IQ_MERGER_SUPPLE", G$6,$F$2,,,Ccy,Conv)</f>
        <v>0</v>
      </c>
      <c r="F156" s="18">
        <f>_xll.ciqfunctions.udf.CIQ($C$2,"IQ_MERGER_SUPPLE", H$6,$F$2,,,Ccy,Conv)</f>
        <v>-16</v>
      </c>
      <c r="G156" s="18">
        <f>_xll.ciqfunctions.udf.CIQ($C$2,"IQ_MERGER_SUPPLE", I$6,$F$2,,,Ccy,Conv)</f>
        <v>-423</v>
      </c>
      <c r="H156" s="18">
        <f>_xll.ciqfunctions.udf.CIQ($C$2,"IQ_MERGER_SUPPLE", J$6,$F$2,,,Ccy,Conv)</f>
        <v>-13</v>
      </c>
      <c r="I156" s="18">
        <f>_xll.ciqfunctions.udf.CIQ($C$2,"IQ_MERGER_SUPPLE", K$6,$F$2,,,Ccy,Conv)</f>
        <v>0</v>
      </c>
      <c r="J156" s="18">
        <f>_xll.ciqfunctions.udf.CIQ($C$2,"IQ_MERGER_SUPPLE", L$6,$F$2,,,Ccy,Conv)</f>
        <v>0</v>
      </c>
      <c r="K156" s="18">
        <f>_xll.ciqfunctions.udf.CIQ($C$2,"IQ_MERGER_SUPPLE", M$6,$F$2,,,Ccy,Conv)</f>
        <v>0</v>
      </c>
      <c r="L156" s="18">
        <f>_xll.ciqfunctions.udf.CIQ($C$2,"IQ_MERGER_SUPPLE", N$6,$F$2,,,Ccy,Conv)</f>
        <v>0</v>
      </c>
      <c r="M156" s="18"/>
      <c r="N156" s="18">
        <f>_xll.ciqfunctions.udf.CIQ($C$2,"IQ_MERGER_SUPPLE", P$6,$F$2,,,Ccy,Conv)</f>
        <v>0</v>
      </c>
      <c r="O156" s="221"/>
      <c r="P156" s="198"/>
      <c r="Q156" s="198"/>
      <c r="R156" s="198"/>
      <c r="S156" s="198"/>
      <c r="T156" s="223"/>
      <c r="U156" s="223"/>
      <c r="V156" s="223"/>
      <c r="W156" s="222"/>
      <c r="X156" s="215"/>
      <c r="Y156" s="215"/>
      <c r="Z156" s="215"/>
      <c r="AA156" s="215"/>
      <c r="AB156" s="215"/>
      <c r="AC156" s="198"/>
      <c r="AD156" s="198"/>
      <c r="AE156" s="198"/>
      <c r="AF156" s="215"/>
      <c r="AG156" s="198"/>
      <c r="AH156" s="198"/>
      <c r="AI156" s="198"/>
      <c r="AJ156" s="198"/>
      <c r="AK156" s="198"/>
      <c r="AL156" s="198"/>
      <c r="AM156" s="198"/>
      <c r="AN156" s="198"/>
      <c r="AO156" s="198"/>
      <c r="AP156" s="198"/>
      <c r="AQ156" s="198"/>
      <c r="AR156" s="198"/>
      <c r="AS156" s="198"/>
      <c r="AT156" s="198"/>
      <c r="AU156" s="198"/>
      <c r="AV156" s="198"/>
      <c r="AW156" s="198"/>
      <c r="AX156" s="198"/>
      <c r="AY156" s="198"/>
      <c r="AZ156" s="198"/>
      <c r="BA156" s="198"/>
      <c r="BB156" s="198"/>
      <c r="BC156" s="198"/>
      <c r="BD156" s="198"/>
      <c r="BE156" s="198"/>
      <c r="BF156" s="198"/>
      <c r="BG156" s="198"/>
      <c r="BH156" s="198"/>
      <c r="BI156" s="198"/>
      <c r="BJ156" s="198"/>
      <c r="BK156" s="198"/>
      <c r="BL156" s="198"/>
      <c r="BM156" s="198"/>
      <c r="BN156" s="198"/>
      <c r="BO156" s="198"/>
      <c r="BP156" s="198"/>
      <c r="BQ156" s="198"/>
      <c r="BR156" s="198"/>
      <c r="BS156" s="198"/>
      <c r="BT156" s="198"/>
      <c r="BU156" s="198"/>
      <c r="BV156" s="198"/>
      <c r="BW156" s="198"/>
      <c r="BX156" s="198"/>
    </row>
    <row r="157" spans="1:76" x14ac:dyDescent="0.25">
      <c r="A157" s="2" t="str">
        <f>'Language Index'!A184</f>
        <v>Impairment of Goodwill (Supple)</v>
      </c>
      <c r="B157" s="18">
        <f>_xll.ciqfunctions.udf.CIQ($C$2,"IQ_IMPAIRMENT_GW_SUPPLE", D$6,$F$2,,,Ccy,Conv)</f>
        <v>0</v>
      </c>
      <c r="C157" s="18">
        <f>_xll.ciqfunctions.udf.CIQ($C$2,"IQ_IMPAIRMENT_GW_SUPPLE", E$6,$F$2,,,Ccy,Conv)</f>
        <v>0</v>
      </c>
      <c r="D157" s="18">
        <f>_xll.ciqfunctions.udf.CIQ($C$2,"IQ_IMPAIRMENT_GW_SUPPLE", F$6,$F$2,,,Ccy,Conv)</f>
        <v>0</v>
      </c>
      <c r="E157" s="18">
        <f>_xll.ciqfunctions.udf.CIQ($C$2,"IQ_IMPAIRMENT_GW_SUPPLE", G$6,$F$2,,,Ccy,Conv)</f>
        <v>0</v>
      </c>
      <c r="F157" s="18">
        <f>_xll.ciqfunctions.udf.CIQ($C$2,"IQ_IMPAIRMENT_GW_SUPPLE", H$6,$F$2,,,Ccy,Conv)</f>
        <v>0</v>
      </c>
      <c r="G157" s="18">
        <f>_xll.ciqfunctions.udf.CIQ($C$2,"IQ_IMPAIRMENT_GW_SUPPLE", I$6,$F$2,,,Ccy,Conv)</f>
        <v>0</v>
      </c>
      <c r="H157" s="18">
        <f>_xll.ciqfunctions.udf.CIQ($C$2,"IQ_IMPAIRMENT_GW_SUPPLE", J$6,$F$2,,,Ccy,Conv)</f>
        <v>0</v>
      </c>
      <c r="I157" s="18">
        <f>_xll.ciqfunctions.udf.CIQ($C$2,"IQ_IMPAIRMENT_GW_SUPPLE", K$6,$F$2,,,Ccy,Conv)</f>
        <v>0</v>
      </c>
      <c r="J157" s="18">
        <f>_xll.ciqfunctions.udf.CIQ($C$2,"IQ_IMPAIRMENT_GW_SUPPLE", L$6,$F$2,,,Ccy,Conv)</f>
        <v>0</v>
      </c>
      <c r="K157" s="18">
        <f>_xll.ciqfunctions.udf.CIQ($C$2,"IQ_IMPAIRMENT_GW_SUPPLE", M$6,$F$2,,,Ccy,Conv)</f>
        <v>0</v>
      </c>
      <c r="L157" s="18">
        <f>_xll.ciqfunctions.udf.CIQ($C$2,"IQ_IMPAIRMENT_GW_SUPPLE", N$6,$F$2,,,Ccy,Conv)</f>
        <v>0</v>
      </c>
      <c r="M157" s="18"/>
      <c r="N157" s="18">
        <f>_xll.ciqfunctions.udf.CIQ($C$2,"IQ_IMPAIRMENT_GW_SUPPLE", P$6,$F$2,,,Ccy,Conv)</f>
        <v>0</v>
      </c>
      <c r="O157" s="221"/>
      <c r="P157" s="198"/>
      <c r="Q157" s="198"/>
      <c r="R157" s="198"/>
      <c r="S157" s="198"/>
      <c r="T157" s="223"/>
      <c r="U157" s="223"/>
      <c r="V157" s="223"/>
      <c r="W157" s="222"/>
      <c r="X157" s="215"/>
      <c r="Y157" s="215"/>
      <c r="Z157" s="215"/>
      <c r="AA157" s="215"/>
      <c r="AB157" s="215"/>
      <c r="AC157" s="198"/>
      <c r="AD157" s="198"/>
      <c r="AE157" s="198"/>
      <c r="AF157" s="215"/>
      <c r="AG157" s="198"/>
      <c r="AH157" s="198"/>
      <c r="AI157" s="198"/>
      <c r="AJ157" s="198"/>
      <c r="AK157" s="198"/>
      <c r="AL157" s="198"/>
      <c r="AM157" s="198"/>
      <c r="AN157" s="198"/>
      <c r="AO157" s="198"/>
      <c r="AP157" s="198"/>
      <c r="AQ157" s="198"/>
      <c r="AR157" s="198"/>
      <c r="AS157" s="198"/>
      <c r="AT157" s="198"/>
      <c r="AU157" s="198"/>
      <c r="AV157" s="198"/>
      <c r="AW157" s="198"/>
      <c r="AX157" s="198"/>
      <c r="AY157" s="198"/>
      <c r="AZ157" s="198"/>
      <c r="BA157" s="198"/>
      <c r="BB157" s="198"/>
      <c r="BC157" s="198"/>
      <c r="BD157" s="198"/>
      <c r="BE157" s="198"/>
      <c r="BF157" s="198"/>
      <c r="BG157" s="198"/>
      <c r="BH157" s="198"/>
      <c r="BI157" s="198"/>
      <c r="BJ157" s="198"/>
      <c r="BK157" s="198"/>
      <c r="BL157" s="198"/>
      <c r="BM157" s="198"/>
      <c r="BN157" s="198"/>
      <c r="BO157" s="198"/>
      <c r="BP157" s="198"/>
      <c r="BQ157" s="198"/>
      <c r="BR157" s="198"/>
      <c r="BS157" s="198"/>
      <c r="BT157" s="198"/>
      <c r="BU157" s="198"/>
      <c r="BV157" s="198"/>
      <c r="BW157" s="198"/>
      <c r="BX157" s="198"/>
    </row>
    <row r="158" spans="1:76" x14ac:dyDescent="0.25">
      <c r="A158" s="2" t="str">
        <f>'Language Index'!A185</f>
        <v>Asset Writedown, Total (Supple)</v>
      </c>
      <c r="B158" s="18">
        <f>_xll.ciqfunctions.udf.CIQ($C$2,"IQ_ASSET_WRITEDOWN_SUPPLE", D$6,$F$2,,,Ccy,Conv)</f>
        <v>0</v>
      </c>
      <c r="C158" s="18">
        <f>_xll.ciqfunctions.udf.CIQ($C$2,"IQ_ASSET_WRITEDOWN_SUPPLE", E$6,$F$2,,,Ccy,Conv)</f>
        <v>0</v>
      </c>
      <c r="D158" s="18">
        <f>_xll.ciqfunctions.udf.CIQ($C$2,"IQ_ASSET_WRITEDOWN_SUPPLE", F$6,$F$2,,,Ccy,Conv)</f>
        <v>0</v>
      </c>
      <c r="E158" s="18">
        <f>_xll.ciqfunctions.udf.CIQ($C$2,"IQ_ASSET_WRITEDOWN_SUPPLE", G$6,$F$2,,,Ccy,Conv)</f>
        <v>0</v>
      </c>
      <c r="F158" s="18">
        <f>_xll.ciqfunctions.udf.CIQ($C$2,"IQ_ASSET_WRITEDOWN_SUPPLE", H$6,$F$2,,,Ccy,Conv)</f>
        <v>0</v>
      </c>
      <c r="G158" s="18">
        <f>_xll.ciqfunctions.udf.CIQ($C$2,"IQ_ASSET_WRITEDOWN_SUPPLE", I$6,$F$2,,,Ccy,Conv)</f>
        <v>0</v>
      </c>
      <c r="H158" s="18">
        <f>_xll.ciqfunctions.udf.CIQ($C$2,"IQ_ASSET_WRITEDOWN_SUPPLE", J$6,$F$2,,,Ccy,Conv)</f>
        <v>0</v>
      </c>
      <c r="I158" s="18">
        <f>_xll.ciqfunctions.udf.CIQ($C$2,"IQ_ASSET_WRITEDOWN_SUPPLE", K$6,$F$2,,,Ccy,Conv)</f>
        <v>0</v>
      </c>
      <c r="J158" s="18">
        <f>_xll.ciqfunctions.udf.CIQ($C$2,"IQ_ASSET_WRITEDOWN_SUPPLE", L$6,$F$2,,,Ccy,Conv)</f>
        <v>0</v>
      </c>
      <c r="K158" s="18">
        <f>_xll.ciqfunctions.udf.CIQ($C$2,"IQ_ASSET_WRITEDOWN_SUPPLE", M$6,$F$2,,,Ccy,Conv)</f>
        <v>0</v>
      </c>
      <c r="L158" s="18">
        <f>_xll.ciqfunctions.udf.CIQ($C$2,"IQ_ASSET_WRITEDOWN_SUPPLE", N$6,$F$2,,,Ccy,Conv)</f>
        <v>0</v>
      </c>
      <c r="M158" s="18"/>
      <c r="N158" s="18">
        <f>_xll.ciqfunctions.udf.CIQ($C$2,"IQ_ASSET_WRITEDOWN_SUPPLE", P$6,$F$2,,,Ccy,Conv)</f>
        <v>0</v>
      </c>
      <c r="O158" s="221"/>
      <c r="P158" s="198"/>
      <c r="Q158" s="198"/>
      <c r="R158" s="198"/>
      <c r="S158" s="198"/>
      <c r="T158" s="223"/>
      <c r="U158" s="223"/>
      <c r="V158" s="223"/>
      <c r="W158" s="222"/>
      <c r="X158" s="215"/>
      <c r="Y158" s="215"/>
      <c r="Z158" s="215"/>
      <c r="AA158" s="215"/>
      <c r="AB158" s="215"/>
      <c r="AC158" s="198"/>
      <c r="AD158" s="198"/>
      <c r="AE158" s="198"/>
      <c r="AF158" s="215"/>
      <c r="AG158" s="198"/>
      <c r="AH158" s="198"/>
      <c r="AI158" s="198"/>
      <c r="AJ158" s="198"/>
      <c r="AK158" s="198"/>
      <c r="AL158" s="198"/>
      <c r="AM158" s="198"/>
      <c r="AN158" s="198"/>
      <c r="AO158" s="198"/>
      <c r="AP158" s="198"/>
      <c r="AQ158" s="198"/>
      <c r="AR158" s="198"/>
      <c r="AS158" s="198"/>
      <c r="AT158" s="198"/>
      <c r="AU158" s="198"/>
      <c r="AV158" s="198"/>
      <c r="AW158" s="198"/>
      <c r="AX158" s="198"/>
      <c r="AY158" s="198"/>
      <c r="AZ158" s="198"/>
      <c r="BA158" s="198"/>
      <c r="BB158" s="198"/>
      <c r="BC158" s="198"/>
      <c r="BD158" s="198"/>
      <c r="BE158" s="198"/>
      <c r="BF158" s="198"/>
      <c r="BG158" s="198"/>
      <c r="BH158" s="198"/>
      <c r="BI158" s="198"/>
      <c r="BJ158" s="198"/>
      <c r="BK158" s="198"/>
      <c r="BL158" s="198"/>
      <c r="BM158" s="198"/>
      <c r="BN158" s="198"/>
      <c r="BO158" s="198"/>
      <c r="BP158" s="198"/>
      <c r="BQ158" s="198"/>
      <c r="BR158" s="198"/>
      <c r="BS158" s="198"/>
      <c r="BT158" s="198"/>
      <c r="BU158" s="198"/>
      <c r="BV158" s="198"/>
      <c r="BW158" s="198"/>
      <c r="BX158" s="198"/>
    </row>
    <row r="159" spans="1:76" x14ac:dyDescent="0.25">
      <c r="A159" s="2" t="str">
        <f>'Language Index'!A186</f>
        <v>In Process R &amp; D Exp. (Supple)</v>
      </c>
      <c r="B159" s="18">
        <f>_xll.ciqfunctions.udf.CIQ($C$2,"IQ_IPRD_SUPPLE", D$6,$F$2,,,Ccy,Conv)</f>
        <v>0</v>
      </c>
      <c r="C159" s="18">
        <f>_xll.ciqfunctions.udf.CIQ($C$2,"IQ_IPRD_SUPPLE", E$6,$F$2,,,Ccy,Conv)</f>
        <v>0</v>
      </c>
      <c r="D159" s="18">
        <f>_xll.ciqfunctions.udf.CIQ($C$2,"IQ_IPRD_SUPPLE", F$6,$F$2,,,Ccy,Conv)</f>
        <v>0</v>
      </c>
      <c r="E159" s="18">
        <f>_xll.ciqfunctions.udf.CIQ($C$2,"IQ_IPRD_SUPPLE", G$6,$F$2,,,Ccy,Conv)</f>
        <v>0</v>
      </c>
      <c r="F159" s="18">
        <f>_xll.ciqfunctions.udf.CIQ($C$2,"IQ_IPRD_SUPPLE", H$6,$F$2,,,Ccy,Conv)</f>
        <v>0</v>
      </c>
      <c r="G159" s="18">
        <f>_xll.ciqfunctions.udf.CIQ($C$2,"IQ_IPRD_SUPPLE", I$6,$F$2,,,Ccy,Conv)</f>
        <v>0</v>
      </c>
      <c r="H159" s="18">
        <f>_xll.ciqfunctions.udf.CIQ($C$2,"IQ_IPRD_SUPPLE", J$6,$F$2,,,Ccy,Conv)</f>
        <v>0</v>
      </c>
      <c r="I159" s="18">
        <f>_xll.ciqfunctions.udf.CIQ($C$2,"IQ_IPRD_SUPPLE", K$6,$F$2,,,Ccy,Conv)</f>
        <v>0</v>
      </c>
      <c r="J159" s="18">
        <f>_xll.ciqfunctions.udf.CIQ($C$2,"IQ_IPRD_SUPPLE", L$6,$F$2,,,Ccy,Conv)</f>
        <v>0</v>
      </c>
      <c r="K159" s="18">
        <f>_xll.ciqfunctions.udf.CIQ($C$2,"IQ_IPRD_SUPPLE", M$6,$F$2,,,Ccy,Conv)</f>
        <v>0</v>
      </c>
      <c r="L159" s="18">
        <f>_xll.ciqfunctions.udf.CIQ($C$2,"IQ_IPRD_SUPPLE", N$6,$F$2,,,Ccy,Conv)</f>
        <v>0</v>
      </c>
      <c r="M159" s="18"/>
      <c r="N159" s="18">
        <f>_xll.ciqfunctions.udf.CIQ($C$2,"IQ_IPRD_SUPPLE", P$6,$F$2,,,Ccy,Conv)</f>
        <v>0</v>
      </c>
      <c r="O159" s="221"/>
      <c r="P159" s="198"/>
      <c r="Q159" s="198"/>
      <c r="R159" s="198"/>
      <c r="S159" s="198"/>
      <c r="T159" s="223"/>
      <c r="U159" s="223"/>
      <c r="V159" s="223"/>
      <c r="W159" s="222"/>
      <c r="X159" s="215"/>
      <c r="Y159" s="215"/>
      <c r="Z159" s="215"/>
      <c r="AA159" s="215"/>
      <c r="AB159" s="215"/>
      <c r="AC159" s="198"/>
      <c r="AD159" s="198"/>
      <c r="AE159" s="198"/>
      <c r="AF159" s="215"/>
      <c r="AG159" s="198"/>
      <c r="AH159" s="198"/>
      <c r="AI159" s="198"/>
      <c r="AJ159" s="198"/>
      <c r="AK159" s="198"/>
      <c r="AL159" s="198"/>
      <c r="AM159" s="198"/>
      <c r="AN159" s="198"/>
      <c r="AO159" s="198"/>
      <c r="AP159" s="198"/>
      <c r="AQ159" s="198"/>
      <c r="AR159" s="198"/>
      <c r="AS159" s="198"/>
      <c r="AT159" s="198"/>
      <c r="AU159" s="198"/>
      <c r="AV159" s="198"/>
      <c r="AW159" s="198"/>
      <c r="AX159" s="198"/>
      <c r="AY159" s="198"/>
      <c r="AZ159" s="198"/>
      <c r="BA159" s="198"/>
      <c r="BB159" s="198"/>
      <c r="BC159" s="198"/>
      <c r="BD159" s="198"/>
      <c r="BE159" s="198"/>
      <c r="BF159" s="198"/>
      <c r="BG159" s="198"/>
      <c r="BH159" s="198"/>
      <c r="BI159" s="198"/>
      <c r="BJ159" s="198"/>
      <c r="BK159" s="198"/>
      <c r="BL159" s="198"/>
      <c r="BM159" s="198"/>
      <c r="BN159" s="198"/>
      <c r="BO159" s="198"/>
      <c r="BP159" s="198"/>
      <c r="BQ159" s="198"/>
      <c r="BR159" s="198"/>
      <c r="BS159" s="198"/>
      <c r="BT159" s="198"/>
      <c r="BU159" s="198"/>
      <c r="BV159" s="198"/>
      <c r="BW159" s="198"/>
      <c r="BX159" s="198"/>
    </row>
    <row r="160" spans="1:76" x14ac:dyDescent="0.25">
      <c r="A160" s="2" t="str">
        <f>'Language Index'!A187</f>
        <v>Gain on Bargain Acquisition</v>
      </c>
      <c r="B160" s="18">
        <f>_xll.ciqfunctions.udf.CIQ($C$2,"IQ_GAIN_BARGAIN_ACQ", D$6,$F$2,,,Ccy,Conv)</f>
        <v>0</v>
      </c>
      <c r="C160" s="18">
        <f>_xll.ciqfunctions.udf.CIQ($C$2,"IQ_GAIN_BARGAIN_ACQ", E$6,$F$2,,,Ccy,Conv)</f>
        <v>0</v>
      </c>
      <c r="D160" s="18">
        <f>_xll.ciqfunctions.udf.CIQ($C$2,"IQ_GAIN_BARGAIN_ACQ", F$6,$F$2,,,Ccy,Conv)</f>
        <v>0</v>
      </c>
      <c r="E160" s="18">
        <f>_xll.ciqfunctions.udf.CIQ($C$2,"IQ_GAIN_BARGAIN_ACQ", G$6,$F$2,,,Ccy,Conv)</f>
        <v>0</v>
      </c>
      <c r="F160" s="18">
        <f>_xll.ciqfunctions.udf.CIQ($C$2,"IQ_GAIN_BARGAIN_ACQ", H$6,$F$2,,,Ccy,Conv)</f>
        <v>0</v>
      </c>
      <c r="G160" s="18">
        <f>_xll.ciqfunctions.udf.CIQ($C$2,"IQ_GAIN_BARGAIN_ACQ", I$6,$F$2,,,Ccy,Conv)</f>
        <v>0</v>
      </c>
      <c r="H160" s="18">
        <f>_xll.ciqfunctions.udf.CIQ($C$2,"IQ_GAIN_BARGAIN_ACQ", J$6,$F$2,,,Ccy,Conv)</f>
        <v>0</v>
      </c>
      <c r="I160" s="18">
        <f>_xll.ciqfunctions.udf.CIQ($C$2,"IQ_GAIN_BARGAIN_ACQ", K$6,$F$2,,,Ccy,Conv)</f>
        <v>0</v>
      </c>
      <c r="J160" s="18">
        <f>_xll.ciqfunctions.udf.CIQ($C$2,"IQ_GAIN_BARGAIN_ACQ", L$6,$F$2,,,Ccy,Conv)</f>
        <v>0</v>
      </c>
      <c r="K160" s="18">
        <f>_xll.ciqfunctions.udf.CIQ($C$2,"IQ_GAIN_BARGAIN_ACQ", M$6,$F$2,,,Ccy,Conv)</f>
        <v>0</v>
      </c>
      <c r="L160" s="18">
        <f>_xll.ciqfunctions.udf.CIQ($C$2,"IQ_GAIN_BARGAIN_ACQ", N$6,$F$2,,,Ccy,Conv)</f>
        <v>0</v>
      </c>
      <c r="M160" s="18"/>
      <c r="N160" s="18">
        <f>_xll.ciqfunctions.udf.CIQ($C$2,"IQ_GAIN_BARGAIN_ACQ", P$6,$F$2,,,Ccy,Conv)</f>
        <v>0</v>
      </c>
      <c r="O160" s="221"/>
      <c r="P160" s="198"/>
      <c r="Q160" s="198"/>
      <c r="R160" s="198"/>
      <c r="S160" s="198"/>
      <c r="T160" s="223"/>
      <c r="U160" s="223"/>
      <c r="V160" s="223"/>
      <c r="W160" s="222"/>
      <c r="X160" s="215"/>
      <c r="Y160" s="215"/>
      <c r="Z160" s="215"/>
      <c r="AA160" s="215"/>
      <c r="AB160" s="215"/>
      <c r="AC160" s="198"/>
      <c r="AD160" s="198"/>
      <c r="AE160" s="198"/>
      <c r="AF160" s="215"/>
      <c r="AG160" s="198"/>
      <c r="AH160" s="198"/>
      <c r="AI160" s="198"/>
      <c r="AJ160" s="198"/>
      <c r="AK160" s="198"/>
      <c r="AL160" s="198"/>
      <c r="AM160" s="198"/>
      <c r="AN160" s="198"/>
      <c r="AO160" s="198"/>
      <c r="AP160" s="198"/>
      <c r="AQ160" s="198"/>
      <c r="AR160" s="198"/>
      <c r="AS160" s="198"/>
      <c r="AT160" s="198"/>
      <c r="AU160" s="198"/>
      <c r="AV160" s="198"/>
      <c r="AW160" s="198"/>
      <c r="AX160" s="198"/>
      <c r="AY160" s="198"/>
      <c r="AZ160" s="198"/>
      <c r="BA160" s="198"/>
      <c r="BB160" s="198"/>
      <c r="BC160" s="198"/>
      <c r="BD160" s="198"/>
      <c r="BE160" s="198"/>
      <c r="BF160" s="198"/>
      <c r="BG160" s="198"/>
      <c r="BH160" s="198"/>
      <c r="BI160" s="198"/>
      <c r="BJ160" s="198"/>
      <c r="BK160" s="198"/>
      <c r="BL160" s="198"/>
      <c r="BM160" s="198"/>
      <c r="BN160" s="198"/>
      <c r="BO160" s="198"/>
      <c r="BP160" s="198"/>
      <c r="BQ160" s="198"/>
      <c r="BR160" s="198"/>
      <c r="BS160" s="198"/>
      <c r="BT160" s="198"/>
      <c r="BU160" s="198"/>
      <c r="BV160" s="198"/>
      <c r="BW160" s="198"/>
      <c r="BX160" s="198"/>
    </row>
    <row r="161" spans="1:76" x14ac:dyDescent="0.25">
      <c r="A161" s="2" t="str">
        <f>'Language Index'!A188</f>
        <v>Gain on Bargain Acquisition  - Supple</v>
      </c>
      <c r="B161" s="18">
        <f>_xll.ciqfunctions.udf.CIQ($C$2,"IQ_GAIN_BARGAIN_ACQ_SUPPLE", D$6,$F$2,,,Ccy,Conv)</f>
        <v>0</v>
      </c>
      <c r="C161" s="18">
        <f>_xll.ciqfunctions.udf.CIQ($C$2,"IQ_GAIN_BARGAIN_ACQ_SUPPLE", E$6,$F$2,,,Ccy,Conv)</f>
        <v>0</v>
      </c>
      <c r="D161" s="18">
        <f>_xll.ciqfunctions.udf.CIQ($C$2,"IQ_GAIN_BARGAIN_ACQ_SUPPLE", F$6,$F$2,,,Ccy,Conv)</f>
        <v>0</v>
      </c>
      <c r="E161" s="18">
        <f>_xll.ciqfunctions.udf.CIQ($C$2,"IQ_GAIN_BARGAIN_ACQ_SUPPLE", G$6,$F$2,,,Ccy,Conv)</f>
        <v>0</v>
      </c>
      <c r="F161" s="18">
        <f>_xll.ciqfunctions.udf.CIQ($C$2,"IQ_GAIN_BARGAIN_ACQ_SUPPLE", H$6,$F$2,,,Ccy,Conv)</f>
        <v>0</v>
      </c>
      <c r="G161" s="18">
        <f>_xll.ciqfunctions.udf.CIQ($C$2,"IQ_GAIN_BARGAIN_ACQ_SUPPLE", I$6,$F$2,,,Ccy,Conv)</f>
        <v>0</v>
      </c>
      <c r="H161" s="18">
        <f>_xll.ciqfunctions.udf.CIQ($C$2,"IQ_GAIN_BARGAIN_ACQ_SUPPLE", J$6,$F$2,,,Ccy,Conv)</f>
        <v>0</v>
      </c>
      <c r="I161" s="18">
        <f>_xll.ciqfunctions.udf.CIQ($C$2,"IQ_GAIN_BARGAIN_ACQ_SUPPLE", K$6,$F$2,,,Ccy,Conv)</f>
        <v>0</v>
      </c>
      <c r="J161" s="18">
        <f>_xll.ciqfunctions.udf.CIQ($C$2,"IQ_GAIN_BARGAIN_ACQ_SUPPLE", L$6,$F$2,,,Ccy,Conv)</f>
        <v>0</v>
      </c>
      <c r="K161" s="18">
        <f>_xll.ciqfunctions.udf.CIQ($C$2,"IQ_GAIN_BARGAIN_ACQ_SUPPLE", M$6,$F$2,,,Ccy,Conv)</f>
        <v>0</v>
      </c>
      <c r="L161" s="18">
        <f>_xll.ciqfunctions.udf.CIQ($C$2,"IQ_GAIN_BARGAIN_ACQ_SUPPLE", N$6,$F$2,,,Ccy,Conv)</f>
        <v>0</v>
      </c>
      <c r="M161" s="18"/>
      <c r="N161" s="18">
        <f>_xll.ciqfunctions.udf.CIQ($C$2,"IQ_GAIN_BARGAIN_ACQ_SUPPLE", P$6,$F$2,,,Ccy,Conv)</f>
        <v>0</v>
      </c>
      <c r="O161" s="221"/>
      <c r="P161" s="198"/>
      <c r="Q161" s="198"/>
      <c r="R161" s="198"/>
      <c r="S161" s="198"/>
      <c r="T161" s="223"/>
      <c r="U161" s="223"/>
      <c r="V161" s="223"/>
      <c r="W161" s="222"/>
      <c r="X161" s="215"/>
      <c r="Y161" s="215"/>
      <c r="Z161" s="215"/>
      <c r="AA161" s="215"/>
      <c r="AB161" s="215"/>
      <c r="AC161" s="198"/>
      <c r="AD161" s="198"/>
      <c r="AE161" s="198"/>
      <c r="AF161" s="215"/>
      <c r="AG161" s="198"/>
      <c r="AH161" s="198"/>
      <c r="AI161" s="198"/>
      <c r="AJ161" s="198"/>
      <c r="AK161" s="198"/>
      <c r="AL161" s="198"/>
      <c r="AM161" s="198"/>
      <c r="AN161" s="198"/>
      <c r="AO161" s="198"/>
      <c r="AP161" s="198"/>
      <c r="AQ161" s="198"/>
      <c r="AR161" s="198"/>
      <c r="AS161" s="198"/>
      <c r="AT161" s="198"/>
      <c r="AU161" s="198"/>
      <c r="AV161" s="198"/>
      <c r="AW161" s="198"/>
      <c r="AX161" s="198"/>
      <c r="AY161" s="198"/>
      <c r="AZ161" s="198"/>
      <c r="BA161" s="198"/>
      <c r="BB161" s="198"/>
      <c r="BC161" s="198"/>
      <c r="BD161" s="198"/>
      <c r="BE161" s="198"/>
      <c r="BF161" s="198"/>
      <c r="BG161" s="198"/>
      <c r="BH161" s="198"/>
      <c r="BI161" s="198"/>
      <c r="BJ161" s="198"/>
      <c r="BK161" s="198"/>
      <c r="BL161" s="198"/>
      <c r="BM161" s="198"/>
      <c r="BN161" s="198"/>
      <c r="BO161" s="198"/>
      <c r="BP161" s="198"/>
      <c r="BQ161" s="198"/>
      <c r="BR161" s="198"/>
      <c r="BS161" s="198"/>
      <c r="BT161" s="198"/>
      <c r="BU161" s="198"/>
      <c r="BV161" s="198"/>
      <c r="BW161" s="198"/>
      <c r="BX161" s="198"/>
    </row>
    <row r="162" spans="1:76" x14ac:dyDescent="0.25">
      <c r="A162" s="2" t="str">
        <f>'Language Index'!A189</f>
        <v>Insurance Settlements (Supple)</v>
      </c>
      <c r="B162" s="18">
        <f>_xll.ciqfunctions.udf.CIQ($C$2,"IQ_INS_SETTLE_SUPPLE", D$6,$F$2,,,Ccy,Conv)</f>
        <v>0</v>
      </c>
      <c r="C162" s="18">
        <f>_xll.ciqfunctions.udf.CIQ($C$2,"IQ_INS_SETTLE_SUPPLE", E$6,$F$2,,,Ccy,Conv)</f>
        <v>0</v>
      </c>
      <c r="D162" s="18">
        <f>_xll.ciqfunctions.udf.CIQ($C$2,"IQ_INS_SETTLE_SUPPLE", F$6,$F$2,,,Ccy,Conv)</f>
        <v>0</v>
      </c>
      <c r="E162" s="18">
        <f>_xll.ciqfunctions.udf.CIQ($C$2,"IQ_INS_SETTLE_SUPPLE", G$6,$F$2,,,Ccy,Conv)</f>
        <v>0</v>
      </c>
      <c r="F162" s="18">
        <f>_xll.ciqfunctions.udf.CIQ($C$2,"IQ_INS_SETTLE_SUPPLE", H$6,$F$2,,,Ccy,Conv)</f>
        <v>0</v>
      </c>
      <c r="G162" s="18">
        <f>_xll.ciqfunctions.udf.CIQ($C$2,"IQ_INS_SETTLE_SUPPLE", I$6,$F$2,,,Ccy,Conv)</f>
        <v>0</v>
      </c>
      <c r="H162" s="18">
        <f>_xll.ciqfunctions.udf.CIQ($C$2,"IQ_INS_SETTLE_SUPPLE", J$6,$F$2,,,Ccy,Conv)</f>
        <v>0</v>
      </c>
      <c r="I162" s="18">
        <f>_xll.ciqfunctions.udf.CIQ($C$2,"IQ_INS_SETTLE_SUPPLE", K$6,$F$2,,,Ccy,Conv)</f>
        <v>0</v>
      </c>
      <c r="J162" s="18">
        <f>_xll.ciqfunctions.udf.CIQ($C$2,"IQ_INS_SETTLE_SUPPLE", L$6,$F$2,,,Ccy,Conv)</f>
        <v>0</v>
      </c>
      <c r="K162" s="18">
        <f>_xll.ciqfunctions.udf.CIQ($C$2,"IQ_INS_SETTLE_SUPPLE", M$6,$F$2,,,Ccy,Conv)</f>
        <v>0</v>
      </c>
      <c r="L162" s="18">
        <f>_xll.ciqfunctions.udf.CIQ($C$2,"IQ_INS_SETTLE_SUPPLE", N$6,$F$2,,,Ccy,Conv)</f>
        <v>0</v>
      </c>
      <c r="M162" s="18"/>
      <c r="N162" s="18">
        <f>_xll.ciqfunctions.udf.CIQ($C$2,"IQ_INS_SETTLE_SUPPLE", P$6,$F$2,,,Ccy,Conv)</f>
        <v>0</v>
      </c>
      <c r="O162" s="221"/>
      <c r="P162" s="198"/>
      <c r="Q162" s="198"/>
      <c r="R162" s="198"/>
      <c r="S162" s="198"/>
      <c r="T162" s="205"/>
      <c r="U162" s="205"/>
      <c r="V162" s="205"/>
      <c r="W162" s="198"/>
      <c r="X162" s="198"/>
      <c r="Y162" s="198"/>
      <c r="Z162" s="198"/>
      <c r="AA162" s="198"/>
      <c r="AB162" s="198"/>
      <c r="AC162" s="198"/>
      <c r="AD162" s="198"/>
      <c r="AE162" s="198"/>
      <c r="AF162" s="198"/>
      <c r="AG162" s="198"/>
      <c r="AH162" s="198"/>
      <c r="AI162" s="198"/>
      <c r="AJ162" s="198"/>
      <c r="AK162" s="198"/>
      <c r="AL162" s="198"/>
      <c r="AM162" s="198"/>
      <c r="AN162" s="198"/>
      <c r="AO162" s="198"/>
      <c r="AP162" s="198"/>
      <c r="AQ162" s="198"/>
      <c r="AR162" s="198"/>
      <c r="AS162" s="198"/>
      <c r="AT162" s="198"/>
      <c r="AU162" s="198"/>
      <c r="AV162" s="198"/>
      <c r="AW162" s="198"/>
      <c r="AX162" s="198"/>
      <c r="AY162" s="198"/>
      <c r="AZ162" s="198"/>
      <c r="BA162" s="198"/>
      <c r="BB162" s="198"/>
      <c r="BC162" s="198"/>
      <c r="BD162" s="198"/>
      <c r="BE162" s="198"/>
      <c r="BF162" s="198"/>
      <c r="BG162" s="198"/>
      <c r="BH162" s="198"/>
      <c r="BI162" s="198"/>
      <c r="BJ162" s="198"/>
      <c r="BK162" s="198"/>
      <c r="BL162" s="198"/>
      <c r="BM162" s="198"/>
      <c r="BN162" s="198"/>
      <c r="BO162" s="198"/>
      <c r="BP162" s="198"/>
      <c r="BQ162" s="198"/>
      <c r="BR162" s="198"/>
      <c r="BS162" s="198"/>
      <c r="BT162" s="198"/>
      <c r="BU162" s="198"/>
      <c r="BV162" s="198"/>
      <c r="BW162" s="198"/>
      <c r="BX162" s="198"/>
    </row>
    <row r="163" spans="1:76" x14ac:dyDescent="0.25">
      <c r="A163" s="2" t="str">
        <f>'Language Index'!A190</f>
        <v>Legal Settlements (Supple)</v>
      </c>
      <c r="B163" s="18">
        <f>_xll.ciqfunctions.udf.CIQ($C$2,"IQ_LEGAL_SETTLE_SUPPLE", D$6,$F$2,,,Ccy,Conv)</f>
        <v>0</v>
      </c>
      <c r="C163" s="18">
        <f>_xll.ciqfunctions.udf.CIQ($C$2,"IQ_LEGAL_SETTLE_SUPPLE", E$6,$F$2,,,Ccy,Conv)</f>
        <v>0</v>
      </c>
      <c r="D163" s="18">
        <f>_xll.ciqfunctions.udf.CIQ($C$2,"IQ_LEGAL_SETTLE_SUPPLE", F$6,$F$2,,,Ccy,Conv)</f>
        <v>0</v>
      </c>
      <c r="E163" s="18">
        <f>_xll.ciqfunctions.udf.CIQ($C$2,"IQ_LEGAL_SETTLE_SUPPLE", G$6,$F$2,,,Ccy,Conv)</f>
        <v>91</v>
      </c>
      <c r="F163" s="18">
        <f>_xll.ciqfunctions.udf.CIQ($C$2,"IQ_LEGAL_SETTLE_SUPPLE", H$6,$F$2,,,Ccy,Conv)</f>
        <v>0</v>
      </c>
      <c r="G163" s="18">
        <f>_xll.ciqfunctions.udf.CIQ($C$2,"IQ_LEGAL_SETTLE_SUPPLE", I$6,$F$2,,,Ccy,Conv)</f>
        <v>0</v>
      </c>
      <c r="H163" s="18">
        <f>_xll.ciqfunctions.udf.CIQ($C$2,"IQ_LEGAL_SETTLE_SUPPLE", J$6,$F$2,,,Ccy,Conv)</f>
        <v>0</v>
      </c>
      <c r="I163" s="18">
        <f>_xll.ciqfunctions.udf.CIQ($C$2,"IQ_LEGAL_SETTLE_SUPPLE", K$6,$F$2,,,Ccy,Conv)</f>
        <v>0</v>
      </c>
      <c r="J163" s="18">
        <f>_xll.ciqfunctions.udf.CIQ($C$2,"IQ_LEGAL_SETTLE_SUPPLE", L$6,$F$2,,,Ccy,Conv)</f>
        <v>0</v>
      </c>
      <c r="K163" s="18">
        <f>_xll.ciqfunctions.udf.CIQ($C$2,"IQ_LEGAL_SETTLE_SUPPLE", M$6,$F$2,,,Ccy,Conv)</f>
        <v>0</v>
      </c>
      <c r="L163" s="18">
        <f>_xll.ciqfunctions.udf.CIQ($C$2,"IQ_LEGAL_SETTLE_SUPPLE", N$6,$F$2,,,Ccy,Conv)</f>
        <v>0</v>
      </c>
      <c r="M163" s="18"/>
      <c r="N163" s="18">
        <f>_xll.ciqfunctions.udf.CIQ($C$2,"IQ_LEGAL_SETTLE_SUPPLE", P$6,$F$2,,,Ccy,Conv)</f>
        <v>0</v>
      </c>
      <c r="O163" s="221"/>
      <c r="P163" s="198"/>
      <c r="Q163" s="198"/>
      <c r="R163" s="198"/>
      <c r="S163" s="198"/>
      <c r="T163" s="205"/>
      <c r="U163" s="205"/>
      <c r="V163" s="205"/>
      <c r="W163" s="198"/>
      <c r="X163" s="198"/>
      <c r="Y163" s="198"/>
      <c r="Z163" s="198"/>
      <c r="AA163" s="198"/>
      <c r="AB163" s="198"/>
      <c r="AC163" s="198"/>
      <c r="AD163" s="198"/>
      <c r="AE163" s="198"/>
      <c r="AF163" s="198"/>
      <c r="AG163" s="198"/>
      <c r="AH163" s="198"/>
      <c r="AI163" s="198"/>
      <c r="AJ163" s="198"/>
      <c r="AK163" s="198"/>
      <c r="AL163" s="198"/>
      <c r="AM163" s="198"/>
      <c r="AN163" s="198"/>
      <c r="AO163" s="198"/>
      <c r="AP163" s="198"/>
      <c r="AQ163" s="198"/>
      <c r="AR163" s="198"/>
      <c r="AS163" s="198"/>
      <c r="AT163" s="198"/>
      <c r="AU163" s="198"/>
      <c r="AV163" s="198"/>
      <c r="AW163" s="198"/>
      <c r="AX163" s="198"/>
      <c r="AY163" s="198"/>
      <c r="AZ163" s="198"/>
      <c r="BA163" s="198"/>
      <c r="BB163" s="198"/>
      <c r="BC163" s="198"/>
      <c r="BD163" s="198"/>
      <c r="BE163" s="198"/>
      <c r="BF163" s="198"/>
      <c r="BG163" s="198"/>
      <c r="BH163" s="198"/>
      <c r="BI163" s="198"/>
      <c r="BJ163" s="198"/>
      <c r="BK163" s="198"/>
      <c r="BL163" s="198"/>
      <c r="BM163" s="198"/>
      <c r="BN163" s="198"/>
      <c r="BO163" s="198"/>
      <c r="BP163" s="198"/>
      <c r="BQ163" s="198"/>
      <c r="BR163" s="198"/>
      <c r="BS163" s="198"/>
      <c r="BT163" s="198"/>
      <c r="BU163" s="198"/>
      <c r="BV163" s="198"/>
      <c r="BW163" s="198"/>
      <c r="BX163" s="198"/>
    </row>
    <row r="164" spans="1:76" x14ac:dyDescent="0.25">
      <c r="A164" s="2" t="str">
        <f>'Language Index'!A191</f>
        <v>Other Unusual Items (Supple)</v>
      </c>
      <c r="B164" s="18">
        <f>_xll.ciqfunctions.udf.CIQ($C$2,"IQ_OTHER_UNUSUAL_SUPPLE", D$6,$F$2,,,Ccy,Conv)</f>
        <v>0</v>
      </c>
      <c r="C164" s="18">
        <f>_xll.ciqfunctions.udf.CIQ($C$2,"IQ_OTHER_UNUSUAL_SUPPLE", E$6,$F$2,,,Ccy,Conv)</f>
        <v>0</v>
      </c>
      <c r="D164" s="18">
        <f>_xll.ciqfunctions.udf.CIQ($C$2,"IQ_OTHER_UNUSUAL_SUPPLE", F$6,$F$2,,,Ccy,Conv)</f>
        <v>0</v>
      </c>
      <c r="E164" s="18">
        <f>_xll.ciqfunctions.udf.CIQ($C$2,"IQ_OTHER_UNUSUAL_SUPPLE", G$6,$F$2,,,Ccy,Conv)</f>
        <v>0</v>
      </c>
      <c r="F164" s="18">
        <f>_xll.ciqfunctions.udf.CIQ($C$2,"IQ_OTHER_UNUSUAL_SUPPLE", H$6,$F$2,,,Ccy,Conv)</f>
        <v>0</v>
      </c>
      <c r="G164" s="18">
        <f>_xll.ciqfunctions.udf.CIQ($C$2,"IQ_OTHER_UNUSUAL_SUPPLE", I$6,$F$2,,,Ccy,Conv)</f>
        <v>0</v>
      </c>
      <c r="H164" s="18">
        <f>_xll.ciqfunctions.udf.CIQ($C$2,"IQ_OTHER_UNUSUAL_SUPPLE", J$6,$F$2,,,Ccy,Conv)</f>
        <v>0</v>
      </c>
      <c r="I164" s="18">
        <f>_xll.ciqfunctions.udf.CIQ($C$2,"IQ_OTHER_UNUSUAL_SUPPLE", K$6,$F$2,,,Ccy,Conv)</f>
        <v>0</v>
      </c>
      <c r="J164" s="18">
        <f>_xll.ciqfunctions.udf.CIQ($C$2,"IQ_OTHER_UNUSUAL_SUPPLE", L$6,$F$2,,,Ccy,Conv)</f>
        <v>0</v>
      </c>
      <c r="K164" s="18">
        <f>_xll.ciqfunctions.udf.CIQ($C$2,"IQ_OTHER_UNUSUAL_SUPPLE", M$6,$F$2,,,Ccy,Conv)</f>
        <v>0</v>
      </c>
      <c r="L164" s="18">
        <f>_xll.ciqfunctions.udf.CIQ($C$2,"IQ_OTHER_UNUSUAL_SUPPLE", N$6,$F$2,,,Ccy,Conv)</f>
        <v>0</v>
      </c>
      <c r="M164" s="18"/>
      <c r="N164" s="18">
        <f>_xll.ciqfunctions.udf.CIQ($C$2,"IQ_OTHER_UNUSUAL_SUPPLE", P$6,$F$2,,,Ccy,Conv)</f>
        <v>0</v>
      </c>
      <c r="O164" s="221"/>
      <c r="P164" s="198"/>
      <c r="Q164" s="198"/>
      <c r="R164" s="198"/>
      <c r="S164" s="198"/>
      <c r="T164" s="205"/>
      <c r="U164" s="205"/>
      <c r="V164" s="205"/>
      <c r="W164" s="198"/>
      <c r="X164" s="198"/>
      <c r="Y164" s="198"/>
      <c r="Z164" s="198"/>
      <c r="AA164" s="198"/>
      <c r="AB164" s="198"/>
      <c r="AC164" s="198"/>
      <c r="AD164" s="198"/>
      <c r="AE164" s="198"/>
      <c r="AF164" s="198"/>
      <c r="AG164" s="198"/>
      <c r="AH164" s="198"/>
      <c r="AI164" s="198"/>
      <c r="AJ164" s="198"/>
      <c r="AK164" s="198"/>
      <c r="AL164" s="198"/>
      <c r="AM164" s="198"/>
      <c r="AN164" s="198"/>
      <c r="AO164" s="198"/>
      <c r="AP164" s="198"/>
      <c r="AQ164" s="198"/>
      <c r="AR164" s="198"/>
      <c r="AS164" s="198"/>
      <c r="AT164" s="198"/>
      <c r="AU164" s="198"/>
      <c r="AV164" s="198"/>
      <c r="AW164" s="198"/>
      <c r="AX164" s="198"/>
      <c r="AY164" s="198"/>
      <c r="AZ164" s="198"/>
      <c r="BA164" s="198"/>
      <c r="BB164" s="198"/>
      <c r="BC164" s="198"/>
      <c r="BD164" s="198"/>
      <c r="BE164" s="198"/>
      <c r="BF164" s="198"/>
      <c r="BG164" s="198"/>
      <c r="BH164" s="198"/>
      <c r="BI164" s="198"/>
      <c r="BJ164" s="198"/>
      <c r="BK164" s="198"/>
      <c r="BL164" s="198"/>
      <c r="BM164" s="198"/>
      <c r="BN164" s="198"/>
      <c r="BO164" s="198"/>
      <c r="BP164" s="198"/>
      <c r="BQ164" s="198"/>
      <c r="BR164" s="198"/>
      <c r="BS164" s="198"/>
      <c r="BT164" s="198"/>
      <c r="BU164" s="198"/>
      <c r="BV164" s="198"/>
      <c r="BW164" s="198"/>
      <c r="BX164" s="198"/>
    </row>
    <row r="165" spans="1:76" x14ac:dyDescent="0.25">
      <c r="A165" s="2" t="str">
        <f>'Language Index'!A192</f>
        <v>Unusual Items, Total (Supple)</v>
      </c>
      <c r="B165" s="18">
        <f>_xll.ciqfunctions.udf.CIQ($C$2,"IQ_TOTAL_UNUSUAL_SUPPLE", D$6,$F$2,,,Ccy,Conv)</f>
        <v>0</v>
      </c>
      <c r="C165" s="18">
        <f>_xll.ciqfunctions.udf.CIQ($C$2,"IQ_TOTAL_UNUSUAL_SUPPLE", E$6,$F$2,,,Ccy,Conv)</f>
        <v>0</v>
      </c>
      <c r="D165" s="18">
        <f>_xll.ciqfunctions.udf.CIQ($C$2,"IQ_TOTAL_UNUSUAL_SUPPLE", F$6,$F$2,,,Ccy,Conv)</f>
        <v>0</v>
      </c>
      <c r="E165" s="18">
        <f>_xll.ciqfunctions.udf.CIQ($C$2,"IQ_TOTAL_UNUSUAL_SUPPLE", G$6,$F$2,,,Ccy,Conv)</f>
        <v>91</v>
      </c>
      <c r="F165" s="18">
        <f>_xll.ciqfunctions.udf.CIQ($C$2,"IQ_TOTAL_UNUSUAL_SUPPLE", H$6,$F$2,,,Ccy,Conv)</f>
        <v>-16</v>
      </c>
      <c r="G165" s="18">
        <f>_xll.ciqfunctions.udf.CIQ($C$2,"IQ_TOTAL_UNUSUAL_SUPPLE", I$6,$F$2,,,Ccy,Conv)</f>
        <v>-423</v>
      </c>
      <c r="H165" s="18">
        <f>_xll.ciqfunctions.udf.CIQ($C$2,"IQ_TOTAL_UNUSUAL_SUPPLE", J$6,$F$2,,,Ccy,Conv)</f>
        <v>-13</v>
      </c>
      <c r="I165" s="18">
        <f>_xll.ciqfunctions.udf.CIQ($C$2,"IQ_TOTAL_UNUSUAL_SUPPLE", K$6,$F$2,,,Ccy,Conv)</f>
        <v>0</v>
      </c>
      <c r="J165" s="18">
        <f>_xll.ciqfunctions.udf.CIQ($C$2,"IQ_TOTAL_UNUSUAL_SUPPLE", L$6,$F$2,,,Ccy,Conv)</f>
        <v>0</v>
      </c>
      <c r="K165" s="18">
        <f>_xll.ciqfunctions.udf.CIQ($C$2,"IQ_TOTAL_UNUSUAL_SUPPLE", M$6,$F$2,,,Ccy,Conv)</f>
        <v>0</v>
      </c>
      <c r="L165" s="18">
        <f>_xll.ciqfunctions.udf.CIQ($C$2,"IQ_TOTAL_UNUSUAL_SUPPLE", N$6,$F$2,,,Ccy,Conv)</f>
        <v>0</v>
      </c>
      <c r="M165" s="18"/>
      <c r="N165" s="18">
        <f>_xll.ciqfunctions.udf.CIQ($C$2,"IQ_TOTAL_UNUSUAL_SUPPLE", P$6,$F$2,,,Ccy,Conv)</f>
        <v>0</v>
      </c>
      <c r="O165" s="221"/>
      <c r="P165" s="198"/>
      <c r="Q165" s="198"/>
      <c r="R165" s="198"/>
      <c r="S165" s="198"/>
      <c r="T165" s="205"/>
      <c r="U165" s="205"/>
      <c r="V165" s="205"/>
      <c r="W165" s="198"/>
      <c r="X165" s="198"/>
      <c r="Y165" s="198"/>
      <c r="Z165" s="198"/>
      <c r="AA165" s="198"/>
      <c r="AB165" s="198"/>
      <c r="AC165" s="198"/>
      <c r="AD165" s="198"/>
      <c r="AE165" s="198"/>
      <c r="AF165" s="198"/>
      <c r="AG165" s="198"/>
      <c r="AH165" s="198"/>
      <c r="AI165" s="198"/>
      <c r="AJ165" s="198"/>
      <c r="AK165" s="198"/>
      <c r="AL165" s="198"/>
      <c r="AM165" s="198"/>
      <c r="AN165" s="198"/>
      <c r="AO165" s="198"/>
      <c r="AP165" s="198"/>
      <c r="AQ165" s="198"/>
      <c r="AR165" s="198"/>
      <c r="AS165" s="198"/>
      <c r="AT165" s="198"/>
      <c r="AU165" s="198"/>
      <c r="AV165" s="198"/>
      <c r="AW165" s="198"/>
      <c r="AX165" s="198"/>
      <c r="AY165" s="198"/>
      <c r="AZ165" s="198"/>
      <c r="BA165" s="198"/>
      <c r="BB165" s="198"/>
      <c r="BC165" s="198"/>
      <c r="BD165" s="198"/>
      <c r="BE165" s="198"/>
      <c r="BF165" s="198"/>
      <c r="BG165" s="198"/>
      <c r="BH165" s="198"/>
      <c r="BI165" s="198"/>
      <c r="BJ165" s="198"/>
      <c r="BK165" s="198"/>
      <c r="BL165" s="198"/>
      <c r="BM165" s="198"/>
      <c r="BN165" s="198"/>
      <c r="BO165" s="198"/>
      <c r="BP165" s="198"/>
      <c r="BQ165" s="198"/>
      <c r="BR165" s="198"/>
      <c r="BS165" s="198"/>
      <c r="BT165" s="198"/>
      <c r="BU165" s="198"/>
      <c r="BV165" s="198"/>
      <c r="BW165" s="198"/>
      <c r="BX165" s="198"/>
    </row>
    <row r="166" spans="1:76" x14ac:dyDescent="0.25">
      <c r="A166" s="2" t="str">
        <f>'Language Index'!A193</f>
        <v>Amortization of Negative Goodwill</v>
      </c>
      <c r="B166" s="18">
        <f>_xll.ciqfunctions.udf.CIQ($C$2,"IQ_NEGATIVE_GW_AMORT", D$6,$F$2,,,Ccy,Conv)</f>
        <v>0</v>
      </c>
      <c r="C166" s="18">
        <f>_xll.ciqfunctions.udf.CIQ($C$2,"IQ_NEGATIVE_GW_AMORT", E$6,$F$2,,,Ccy,Conv)</f>
        <v>0</v>
      </c>
      <c r="D166" s="18">
        <f>_xll.ciqfunctions.udf.CIQ($C$2,"IQ_NEGATIVE_GW_AMORT", F$6,$F$2,,,Ccy,Conv)</f>
        <v>0</v>
      </c>
      <c r="E166" s="18">
        <f>_xll.ciqfunctions.udf.CIQ($C$2,"IQ_NEGATIVE_GW_AMORT", G$6,$F$2,,,Ccy,Conv)</f>
        <v>0</v>
      </c>
      <c r="F166" s="18">
        <f>_xll.ciqfunctions.udf.CIQ($C$2,"IQ_NEGATIVE_GW_AMORT", H$6,$F$2,,,Ccy,Conv)</f>
        <v>0</v>
      </c>
      <c r="G166" s="18">
        <f>_xll.ciqfunctions.udf.CIQ($C$2,"IQ_NEGATIVE_GW_AMORT", I$6,$F$2,,,Ccy,Conv)</f>
        <v>0</v>
      </c>
      <c r="H166" s="18">
        <f>_xll.ciqfunctions.udf.CIQ($C$2,"IQ_NEGATIVE_GW_AMORT", J$6,$F$2,,,Ccy,Conv)</f>
        <v>0</v>
      </c>
      <c r="I166" s="18">
        <f>_xll.ciqfunctions.udf.CIQ($C$2,"IQ_NEGATIVE_GW_AMORT", K$6,$F$2,,,Ccy,Conv)</f>
        <v>0</v>
      </c>
      <c r="J166" s="18">
        <f>_xll.ciqfunctions.udf.CIQ($C$2,"IQ_NEGATIVE_GW_AMORT", L$6,$F$2,,,Ccy,Conv)</f>
        <v>0</v>
      </c>
      <c r="K166" s="18">
        <f>_xll.ciqfunctions.udf.CIQ($C$2,"IQ_NEGATIVE_GW_AMORT", M$6,$F$2,,,Ccy,Conv)</f>
        <v>0</v>
      </c>
      <c r="L166" s="18">
        <f>_xll.ciqfunctions.udf.CIQ($C$2,"IQ_NEGATIVE_GW_AMORT", N$6,$F$2,,,Ccy,Conv)</f>
        <v>0</v>
      </c>
      <c r="M166" s="18"/>
      <c r="N166" s="18">
        <f>_xll.ciqfunctions.udf.CIQ($C$2,"IQ_NEGATIVE_GW_AMORT", P$6,$F$2,,,Ccy,Conv)</f>
        <v>0</v>
      </c>
      <c r="O166" s="221"/>
      <c r="P166" s="198"/>
      <c r="Q166" s="198"/>
      <c r="R166" s="198"/>
      <c r="S166" s="198"/>
      <c r="T166" s="205"/>
      <c r="U166" s="205"/>
      <c r="V166" s="205"/>
      <c r="W166" s="224"/>
      <c r="X166" s="224"/>
      <c r="Y166" s="224"/>
      <c r="Z166" s="224"/>
      <c r="AA166" s="224"/>
      <c r="AB166" s="224"/>
      <c r="AC166" s="198"/>
      <c r="AD166" s="198"/>
      <c r="AE166" s="198"/>
      <c r="AF166" s="224"/>
      <c r="AG166" s="198"/>
      <c r="AH166" s="198"/>
      <c r="AI166" s="198"/>
      <c r="AJ166" s="198"/>
      <c r="AK166" s="198"/>
      <c r="AL166" s="198"/>
      <c r="AM166" s="198"/>
      <c r="AN166" s="198"/>
      <c r="AO166" s="198"/>
      <c r="AP166" s="198"/>
      <c r="AQ166" s="198"/>
      <c r="AR166" s="198"/>
      <c r="AS166" s="198"/>
      <c r="AT166" s="198"/>
      <c r="AU166" s="198"/>
      <c r="AV166" s="198"/>
      <c r="AW166" s="198"/>
      <c r="AX166" s="198"/>
      <c r="AY166" s="198"/>
      <c r="AZ166" s="198"/>
      <c r="BA166" s="198"/>
      <c r="BB166" s="198"/>
      <c r="BC166" s="198"/>
      <c r="BD166" s="198"/>
      <c r="BE166" s="198"/>
      <c r="BF166" s="198"/>
      <c r="BG166" s="198"/>
      <c r="BH166" s="198"/>
      <c r="BI166" s="198"/>
      <c r="BJ166" s="198"/>
      <c r="BK166" s="198"/>
      <c r="BL166" s="198"/>
      <c r="BM166" s="198"/>
      <c r="BN166" s="198"/>
      <c r="BO166" s="198"/>
      <c r="BP166" s="198"/>
      <c r="BQ166" s="198"/>
      <c r="BR166" s="198"/>
      <c r="BS166" s="198"/>
      <c r="BT166" s="198"/>
      <c r="BU166" s="198"/>
      <c r="BV166" s="198"/>
      <c r="BW166" s="198"/>
      <c r="BX166" s="198"/>
    </row>
    <row r="167" spans="1:76" x14ac:dyDescent="0.25">
      <c r="A167" s="2" t="str">
        <f>'Language Index'!A194</f>
        <v>Amortization of Negative Goodwill - After Tax</v>
      </c>
      <c r="B167" s="18">
        <f>_xll.ciqfunctions.udf.CIQ($C$2,"IQ_NEGATIVE_GW_AMORT_AT", D$6,$F$2,,,Ccy,Conv)</f>
        <v>0</v>
      </c>
      <c r="C167" s="18">
        <f>_xll.ciqfunctions.udf.CIQ($C$2,"IQ_NEGATIVE_GW_AMORT_AT", E$6,$F$2,,,Ccy,Conv)</f>
        <v>0</v>
      </c>
      <c r="D167" s="18">
        <f>_xll.ciqfunctions.udf.CIQ($C$2,"IQ_NEGATIVE_GW_AMORT_AT", F$6,$F$2,,,Ccy,Conv)</f>
        <v>0</v>
      </c>
      <c r="E167" s="18">
        <f>_xll.ciqfunctions.udf.CIQ($C$2,"IQ_NEGATIVE_GW_AMORT_AT", G$6,$F$2,,,Ccy,Conv)</f>
        <v>0</v>
      </c>
      <c r="F167" s="18">
        <f>_xll.ciqfunctions.udf.CIQ($C$2,"IQ_NEGATIVE_GW_AMORT_AT", H$6,$F$2,,,Ccy,Conv)</f>
        <v>0</v>
      </c>
      <c r="G167" s="18">
        <f>_xll.ciqfunctions.udf.CIQ($C$2,"IQ_NEGATIVE_GW_AMORT_AT", I$6,$F$2,,,Ccy,Conv)</f>
        <v>0</v>
      </c>
      <c r="H167" s="18">
        <f>_xll.ciqfunctions.udf.CIQ($C$2,"IQ_NEGATIVE_GW_AMORT_AT", J$6,$F$2,,,Ccy,Conv)</f>
        <v>0</v>
      </c>
      <c r="I167" s="18">
        <f>_xll.ciqfunctions.udf.CIQ($C$2,"IQ_NEGATIVE_GW_AMORT_AT", K$6,$F$2,,,Ccy,Conv)</f>
        <v>0</v>
      </c>
      <c r="J167" s="18">
        <f>_xll.ciqfunctions.udf.CIQ($C$2,"IQ_NEGATIVE_GW_AMORT_AT", L$6,$F$2,,,Ccy,Conv)</f>
        <v>0</v>
      </c>
      <c r="K167" s="18">
        <f>_xll.ciqfunctions.udf.CIQ($C$2,"IQ_NEGATIVE_GW_AMORT_AT", M$6,$F$2,,,Ccy,Conv)</f>
        <v>0</v>
      </c>
      <c r="L167" s="18">
        <f>_xll.ciqfunctions.udf.CIQ($C$2,"IQ_NEGATIVE_GW_AMORT_AT", N$6,$F$2,,,Ccy,Conv)</f>
        <v>0</v>
      </c>
      <c r="M167" s="18"/>
      <c r="N167" s="18">
        <f>_xll.ciqfunctions.udf.CIQ($C$2,"IQ_NEGATIVE_GW_AMORT_AT", P$6,$F$2,,,Ccy,Conv)</f>
        <v>0</v>
      </c>
      <c r="O167" s="221"/>
      <c r="P167" s="198"/>
      <c r="Q167" s="198"/>
      <c r="R167" s="198"/>
      <c r="S167" s="198"/>
      <c r="T167" s="205"/>
      <c r="U167" s="205"/>
      <c r="V167" s="205"/>
      <c r="W167" s="224"/>
      <c r="X167" s="224"/>
      <c r="Y167" s="224"/>
      <c r="Z167" s="224"/>
      <c r="AA167" s="224"/>
      <c r="AB167" s="224"/>
      <c r="AC167" s="198"/>
      <c r="AD167" s="198"/>
      <c r="AE167" s="198"/>
      <c r="AF167" s="224"/>
      <c r="AG167" s="198"/>
      <c r="AH167" s="198"/>
      <c r="AI167" s="198"/>
      <c r="AJ167" s="198"/>
      <c r="AK167" s="198"/>
      <c r="AL167" s="198"/>
      <c r="AM167" s="198"/>
      <c r="AN167" s="198"/>
      <c r="AO167" s="198"/>
      <c r="AP167" s="198"/>
      <c r="AQ167" s="198"/>
      <c r="AR167" s="198"/>
      <c r="AS167" s="198"/>
      <c r="AT167" s="198"/>
      <c r="AU167" s="198"/>
      <c r="AV167" s="198"/>
      <c r="AW167" s="198"/>
      <c r="AX167" s="198"/>
      <c r="AY167" s="198"/>
      <c r="AZ167" s="198"/>
      <c r="BA167" s="198"/>
      <c r="BB167" s="198"/>
      <c r="BC167" s="198"/>
      <c r="BD167" s="198"/>
      <c r="BE167" s="198"/>
      <c r="BF167" s="198"/>
      <c r="BG167" s="198"/>
      <c r="BH167" s="198"/>
      <c r="BI167" s="198"/>
      <c r="BJ167" s="198"/>
      <c r="BK167" s="198"/>
      <c r="BL167" s="198"/>
      <c r="BM167" s="198"/>
      <c r="BN167" s="198"/>
      <c r="BO167" s="198"/>
      <c r="BP167" s="198"/>
      <c r="BQ167" s="198"/>
      <c r="BR167" s="198"/>
      <c r="BS167" s="198"/>
      <c r="BT167" s="198"/>
      <c r="BU167" s="198"/>
      <c r="BV167" s="198"/>
      <c r="BW167" s="198"/>
      <c r="BX167" s="198"/>
    </row>
    <row r="168" spans="1:76" x14ac:dyDescent="0.25">
      <c r="A168" s="2" t="str">
        <f>'Language Index'!A195</f>
        <v>Stock-Based Comp., COGS</v>
      </c>
      <c r="B168" s="18">
        <f>_xll.ciqfunctions.udf.CIQ($C$2, "IQ_STOCK_BASED_COGS", D$6,$F$2,,,Ccy,Conv)</f>
        <v>121</v>
      </c>
      <c r="C168" s="18">
        <f>_xll.ciqfunctions.udf.CIQ($C$2, "IQ_STOCK_BASED_COGS", E$6,$F$2,,,Ccy,Conv)</f>
        <v>100</v>
      </c>
      <c r="D168" s="18">
        <f>_xll.ciqfunctions.udf.CIQ($C$2, "IQ_STOCK_BASED_COGS", F$6,$F$2,,,Ccy,Conv)</f>
        <v>88</v>
      </c>
      <c r="E168" s="18">
        <f>_xll.ciqfunctions.udf.CIQ($C$2, "IQ_STOCK_BASED_COGS", G$6,$F$2,,,Ccy,Conv)</f>
        <v>91</v>
      </c>
      <c r="F168" s="18">
        <f>_xll.ciqfunctions.udf.CIQ($C$2, "IQ_STOCK_BASED_COGS", H$6,$F$2,,,Ccy,Conv)</f>
        <v>82</v>
      </c>
      <c r="G168" s="18">
        <f>_xll.ciqfunctions.udf.CIQ($C$2, "IQ_STOCK_BASED_COGS", I$6,$F$2,,,Ccy,Conv)</f>
        <v>85</v>
      </c>
      <c r="H168" s="18">
        <f>_xll.ciqfunctions.udf.CIQ($C$2, "IQ_STOCK_BASED_COGS", J$6,$F$2,,,Ccy,Conv)</f>
        <v>126</v>
      </c>
      <c r="I168" s="18">
        <f>_xll.ciqfunctions.udf.CIQ($C$2, "IQ_STOCK_BASED_COGS", K$6,$F$2,,,Ccy,Conv)</f>
        <v>145</v>
      </c>
      <c r="J168" s="18">
        <f>_xll.ciqfunctions.udf.CIQ($C$2, "IQ_STOCK_BASED_COGS", L$6,$F$2,,,Ccy,Conv)</f>
        <v>164</v>
      </c>
      <c r="K168" s="18">
        <f>_xll.ciqfunctions.udf.CIQ($C$2, "IQ_STOCK_BASED_COGS", M$6,$F$2,,,Ccy,Conv)</f>
        <v>190</v>
      </c>
      <c r="L168" s="18">
        <f>_xll.ciqfunctions.udf.CIQ($C$2, "IQ_STOCK_BASED_COGS", N$6,$F$2,,,Ccy,Conv)</f>
        <v>223</v>
      </c>
      <c r="M168" s="18"/>
      <c r="N168" s="18">
        <f>_xll.ciqfunctions.udf.CIQ($C$2, "IQ_STOCK_BASED_COGS", P$6,$F$2,,,Ccy,Conv)</f>
        <v>223</v>
      </c>
      <c r="O168" s="221"/>
      <c r="P168" s="198"/>
      <c r="Q168" s="198"/>
      <c r="R168" s="198"/>
      <c r="S168" s="198"/>
      <c r="T168" s="205"/>
      <c r="U168" s="205"/>
      <c r="V168" s="205"/>
      <c r="W168" s="224"/>
      <c r="X168" s="224"/>
      <c r="Y168" s="224"/>
      <c r="Z168" s="224"/>
      <c r="AA168" s="224"/>
      <c r="AB168" s="224"/>
      <c r="AC168" s="198"/>
      <c r="AD168" s="198"/>
      <c r="AE168" s="198"/>
      <c r="AF168" s="224"/>
      <c r="AG168" s="198"/>
      <c r="AH168" s="198"/>
      <c r="AI168" s="198"/>
      <c r="AJ168" s="198"/>
      <c r="AK168" s="198"/>
      <c r="AL168" s="198"/>
      <c r="AM168" s="198"/>
      <c r="AN168" s="198"/>
      <c r="AO168" s="198"/>
      <c r="AP168" s="198"/>
      <c r="AQ168" s="198"/>
      <c r="AR168" s="198"/>
      <c r="AS168" s="198"/>
      <c r="AT168" s="198"/>
      <c r="AU168" s="198"/>
      <c r="AV168" s="198"/>
      <c r="AW168" s="198"/>
      <c r="AX168" s="198"/>
      <c r="AY168" s="198"/>
      <c r="AZ168" s="198"/>
      <c r="BA168" s="198"/>
      <c r="BB168" s="198"/>
      <c r="BC168" s="198"/>
      <c r="BD168" s="198"/>
      <c r="BE168" s="198"/>
      <c r="BF168" s="198"/>
      <c r="BG168" s="198"/>
      <c r="BH168" s="198"/>
      <c r="BI168" s="198"/>
      <c r="BJ168" s="198"/>
      <c r="BK168" s="198"/>
      <c r="BL168" s="198"/>
      <c r="BM168" s="198"/>
      <c r="BN168" s="198"/>
      <c r="BO168" s="198"/>
      <c r="BP168" s="198"/>
      <c r="BQ168" s="198"/>
      <c r="BR168" s="198"/>
      <c r="BS168" s="198"/>
      <c r="BT168" s="198"/>
      <c r="BU168" s="198"/>
      <c r="BV168" s="198"/>
      <c r="BW168" s="198"/>
      <c r="BX168" s="198"/>
    </row>
    <row r="169" spans="1:76" x14ac:dyDescent="0.25">
      <c r="A169" s="2" t="str">
        <f>'Language Index'!A196</f>
        <v>Stock-Based Comp., R&amp;D Exp</v>
      </c>
      <c r="B169" s="18">
        <f>_xll.ciqfunctions.udf.CIQ($C$2, "IQ_STOCK_BASED_RD", D$6,$F$2,,,Ccy,Conv)</f>
        <v>54</v>
      </c>
      <c r="C169" s="18">
        <f>_xll.ciqfunctions.udf.CIQ($C$2, "IQ_STOCK_BASED_RD", E$6,$F$2,,,Ccy,Conv)</f>
        <v>51</v>
      </c>
      <c r="D169" s="18">
        <f>_xll.ciqfunctions.udf.CIQ($C$2, "IQ_STOCK_BASED_RD", F$6,$F$2,,,Ccy,Conv)</f>
        <v>55</v>
      </c>
      <c r="E169" s="18">
        <f>_xll.ciqfunctions.udf.CIQ($C$2, "IQ_STOCK_BASED_RD", G$6,$F$2,,,Ccy,Conv)</f>
        <v>59</v>
      </c>
      <c r="F169" s="18">
        <f>_xll.ciqfunctions.udf.CIQ($C$2, "IQ_STOCK_BASED_RD", H$6,$F$2,,,Ccy,Conv)</f>
        <v>67</v>
      </c>
      <c r="G169" s="18">
        <f>_xll.ciqfunctions.udf.CIQ($C$2, "IQ_STOCK_BASED_RD", I$6,$F$2,,,Ccy,Conv)</f>
        <v>125</v>
      </c>
      <c r="H169" s="18">
        <f>_xll.ciqfunctions.udf.CIQ($C$2, "IQ_STOCK_BASED_RD", J$6,$F$2,,,Ccy,Conv)</f>
        <v>197</v>
      </c>
      <c r="I169" s="18">
        <f>_xll.ciqfunctions.udf.CIQ($C$2, "IQ_STOCK_BASED_RD", K$6,$F$2,,,Ccy,Conv)</f>
        <v>218</v>
      </c>
      <c r="J169" s="18">
        <f>_xll.ciqfunctions.udf.CIQ($C$2, "IQ_STOCK_BASED_RD", L$6,$F$2,,,Ccy,Conv)</f>
        <v>258</v>
      </c>
      <c r="K169" s="18">
        <f>_xll.ciqfunctions.udf.CIQ($C$2, "IQ_STOCK_BASED_RD", M$6,$F$2,,,Ccy,Conv)</f>
        <v>328</v>
      </c>
      <c r="L169" s="18">
        <f>_xll.ciqfunctions.udf.CIQ($C$2, "IQ_STOCK_BASED_RD", N$6,$F$2,,,Ccy,Conv)</f>
        <v>398</v>
      </c>
      <c r="M169" s="18"/>
      <c r="N169" s="18">
        <f>_xll.ciqfunctions.udf.CIQ($C$2, "IQ_STOCK_BASED_RD", P$6,$F$2,,,Ccy,Conv)</f>
        <v>398</v>
      </c>
      <c r="O169" s="221"/>
      <c r="P169" s="198"/>
      <c r="Q169" s="198"/>
      <c r="R169" s="198"/>
      <c r="S169" s="198"/>
      <c r="T169" s="205"/>
      <c r="U169" s="205"/>
      <c r="V169" s="205"/>
      <c r="W169" s="224"/>
      <c r="X169" s="224"/>
      <c r="Y169" s="224"/>
      <c r="Z169" s="224"/>
      <c r="AA169" s="224"/>
      <c r="AB169" s="224"/>
      <c r="AC169" s="198"/>
      <c r="AD169" s="198"/>
      <c r="AE169" s="198"/>
      <c r="AF169" s="224"/>
      <c r="AG169" s="198"/>
      <c r="AH169" s="198"/>
      <c r="AI169" s="198"/>
      <c r="AJ169" s="198"/>
      <c r="AK169" s="198"/>
      <c r="AL169" s="198"/>
      <c r="AM169" s="198"/>
      <c r="AN169" s="198"/>
      <c r="AO169" s="198"/>
      <c r="AP169" s="198"/>
      <c r="AQ169" s="198"/>
      <c r="AR169" s="198"/>
      <c r="AS169" s="198"/>
      <c r="AT169" s="198"/>
      <c r="AU169" s="198"/>
      <c r="AV169" s="198"/>
      <c r="AW169" s="198"/>
      <c r="AX169" s="198"/>
      <c r="AY169" s="198"/>
      <c r="AZ169" s="198"/>
      <c r="BA169" s="198"/>
      <c r="BB169" s="198"/>
      <c r="BC169" s="198"/>
      <c r="BD169" s="198"/>
      <c r="BE169" s="198"/>
      <c r="BF169" s="198"/>
      <c r="BG169" s="198"/>
      <c r="BH169" s="198"/>
      <c r="BI169" s="198"/>
      <c r="BJ169" s="198"/>
      <c r="BK169" s="198"/>
      <c r="BL169" s="198"/>
      <c r="BM169" s="198"/>
      <c r="BN169" s="198"/>
      <c r="BO169" s="198"/>
      <c r="BP169" s="198"/>
      <c r="BQ169" s="198"/>
      <c r="BR169" s="198"/>
      <c r="BS169" s="198"/>
      <c r="BT169" s="198"/>
      <c r="BU169" s="198"/>
      <c r="BV169" s="198"/>
      <c r="BW169" s="198"/>
      <c r="BX169" s="198"/>
    </row>
    <row r="170" spans="1:76" x14ac:dyDescent="0.25">
      <c r="A170" s="2" t="str">
        <f>'Language Index'!A197</f>
        <v>Stock-Based Comp., S&amp;M Exp</v>
      </c>
      <c r="B170" s="18">
        <f>_xll.ciqfunctions.udf.CIQ($C$2, "IQ_STOCK_BASED_SM", D$6,$F$2,,,Ccy,Conv)</f>
        <v>0</v>
      </c>
      <c r="C170" s="18">
        <f>_xll.ciqfunctions.udf.CIQ($C$2, "IQ_STOCK_BASED_SM", E$6,$F$2,,,Ccy,Conv)</f>
        <v>0</v>
      </c>
      <c r="D170" s="18">
        <f>_xll.ciqfunctions.udf.CIQ($C$2, "IQ_STOCK_BASED_SM", F$6,$F$2,,,Ccy,Conv)</f>
        <v>0</v>
      </c>
      <c r="E170" s="18">
        <f>_xll.ciqfunctions.udf.CIQ($C$2, "IQ_STOCK_BASED_SM", G$6,$F$2,,,Ccy,Conv)</f>
        <v>0</v>
      </c>
      <c r="F170" s="18">
        <f>_xll.ciqfunctions.udf.CIQ($C$2, "IQ_STOCK_BASED_SM", H$6,$F$2,,,Ccy,Conv)</f>
        <v>0</v>
      </c>
      <c r="G170" s="18">
        <f>_xll.ciqfunctions.udf.CIQ($C$2, "IQ_STOCK_BASED_SM", I$6,$F$2,,,Ccy,Conv)</f>
        <v>0</v>
      </c>
      <c r="H170" s="18">
        <f>_xll.ciqfunctions.udf.CIQ($C$2, "IQ_STOCK_BASED_SM", J$6,$F$2,,,Ccy,Conv)</f>
        <v>0</v>
      </c>
      <c r="I170" s="18">
        <f>_xll.ciqfunctions.udf.CIQ($C$2, "IQ_STOCK_BASED_SM", K$6,$F$2,,,Ccy,Conv)</f>
        <v>0</v>
      </c>
      <c r="J170" s="18">
        <f>_xll.ciqfunctions.udf.CIQ($C$2, "IQ_STOCK_BASED_SM", L$6,$F$2,,,Ccy,Conv)</f>
        <v>0</v>
      </c>
      <c r="K170" s="18">
        <f>_xll.ciqfunctions.udf.CIQ($C$2, "IQ_STOCK_BASED_SM", M$6,$F$2,,,Ccy,Conv)</f>
        <v>0</v>
      </c>
      <c r="L170" s="18">
        <f>_xll.ciqfunctions.udf.CIQ($C$2, "IQ_STOCK_BASED_SM", N$6,$F$2,,,Ccy,Conv)</f>
        <v>0</v>
      </c>
      <c r="M170" s="18"/>
      <c r="N170" s="18">
        <f>_xll.ciqfunctions.udf.CIQ($C$2, "IQ_STOCK_BASED_SM", P$6,$F$2,,,Ccy,Conv)</f>
        <v>0</v>
      </c>
      <c r="O170" s="221"/>
      <c r="P170" s="198"/>
      <c r="Q170" s="198"/>
      <c r="R170" s="198"/>
      <c r="S170" s="198"/>
      <c r="T170" s="205"/>
      <c r="U170" s="205"/>
      <c r="V170" s="205"/>
      <c r="W170" s="224"/>
      <c r="X170" s="224"/>
      <c r="Y170" s="224"/>
      <c r="Z170" s="224"/>
      <c r="AA170" s="224"/>
      <c r="AB170" s="224"/>
      <c r="AC170" s="198"/>
      <c r="AD170" s="198"/>
      <c r="AE170" s="198"/>
      <c r="AF170" s="224"/>
      <c r="AG170" s="198"/>
      <c r="AH170" s="198"/>
      <c r="AI170" s="198"/>
      <c r="AJ170" s="198"/>
      <c r="AK170" s="198"/>
      <c r="AL170" s="198"/>
      <c r="AM170" s="198"/>
      <c r="AN170" s="198"/>
      <c r="AO170" s="198"/>
      <c r="AP170" s="198"/>
      <c r="AQ170" s="198"/>
      <c r="AR170" s="198"/>
      <c r="AS170" s="198"/>
      <c r="AT170" s="198"/>
      <c r="AU170" s="198"/>
      <c r="AV170" s="198"/>
      <c r="AW170" s="198"/>
      <c r="AX170" s="198"/>
      <c r="AY170" s="198"/>
      <c r="AZ170" s="198"/>
      <c r="BA170" s="198"/>
      <c r="BB170" s="198"/>
      <c r="BC170" s="198"/>
      <c r="BD170" s="198"/>
      <c r="BE170" s="198"/>
      <c r="BF170" s="198"/>
      <c r="BG170" s="198"/>
      <c r="BH170" s="198"/>
      <c r="BI170" s="198"/>
      <c r="BJ170" s="198"/>
      <c r="BK170" s="198"/>
      <c r="BL170" s="198"/>
      <c r="BM170" s="198"/>
      <c r="BN170" s="198"/>
      <c r="BO170" s="198"/>
      <c r="BP170" s="198"/>
      <c r="BQ170" s="198"/>
      <c r="BR170" s="198"/>
      <c r="BS170" s="198"/>
      <c r="BT170" s="198"/>
      <c r="BU170" s="198"/>
      <c r="BV170" s="198"/>
      <c r="BW170" s="198"/>
      <c r="BX170" s="198"/>
    </row>
    <row r="171" spans="1:76" x14ac:dyDescent="0.25">
      <c r="A171" s="2" t="str">
        <f>'Language Index'!A198</f>
        <v>Stock-Based Comp., G&amp;A Exp</v>
      </c>
      <c r="B171" s="18">
        <f>_xll.ciqfunctions.udf.CIQ($C$2, "IQ_STOCK_BASED_GA", D$6,$F$2,,,Ccy,Conv)</f>
        <v>0</v>
      </c>
      <c r="C171" s="18">
        <f>_xll.ciqfunctions.udf.CIQ($C$2, "IQ_STOCK_BASED_GA", E$6,$F$2,,,Ccy,Conv)</f>
        <v>0</v>
      </c>
      <c r="D171" s="18">
        <f>_xll.ciqfunctions.udf.CIQ($C$2, "IQ_STOCK_BASED_GA", F$6,$F$2,,,Ccy,Conv)</f>
        <v>0</v>
      </c>
      <c r="E171" s="18">
        <f>_xll.ciqfunctions.udf.CIQ($C$2, "IQ_STOCK_BASED_GA", G$6,$F$2,,,Ccy,Conv)</f>
        <v>0</v>
      </c>
      <c r="F171" s="18">
        <f>_xll.ciqfunctions.udf.CIQ($C$2, "IQ_STOCK_BASED_GA", H$6,$F$2,,,Ccy,Conv)</f>
        <v>0</v>
      </c>
      <c r="G171" s="18">
        <f>_xll.ciqfunctions.udf.CIQ($C$2, "IQ_STOCK_BASED_GA", I$6,$F$2,,,Ccy,Conv)</f>
        <v>0</v>
      </c>
      <c r="H171" s="18">
        <f>_xll.ciqfunctions.udf.CIQ($C$2, "IQ_STOCK_BASED_GA", J$6,$F$2,,,Ccy,Conv)</f>
        <v>0</v>
      </c>
      <c r="I171" s="18">
        <f>_xll.ciqfunctions.udf.CIQ($C$2, "IQ_STOCK_BASED_GA", K$6,$F$2,,,Ccy,Conv)</f>
        <v>0</v>
      </c>
      <c r="J171" s="18">
        <f>_xll.ciqfunctions.udf.CIQ($C$2, "IQ_STOCK_BASED_GA", L$6,$F$2,,,Ccy,Conv)</f>
        <v>0</v>
      </c>
      <c r="K171" s="18">
        <f>_xll.ciqfunctions.udf.CIQ($C$2, "IQ_STOCK_BASED_GA", M$6,$F$2,,,Ccy,Conv)</f>
        <v>0</v>
      </c>
      <c r="L171" s="18">
        <f>_xll.ciqfunctions.udf.CIQ($C$2, "IQ_STOCK_BASED_GA", N$6,$F$2,,,Ccy,Conv)</f>
        <v>0</v>
      </c>
      <c r="M171" s="18"/>
      <c r="N171" s="18">
        <f>_xll.ciqfunctions.udf.CIQ($C$2, "IQ_STOCK_BASED_GA", P$6,$F$2,,,Ccy,Conv)</f>
        <v>0</v>
      </c>
      <c r="O171" s="221"/>
      <c r="P171" s="198"/>
      <c r="Q171" s="198"/>
      <c r="R171" s="198"/>
      <c r="S171" s="198"/>
      <c r="T171" s="205"/>
      <c r="U171" s="205"/>
      <c r="V171" s="205"/>
      <c r="W171" s="224"/>
      <c r="X171" s="224"/>
      <c r="Y171" s="224"/>
      <c r="Z171" s="224"/>
      <c r="AA171" s="224"/>
      <c r="AB171" s="224"/>
      <c r="AC171" s="198"/>
      <c r="AD171" s="198"/>
      <c r="AE171" s="198"/>
      <c r="AF171" s="224"/>
      <c r="AG171" s="198"/>
      <c r="AH171" s="198"/>
      <c r="AI171" s="198"/>
      <c r="AJ171" s="198"/>
      <c r="AK171" s="198"/>
      <c r="AL171" s="198"/>
      <c r="AM171" s="198"/>
      <c r="AN171" s="198"/>
      <c r="AO171" s="198"/>
      <c r="AP171" s="198"/>
      <c r="AQ171" s="198"/>
      <c r="AR171" s="198"/>
      <c r="AS171" s="198"/>
      <c r="AT171" s="198"/>
      <c r="AU171" s="198"/>
      <c r="AV171" s="198"/>
      <c r="AW171" s="198"/>
      <c r="AX171" s="198"/>
      <c r="AY171" s="198"/>
      <c r="AZ171" s="198"/>
      <c r="BA171" s="198"/>
      <c r="BB171" s="198"/>
      <c r="BC171" s="198"/>
      <c r="BD171" s="198"/>
      <c r="BE171" s="198"/>
      <c r="BF171" s="198"/>
      <c r="BG171" s="198"/>
      <c r="BH171" s="198"/>
      <c r="BI171" s="198"/>
      <c r="BJ171" s="198"/>
      <c r="BK171" s="198"/>
      <c r="BL171" s="198"/>
      <c r="BM171" s="198"/>
      <c r="BN171" s="198"/>
      <c r="BO171" s="198"/>
      <c r="BP171" s="198"/>
      <c r="BQ171" s="198"/>
      <c r="BR171" s="198"/>
      <c r="BS171" s="198"/>
      <c r="BT171" s="198"/>
      <c r="BU171" s="198"/>
      <c r="BV171" s="198"/>
      <c r="BW171" s="198"/>
      <c r="BX171" s="198"/>
    </row>
    <row r="172" spans="1:76" x14ac:dyDescent="0.25">
      <c r="A172" s="2" t="str">
        <f>'Language Index'!A199</f>
        <v>Stock-Based Comp., SG&amp;A Exp</v>
      </c>
      <c r="B172" s="18">
        <f>_xll.ciqfunctions.udf.CIQ($C$2, "IQ_STOCK_BASED_SGA", D$6,$F$2,,,Ccy,Conv)</f>
        <v>350</v>
      </c>
      <c r="C172" s="18">
        <f>_xll.ciqfunctions.udf.CIQ($C$2, "IQ_STOCK_BASED_SGA", E$6,$F$2,,,Ccy,Conv)</f>
        <v>322</v>
      </c>
      <c r="D172" s="18">
        <f>_xll.ciqfunctions.udf.CIQ($C$2, "IQ_STOCK_BASED_SGA", F$6,$F$2,,,Ccy,Conv)</f>
        <v>401</v>
      </c>
      <c r="E172" s="18">
        <f>_xll.ciqfunctions.udf.CIQ($C$2, "IQ_STOCK_BASED_SGA", G$6,$F$2,,,Ccy,Conv)</f>
        <v>384</v>
      </c>
      <c r="F172" s="18">
        <f>_xll.ciqfunctions.udf.CIQ($C$2, "IQ_STOCK_BASED_SGA", H$6,$F$2,,,Ccy,Conv)</f>
        <v>361</v>
      </c>
      <c r="G172" s="18">
        <f>_xll.ciqfunctions.udf.CIQ($C$2, "IQ_STOCK_BASED_SGA", I$6,$F$2,,,Ccy,Conv)</f>
        <v>419</v>
      </c>
      <c r="H172" s="18">
        <f>_xll.ciqfunctions.udf.CIQ($C$2, "IQ_STOCK_BASED_SGA", J$6,$F$2,,,Ccy,Conv)</f>
        <v>550</v>
      </c>
      <c r="I172" s="18">
        <f>_xll.ciqfunctions.udf.CIQ($C$2, "IQ_STOCK_BASED_SGA", K$6,$F$2,,,Ccy,Conv)</f>
        <v>555</v>
      </c>
      <c r="J172" s="18">
        <f>_xll.ciqfunctions.udf.CIQ($C$2, "IQ_STOCK_BASED_SGA", L$6,$F$2,,,Ccy,Conv)</f>
        <v>566</v>
      </c>
      <c r="K172" s="18">
        <f>_xll.ciqfunctions.udf.CIQ($C$2, "IQ_STOCK_BASED_SGA", M$6,$F$2,,,Ccy,Conv)</f>
        <v>616</v>
      </c>
      <c r="L172" s="18">
        <f>_xll.ciqfunctions.udf.CIQ($C$2, "IQ_STOCK_BASED_SGA", N$6,$F$2,,,Ccy,Conv)</f>
        <v>690</v>
      </c>
      <c r="M172" s="18"/>
      <c r="N172" s="18">
        <f>_xll.ciqfunctions.udf.CIQ($C$2, "IQ_STOCK_BASED_SGA", P$6,$F$2,,,Ccy,Conv)</f>
        <v>690</v>
      </c>
      <c r="O172" s="221"/>
      <c r="P172" s="198"/>
      <c r="Q172" s="198"/>
      <c r="R172" s="198"/>
      <c r="S172" s="198"/>
      <c r="T172" s="205"/>
      <c r="U172" s="205"/>
      <c r="V172" s="205"/>
      <c r="W172" s="224"/>
      <c r="X172" s="224"/>
      <c r="Y172" s="224"/>
      <c r="Z172" s="224"/>
      <c r="AA172" s="224"/>
      <c r="AB172" s="224"/>
      <c r="AC172" s="198"/>
      <c r="AD172" s="198"/>
      <c r="AE172" s="198"/>
      <c r="AF172" s="224"/>
      <c r="AG172" s="198"/>
      <c r="AH172" s="198"/>
      <c r="AI172" s="198"/>
      <c r="AJ172" s="198"/>
      <c r="AK172" s="198"/>
      <c r="AL172" s="198"/>
      <c r="AM172" s="198"/>
      <c r="AN172" s="198"/>
      <c r="AO172" s="198"/>
      <c r="AP172" s="198"/>
      <c r="AQ172" s="198"/>
      <c r="AR172" s="198"/>
      <c r="AS172" s="198"/>
      <c r="AT172" s="198"/>
      <c r="AU172" s="198"/>
      <c r="AV172" s="198"/>
      <c r="AW172" s="198"/>
      <c r="AX172" s="198"/>
      <c r="AY172" s="198"/>
      <c r="AZ172" s="198"/>
      <c r="BA172" s="198"/>
      <c r="BB172" s="198"/>
      <c r="BC172" s="198"/>
      <c r="BD172" s="198"/>
      <c r="BE172" s="198"/>
      <c r="BF172" s="198"/>
      <c r="BG172" s="198"/>
      <c r="BH172" s="198"/>
      <c r="BI172" s="198"/>
      <c r="BJ172" s="198"/>
      <c r="BK172" s="198"/>
      <c r="BL172" s="198"/>
      <c r="BM172" s="198"/>
      <c r="BN172" s="198"/>
      <c r="BO172" s="198"/>
      <c r="BP172" s="198"/>
      <c r="BQ172" s="198"/>
      <c r="BR172" s="198"/>
      <c r="BS172" s="198"/>
      <c r="BT172" s="198"/>
      <c r="BU172" s="198"/>
      <c r="BV172" s="198"/>
      <c r="BW172" s="198"/>
      <c r="BX172" s="198"/>
    </row>
    <row r="173" spans="1:76" x14ac:dyDescent="0.25">
      <c r="A173" s="2" t="str">
        <f>'Language Index'!A200</f>
        <v>Stock-Based Comp., Exploration/Drilling Exp.</v>
      </c>
      <c r="B173" s="18">
        <f>_xll.ciqfunctions.udf.CIQ($C$2, "IQ_STOCK_BASED_EXPLORE_DRILL", D$6,$F$2,,,Ccy,Conv)</f>
        <v>0</v>
      </c>
      <c r="C173" s="18">
        <f>_xll.ciqfunctions.udf.CIQ($C$2, "IQ_STOCK_BASED_EXPLORE_DRILL", E$6,$F$2,,,Ccy,Conv)</f>
        <v>0</v>
      </c>
      <c r="D173" s="18">
        <f>_xll.ciqfunctions.udf.CIQ($C$2, "IQ_STOCK_BASED_EXPLORE_DRILL", F$6,$F$2,,,Ccy,Conv)</f>
        <v>0</v>
      </c>
      <c r="E173" s="18">
        <f>_xll.ciqfunctions.udf.CIQ($C$2, "IQ_STOCK_BASED_EXPLORE_DRILL", G$6,$F$2,,,Ccy,Conv)</f>
        <v>0</v>
      </c>
      <c r="F173" s="18">
        <f>_xll.ciqfunctions.udf.CIQ($C$2, "IQ_STOCK_BASED_EXPLORE_DRILL", H$6,$F$2,,,Ccy,Conv)</f>
        <v>0</v>
      </c>
      <c r="G173" s="18">
        <f>_xll.ciqfunctions.udf.CIQ($C$2, "IQ_STOCK_BASED_EXPLORE_DRILL", I$6,$F$2,,,Ccy,Conv)</f>
        <v>0</v>
      </c>
      <c r="H173" s="18">
        <f>_xll.ciqfunctions.udf.CIQ($C$2, "IQ_STOCK_BASED_EXPLORE_DRILL", J$6,$F$2,,,Ccy,Conv)</f>
        <v>0</v>
      </c>
      <c r="I173" s="18">
        <f>_xll.ciqfunctions.udf.CIQ($C$2, "IQ_STOCK_BASED_EXPLORE_DRILL", K$6,$F$2,,,Ccy,Conv)</f>
        <v>0</v>
      </c>
      <c r="J173" s="18">
        <f>_xll.ciqfunctions.udf.CIQ($C$2, "IQ_STOCK_BASED_EXPLORE_DRILL", L$6,$F$2,,,Ccy,Conv)</f>
        <v>0</v>
      </c>
      <c r="K173" s="18">
        <f>_xll.ciqfunctions.udf.CIQ($C$2, "IQ_STOCK_BASED_EXPLORE_DRILL", M$6,$F$2,,,Ccy,Conv)</f>
        <v>0</v>
      </c>
      <c r="L173" s="18">
        <f>_xll.ciqfunctions.udf.CIQ($C$2, "IQ_STOCK_BASED_EXPLORE_DRILL", N$6,$F$2,,,Ccy,Conv)</f>
        <v>0</v>
      </c>
      <c r="M173" s="18"/>
      <c r="N173" s="18">
        <f>_xll.ciqfunctions.udf.CIQ($C$2, "IQ_STOCK_BASED_EXPLORE_DRILL", P$6,$F$2,,,Ccy,Conv)</f>
        <v>0</v>
      </c>
      <c r="O173" s="221"/>
      <c r="P173" s="198"/>
      <c r="Q173" s="198"/>
      <c r="R173" s="198"/>
      <c r="S173" s="198"/>
      <c r="T173" s="205"/>
      <c r="U173" s="205"/>
      <c r="V173" s="205"/>
      <c r="W173" s="224"/>
      <c r="X173" s="224"/>
      <c r="Y173" s="224"/>
      <c r="Z173" s="224"/>
      <c r="AA173" s="224"/>
      <c r="AB173" s="224"/>
      <c r="AC173" s="198"/>
      <c r="AD173" s="198"/>
      <c r="AE173" s="198"/>
      <c r="AF173" s="224"/>
      <c r="AG173" s="198"/>
      <c r="AH173" s="198"/>
      <c r="AI173" s="198"/>
      <c r="AJ173" s="198"/>
      <c r="AK173" s="198"/>
      <c r="AL173" s="198"/>
      <c r="AM173" s="198"/>
      <c r="AN173" s="198"/>
      <c r="AO173" s="198"/>
      <c r="AP173" s="198"/>
      <c r="AQ173" s="198"/>
      <c r="AR173" s="198"/>
      <c r="AS173" s="198"/>
      <c r="AT173" s="198"/>
      <c r="AU173" s="198"/>
      <c r="AV173" s="198"/>
      <c r="AW173" s="198"/>
      <c r="AX173" s="198"/>
      <c r="AY173" s="198"/>
      <c r="AZ173" s="198"/>
      <c r="BA173" s="198"/>
      <c r="BB173" s="198"/>
      <c r="BC173" s="198"/>
      <c r="BD173" s="198"/>
      <c r="BE173" s="198"/>
      <c r="BF173" s="198"/>
      <c r="BG173" s="198"/>
      <c r="BH173" s="198"/>
      <c r="BI173" s="198"/>
      <c r="BJ173" s="198"/>
      <c r="BK173" s="198"/>
      <c r="BL173" s="198"/>
      <c r="BM173" s="198"/>
      <c r="BN173" s="198"/>
      <c r="BO173" s="198"/>
      <c r="BP173" s="198"/>
      <c r="BQ173" s="198"/>
      <c r="BR173" s="198"/>
      <c r="BS173" s="198"/>
      <c r="BT173" s="198"/>
      <c r="BU173" s="198"/>
      <c r="BV173" s="198"/>
      <c r="BW173" s="198"/>
      <c r="BX173" s="198"/>
    </row>
    <row r="174" spans="1:76" x14ac:dyDescent="0.25">
      <c r="A174" s="2" t="str">
        <f>'Language Index'!A201</f>
        <v>Stock-Based Comp., Unallocated</v>
      </c>
      <c r="B174" s="18">
        <f>_xll.ciqfunctions.udf.CIQ($C$2, "IQ_STOCK_BASED_OTHER", D$6,$F$2,,,Ccy,Conv)</f>
        <v>-13</v>
      </c>
      <c r="C174" s="18">
        <f>_xll.ciqfunctions.udf.CIQ($C$2, "IQ_STOCK_BASED_OTHER", E$6,$F$2,,,Ccy,Conv)</f>
        <v>-5</v>
      </c>
      <c r="D174" s="18">
        <f>_xll.ciqfunctions.udf.CIQ($C$2, "IQ_STOCK_BASED_OTHER", F$6,$F$2,,,Ccy,Conv)</f>
        <v>0</v>
      </c>
      <c r="E174" s="18">
        <f>_xll.ciqfunctions.udf.CIQ($C$2, "IQ_STOCK_BASED_OTHER", G$6,$F$2,,,Ccy,Conv)</f>
        <v>0</v>
      </c>
      <c r="F174" s="18">
        <f>_xll.ciqfunctions.udf.CIQ($C$2, "IQ_STOCK_BASED_OTHER", H$6,$F$2,,,Ccy,Conv)</f>
        <v>0</v>
      </c>
      <c r="G174" s="18">
        <f>_xll.ciqfunctions.udf.CIQ($C$2, "IQ_STOCK_BASED_OTHER", I$6,$F$2,,,Ccy,Conv)</f>
        <v>50</v>
      </c>
      <c r="H174" s="18">
        <f>_xll.ciqfunctions.udf.CIQ($C$2, "IQ_STOCK_BASED_OTHER", J$6,$F$2,,,Ccy,Conv)</f>
        <v>64</v>
      </c>
      <c r="I174" s="18">
        <f>_xll.ciqfunctions.udf.CIQ($C$2, "IQ_STOCK_BASED_OTHER", K$6,$F$2,,,Ccy,Conv)</f>
        <v>64</v>
      </c>
      <c r="J174" s="18">
        <f>_xll.ciqfunctions.udf.CIQ($C$2, "IQ_STOCK_BASED_OTHER", L$6,$F$2,,,Ccy,Conv)</f>
        <v>0</v>
      </c>
      <c r="K174" s="18">
        <f>_xll.ciqfunctions.udf.CIQ($C$2, "IQ_STOCK_BASED_OTHER", M$6,$F$2,,,Ccy,Conv)</f>
        <v>0</v>
      </c>
      <c r="L174" s="18">
        <f>_xll.ciqfunctions.udf.CIQ($C$2, "IQ_STOCK_BASED_OTHER", N$6,$F$2,,,Ccy,Conv)</f>
        <v>0</v>
      </c>
      <c r="M174" s="18"/>
      <c r="N174" s="18">
        <f>_xll.ciqfunctions.udf.CIQ($C$2, "IQ_STOCK_BASED_OTHER", P$6,$F$2,,,Ccy,Conv)</f>
        <v>0</v>
      </c>
      <c r="O174" s="221"/>
      <c r="P174" s="198"/>
      <c r="Q174" s="198"/>
      <c r="R174" s="198"/>
      <c r="S174" s="198"/>
      <c r="T174" s="205"/>
      <c r="U174" s="205"/>
      <c r="V174" s="205"/>
      <c r="W174" s="224"/>
      <c r="X174" s="224"/>
      <c r="Y174" s="224"/>
      <c r="Z174" s="224"/>
      <c r="AA174" s="224"/>
      <c r="AB174" s="224"/>
      <c r="AC174" s="198"/>
      <c r="AD174" s="198"/>
      <c r="AE174" s="198"/>
      <c r="AF174" s="224"/>
      <c r="AG174" s="198"/>
      <c r="AH174" s="198"/>
      <c r="AI174" s="198"/>
      <c r="AJ174" s="198"/>
      <c r="AK174" s="198"/>
      <c r="AL174" s="198"/>
      <c r="AM174" s="198"/>
      <c r="AN174" s="198"/>
      <c r="AO174" s="198"/>
      <c r="AP174" s="198"/>
      <c r="AQ174" s="198"/>
      <c r="AR174" s="198"/>
      <c r="AS174" s="198"/>
      <c r="AT174" s="198"/>
      <c r="AU174" s="198"/>
      <c r="AV174" s="198"/>
      <c r="AW174" s="198"/>
      <c r="AX174" s="198"/>
      <c r="AY174" s="198"/>
      <c r="AZ174" s="198"/>
      <c r="BA174" s="198"/>
      <c r="BB174" s="198"/>
      <c r="BC174" s="198"/>
      <c r="BD174" s="198"/>
      <c r="BE174" s="198"/>
      <c r="BF174" s="198"/>
      <c r="BG174" s="198"/>
      <c r="BH174" s="198"/>
      <c r="BI174" s="198"/>
      <c r="BJ174" s="198"/>
      <c r="BK174" s="198"/>
      <c r="BL174" s="198"/>
      <c r="BM174" s="198"/>
      <c r="BN174" s="198"/>
      <c r="BO174" s="198"/>
      <c r="BP174" s="198"/>
      <c r="BQ174" s="198"/>
      <c r="BR174" s="198"/>
      <c r="BS174" s="198"/>
      <c r="BT174" s="198"/>
      <c r="BU174" s="198"/>
      <c r="BV174" s="198"/>
      <c r="BW174" s="198"/>
      <c r="BX174" s="198"/>
    </row>
    <row r="175" spans="1:76" x14ac:dyDescent="0.25">
      <c r="A175" s="2" t="str">
        <f>'Language Index'!A202</f>
        <v>Stock-Based Comp., After-Tax</v>
      </c>
      <c r="B175" s="18">
        <f>_xll.ciqfunctions.udf.CIQ($C$2, "IQ_STOCK_BASED_AT", D$6,$F$2,,,Ccy,Conv)</f>
        <v>0</v>
      </c>
      <c r="C175" s="18">
        <f>_xll.ciqfunctions.udf.CIQ($C$2, "IQ_STOCK_BASED_AT", E$6,$F$2,,,Ccy,Conv)</f>
        <v>0</v>
      </c>
      <c r="D175" s="18">
        <f>_xll.ciqfunctions.udf.CIQ($C$2, "IQ_STOCK_BASED_AT", F$6,$F$2,,,Ccy,Conv)</f>
        <v>0</v>
      </c>
      <c r="E175" s="18">
        <f>_xll.ciqfunctions.udf.CIQ($C$2, "IQ_STOCK_BASED_AT", G$6,$F$2,,,Ccy,Conv)</f>
        <v>0</v>
      </c>
      <c r="F175" s="18">
        <f>_xll.ciqfunctions.udf.CIQ($C$2, "IQ_STOCK_BASED_AT", H$6,$F$2,,,Ccy,Conv)</f>
        <v>0</v>
      </c>
      <c r="G175" s="18">
        <f>_xll.ciqfunctions.udf.CIQ($C$2, "IQ_STOCK_BASED_AT", I$6,$F$2,,,Ccy,Conv)</f>
        <v>0</v>
      </c>
      <c r="H175" s="18">
        <f>_xll.ciqfunctions.udf.CIQ($C$2, "IQ_STOCK_BASED_AT", J$6,$F$2,,,Ccy,Conv)</f>
        <v>0</v>
      </c>
      <c r="I175" s="18">
        <f>_xll.ciqfunctions.udf.CIQ($C$2, "IQ_STOCK_BASED_AT", K$6,$F$2,,,Ccy,Conv)</f>
        <v>0</v>
      </c>
      <c r="J175" s="18">
        <f>_xll.ciqfunctions.udf.CIQ($C$2, "IQ_STOCK_BASED_AT", L$6,$F$2,,,Ccy,Conv)</f>
        <v>0</v>
      </c>
      <c r="K175" s="18">
        <f>_xll.ciqfunctions.udf.CIQ($C$2, "IQ_STOCK_BASED_AT", M$6,$F$2,,,Ccy,Conv)</f>
        <v>0</v>
      </c>
      <c r="L175" s="18">
        <f>_xll.ciqfunctions.udf.CIQ($C$2, "IQ_STOCK_BASED_AT", N$6,$F$2,,,Ccy,Conv)</f>
        <v>0</v>
      </c>
      <c r="M175" s="18"/>
      <c r="N175" s="18">
        <f>_xll.ciqfunctions.udf.CIQ($C$2, "IQ_STOCK_BASED_AT", P$6,$F$2,,,Ccy,Conv)</f>
        <v>0</v>
      </c>
      <c r="O175" s="221"/>
      <c r="P175" s="198"/>
      <c r="Q175" s="198"/>
      <c r="R175" s="198"/>
      <c r="S175" s="198"/>
      <c r="T175" s="205"/>
      <c r="U175" s="205"/>
      <c r="V175" s="205"/>
      <c r="W175" s="224"/>
      <c r="X175" s="224"/>
      <c r="Y175" s="224"/>
      <c r="Z175" s="224"/>
      <c r="AA175" s="224"/>
      <c r="AB175" s="224"/>
      <c r="AC175" s="198"/>
      <c r="AD175" s="198"/>
      <c r="AE175" s="198"/>
      <c r="AF175" s="224"/>
      <c r="AG175" s="198"/>
      <c r="AH175" s="198"/>
      <c r="AI175" s="198"/>
      <c r="AJ175" s="198"/>
      <c r="AK175" s="198"/>
      <c r="AL175" s="198"/>
      <c r="AM175" s="198"/>
      <c r="AN175" s="198"/>
      <c r="AO175" s="198"/>
      <c r="AP175" s="198"/>
      <c r="AQ175" s="198"/>
      <c r="AR175" s="198"/>
      <c r="AS175" s="198"/>
      <c r="AT175" s="198"/>
      <c r="AU175" s="198"/>
      <c r="AV175" s="198"/>
      <c r="AW175" s="198"/>
      <c r="AX175" s="198"/>
      <c r="AY175" s="198"/>
      <c r="AZ175" s="198"/>
      <c r="BA175" s="198"/>
      <c r="BB175" s="198"/>
      <c r="BC175" s="198"/>
      <c r="BD175" s="198"/>
      <c r="BE175" s="198"/>
      <c r="BF175" s="198"/>
      <c r="BG175" s="198"/>
      <c r="BH175" s="198"/>
      <c r="BI175" s="198"/>
      <c r="BJ175" s="198"/>
      <c r="BK175" s="198"/>
      <c r="BL175" s="198"/>
      <c r="BM175" s="198"/>
      <c r="BN175" s="198"/>
      <c r="BO175" s="198"/>
      <c r="BP175" s="198"/>
      <c r="BQ175" s="198"/>
      <c r="BR175" s="198"/>
      <c r="BS175" s="198"/>
      <c r="BT175" s="198"/>
      <c r="BU175" s="198"/>
      <c r="BV175" s="198"/>
      <c r="BW175" s="198"/>
      <c r="BX175" s="198"/>
    </row>
    <row r="176" spans="1:76" x14ac:dyDescent="0.25">
      <c r="A176" s="2" t="str">
        <f>'Language Index'!A203</f>
        <v>Stock-Based Comp., Total</v>
      </c>
      <c r="B176" s="18">
        <f>_xll.ciqfunctions.udf.CIQ($C$2, "IQ_STOCK_BASED_TOTAL", D$6,$F$2,,,Ccy,Conv)</f>
        <v>512</v>
      </c>
      <c r="C176" s="18">
        <f>_xll.ciqfunctions.udf.CIQ($C$2, "IQ_STOCK_BASED_TOTAL", E$6,$F$2,,,Ccy,Conv)</f>
        <v>468</v>
      </c>
      <c r="D176" s="18">
        <f>_xll.ciqfunctions.udf.CIQ($C$2, "IQ_STOCK_BASED_TOTAL", F$6,$F$2,,,Ccy,Conv)</f>
        <v>544</v>
      </c>
      <c r="E176" s="18">
        <f>_xll.ciqfunctions.udf.CIQ($C$2, "IQ_STOCK_BASED_TOTAL", G$6,$F$2,,,Ccy,Conv)</f>
        <v>534</v>
      </c>
      <c r="F176" s="18">
        <f>_xll.ciqfunctions.udf.CIQ($C$2, "IQ_STOCK_BASED_TOTAL", H$6,$F$2,,,Ccy,Conv)</f>
        <v>510</v>
      </c>
      <c r="G176" s="18">
        <f>_xll.ciqfunctions.udf.CIQ($C$2, "IQ_STOCK_BASED_TOTAL", I$6,$F$2,,,Ccy,Conv)</f>
        <v>679</v>
      </c>
      <c r="H176" s="18">
        <f>_xll.ciqfunctions.udf.CIQ($C$2, "IQ_STOCK_BASED_TOTAL", J$6,$F$2,,,Ccy,Conv)</f>
        <v>937</v>
      </c>
      <c r="I176" s="18">
        <f>_xll.ciqfunctions.udf.CIQ($C$2, "IQ_STOCK_BASED_TOTAL", K$6,$F$2,,,Ccy,Conv)</f>
        <v>982</v>
      </c>
      <c r="J176" s="18">
        <f>_xll.ciqfunctions.udf.CIQ($C$2, "IQ_STOCK_BASED_TOTAL", L$6,$F$2,,,Ccy,Conv)</f>
        <v>988</v>
      </c>
      <c r="K176" s="18">
        <f>_xll.ciqfunctions.udf.CIQ($C$2, "IQ_STOCK_BASED_TOTAL", M$6,$F$2,,,Ccy,Conv)</f>
        <v>1134</v>
      </c>
      <c r="L176" s="18">
        <f>_xll.ciqfunctions.udf.CIQ($C$2, "IQ_STOCK_BASED_TOTAL", N$6,$F$2,,,Ccy,Conv)</f>
        <v>1311</v>
      </c>
      <c r="M176" s="18"/>
      <c r="N176" s="18">
        <f>_xll.ciqfunctions.udf.CIQ($C$2, "IQ_STOCK_BASED_TOTAL", P$6,$F$2,,,Ccy,Conv)</f>
        <v>1311</v>
      </c>
      <c r="O176" s="221"/>
      <c r="P176" s="198"/>
      <c r="Q176" s="198"/>
      <c r="R176" s="198"/>
      <c r="S176" s="198"/>
      <c r="T176" s="205"/>
      <c r="U176" s="205"/>
      <c r="V176" s="205"/>
      <c r="W176" s="224"/>
      <c r="X176" s="224"/>
      <c r="Y176" s="224"/>
      <c r="Z176" s="224"/>
      <c r="AA176" s="224"/>
      <c r="AB176" s="224"/>
      <c r="AC176" s="198"/>
      <c r="AD176" s="198"/>
      <c r="AE176" s="198"/>
      <c r="AF176" s="224"/>
      <c r="AG176" s="198"/>
      <c r="AH176" s="198"/>
      <c r="AI176" s="198"/>
      <c r="AJ176" s="198"/>
      <c r="AK176" s="198"/>
      <c r="AL176" s="198"/>
      <c r="AM176" s="198"/>
      <c r="AN176" s="198"/>
      <c r="AO176" s="198"/>
      <c r="AP176" s="198"/>
      <c r="AQ176" s="198"/>
      <c r="AR176" s="198"/>
      <c r="AS176" s="198"/>
      <c r="AT176" s="198"/>
      <c r="AU176" s="198"/>
      <c r="AV176" s="198"/>
      <c r="AW176" s="198"/>
      <c r="AX176" s="198"/>
      <c r="AY176" s="198"/>
      <c r="AZ176" s="198"/>
      <c r="BA176" s="198"/>
      <c r="BB176" s="198"/>
      <c r="BC176" s="198"/>
      <c r="BD176" s="198"/>
      <c r="BE176" s="198"/>
      <c r="BF176" s="198"/>
      <c r="BG176" s="198"/>
      <c r="BH176" s="198"/>
      <c r="BI176" s="198"/>
      <c r="BJ176" s="198"/>
      <c r="BK176" s="198"/>
      <c r="BL176" s="198"/>
      <c r="BM176" s="198"/>
      <c r="BN176" s="198"/>
      <c r="BO176" s="198"/>
      <c r="BP176" s="198"/>
      <c r="BQ176" s="198"/>
      <c r="BR176" s="198"/>
      <c r="BS176" s="198"/>
      <c r="BT176" s="198"/>
      <c r="BU176" s="198"/>
      <c r="BV176" s="198"/>
      <c r="BW176" s="198"/>
      <c r="BX176" s="198"/>
    </row>
    <row r="177" spans="1:76" x14ac:dyDescent="0.25">
      <c r="A177" s="2" t="str">
        <f>'Language Index'!A204</f>
        <v>Restr. Stock Comp. Exp., Before Tax</v>
      </c>
      <c r="B177" s="18">
        <f>_xll.ciqfunctions.udf.CIQ($C$2,"IQ_RESTR_STOCK_COMP_PRETAX", D$6,$F$2,,,Ccy,Conv)</f>
        <v>0</v>
      </c>
      <c r="C177" s="18">
        <f>_xll.ciqfunctions.udf.CIQ($C$2,"IQ_RESTR_STOCK_COMP_PRETAX", E$6,$F$2,,,Ccy,Conv)</f>
        <v>0</v>
      </c>
      <c r="D177" s="18">
        <f>_xll.ciqfunctions.udf.CIQ($C$2,"IQ_RESTR_STOCK_COMP_PRETAX", F$6,$F$2,,,Ccy,Conv)</f>
        <v>0</v>
      </c>
      <c r="E177" s="18">
        <f>_xll.ciqfunctions.udf.CIQ($C$2,"IQ_RESTR_STOCK_COMP_PRETAX", G$6,$F$2,,,Ccy,Conv)</f>
        <v>0</v>
      </c>
      <c r="F177" s="18">
        <f>_xll.ciqfunctions.udf.CIQ($C$2,"IQ_RESTR_STOCK_COMP_PRETAX", H$6,$F$2,,,Ccy,Conv)</f>
        <v>0</v>
      </c>
      <c r="G177" s="18">
        <f>_xll.ciqfunctions.udf.CIQ($C$2,"IQ_RESTR_STOCK_COMP_PRETAX", I$6,$F$2,,,Ccy,Conv)</f>
        <v>0</v>
      </c>
      <c r="H177" s="18">
        <f>_xll.ciqfunctions.udf.CIQ($C$2,"IQ_RESTR_STOCK_COMP_PRETAX", J$6,$F$2,,,Ccy,Conv)</f>
        <v>0</v>
      </c>
      <c r="I177" s="18">
        <f>_xll.ciqfunctions.udf.CIQ($C$2,"IQ_RESTR_STOCK_COMP_PRETAX", K$6,$F$2,,,Ccy,Conv)</f>
        <v>0</v>
      </c>
      <c r="J177" s="18">
        <f>_xll.ciqfunctions.udf.CIQ($C$2,"IQ_RESTR_STOCK_COMP_PRETAX", L$6,$F$2,,,Ccy,Conv)</f>
        <v>0</v>
      </c>
      <c r="K177" s="18">
        <f>_xll.ciqfunctions.udf.CIQ($C$2,"IQ_RESTR_STOCK_COMP_PRETAX", M$6,$F$2,,,Ccy,Conv)</f>
        <v>0</v>
      </c>
      <c r="L177" s="18">
        <f>_xll.ciqfunctions.udf.CIQ($C$2,"IQ_RESTR_STOCK_COMP_PRETAX", N$6,$F$2,,,Ccy,Conv)</f>
        <v>0</v>
      </c>
      <c r="M177" s="18"/>
      <c r="N177" s="18">
        <f>_xll.ciqfunctions.udf.CIQ($C$2,"IQ_RESTR_STOCK_COMP_PRETAX", P$6,$F$2,,,Ccy,Conv)</f>
        <v>0</v>
      </c>
      <c r="O177" s="221"/>
      <c r="P177" s="198"/>
      <c r="Q177" s="198"/>
      <c r="R177" s="198"/>
      <c r="S177" s="198"/>
      <c r="T177" s="205"/>
      <c r="U177" s="205"/>
      <c r="V177" s="205"/>
      <c r="W177" s="224"/>
      <c r="X177" s="224"/>
      <c r="Y177" s="224"/>
      <c r="Z177" s="224"/>
      <c r="AA177" s="224"/>
      <c r="AB177" s="224"/>
      <c r="AC177" s="198"/>
      <c r="AD177" s="198"/>
      <c r="AE177" s="198"/>
      <c r="AF177" s="224"/>
      <c r="AG177" s="198"/>
      <c r="AH177" s="198"/>
      <c r="AI177" s="198"/>
      <c r="AJ177" s="198"/>
      <c r="AK177" s="198"/>
      <c r="AL177" s="198"/>
      <c r="AM177" s="198"/>
      <c r="AN177" s="198"/>
      <c r="AO177" s="198"/>
      <c r="AP177" s="198"/>
      <c r="AQ177" s="198"/>
      <c r="AR177" s="198"/>
      <c r="AS177" s="198"/>
      <c r="AT177" s="198"/>
      <c r="AU177" s="198"/>
      <c r="AV177" s="198"/>
      <c r="AW177" s="198"/>
      <c r="AX177" s="198"/>
      <c r="AY177" s="198"/>
      <c r="AZ177" s="198"/>
      <c r="BA177" s="198"/>
      <c r="BB177" s="198"/>
      <c r="BC177" s="198"/>
      <c r="BD177" s="198"/>
      <c r="BE177" s="198"/>
      <c r="BF177" s="198"/>
      <c r="BG177" s="198"/>
      <c r="BH177" s="198"/>
      <c r="BI177" s="198"/>
      <c r="BJ177" s="198"/>
      <c r="BK177" s="198"/>
      <c r="BL177" s="198"/>
      <c r="BM177" s="198"/>
      <c r="BN177" s="198"/>
      <c r="BO177" s="198"/>
      <c r="BP177" s="198"/>
      <c r="BQ177" s="198"/>
      <c r="BR177" s="198"/>
      <c r="BS177" s="198"/>
      <c r="BT177" s="198"/>
      <c r="BU177" s="198"/>
      <c r="BV177" s="198"/>
      <c r="BW177" s="198"/>
      <c r="BX177" s="198"/>
    </row>
    <row r="178" spans="1:76" x14ac:dyDescent="0.25">
      <c r="A178" s="2" t="str">
        <f>'Language Index'!A205</f>
        <v>Restr. Stock Comp. Exp. Tax Effect</v>
      </c>
      <c r="B178" s="18">
        <f>_xll.ciqfunctions.udf.CIQ($C$2,"IQ_RESTR_STOCK_COMP_TAX", D$6,$F$2,,,Ccy,Conv)</f>
        <v>0</v>
      </c>
      <c r="C178" s="18">
        <f>_xll.ciqfunctions.udf.CIQ($C$2,"IQ_RESTR_STOCK_COMP_TAX", E$6,$F$2,,,Ccy,Conv)</f>
        <v>0</v>
      </c>
      <c r="D178" s="18">
        <f>_xll.ciqfunctions.udf.CIQ($C$2,"IQ_RESTR_STOCK_COMP_TAX", F$6,$F$2,,,Ccy,Conv)</f>
        <v>0</v>
      </c>
      <c r="E178" s="18">
        <f>_xll.ciqfunctions.udf.CIQ($C$2,"IQ_RESTR_STOCK_COMP_TAX", G$6,$F$2,,,Ccy,Conv)</f>
        <v>0</v>
      </c>
      <c r="F178" s="18">
        <f>_xll.ciqfunctions.udf.CIQ($C$2,"IQ_RESTR_STOCK_COMP_TAX", H$6,$F$2,,,Ccy,Conv)</f>
        <v>0</v>
      </c>
      <c r="G178" s="18">
        <f>_xll.ciqfunctions.udf.CIQ($C$2,"IQ_RESTR_STOCK_COMP_TAX", I$6,$F$2,,,Ccy,Conv)</f>
        <v>0</v>
      </c>
      <c r="H178" s="18">
        <f>_xll.ciqfunctions.udf.CIQ($C$2,"IQ_RESTR_STOCK_COMP_TAX", J$6,$F$2,,,Ccy,Conv)</f>
        <v>0</v>
      </c>
      <c r="I178" s="18">
        <f>_xll.ciqfunctions.udf.CIQ($C$2,"IQ_RESTR_STOCK_COMP_TAX", K$6,$F$2,,,Ccy,Conv)</f>
        <v>0</v>
      </c>
      <c r="J178" s="18">
        <f>_xll.ciqfunctions.udf.CIQ($C$2,"IQ_RESTR_STOCK_COMP_TAX", L$6,$F$2,,,Ccy,Conv)</f>
        <v>0</v>
      </c>
      <c r="K178" s="18">
        <f>_xll.ciqfunctions.udf.CIQ($C$2,"IQ_RESTR_STOCK_COMP_TAX", M$6,$F$2,,,Ccy,Conv)</f>
        <v>0</v>
      </c>
      <c r="L178" s="18">
        <f>_xll.ciqfunctions.udf.CIQ($C$2,"IQ_RESTR_STOCK_COMP_TAX", N$6,$F$2,,,Ccy,Conv)</f>
        <v>0</v>
      </c>
      <c r="M178" s="18"/>
      <c r="N178" s="18">
        <f>_xll.ciqfunctions.udf.CIQ($C$2,"IQ_RESTR_STOCK_COMP_TAX", P$6,$F$2,,,Ccy,Conv)</f>
        <v>0</v>
      </c>
      <c r="O178" s="221"/>
      <c r="P178" s="198"/>
      <c r="Q178" s="198"/>
      <c r="R178" s="198"/>
      <c r="S178" s="198"/>
      <c r="T178" s="205"/>
      <c r="U178" s="205"/>
      <c r="V178" s="205"/>
      <c r="W178" s="198"/>
      <c r="X178" s="198"/>
      <c r="Y178" s="198"/>
      <c r="Z178" s="198"/>
      <c r="AA178" s="198"/>
      <c r="AB178" s="198"/>
      <c r="AC178" s="198"/>
      <c r="AD178" s="198"/>
      <c r="AE178" s="198"/>
      <c r="AF178" s="198"/>
      <c r="AG178" s="198"/>
      <c r="AH178" s="198"/>
      <c r="AI178" s="198"/>
      <c r="AJ178" s="198"/>
      <c r="AK178" s="198"/>
      <c r="AL178" s="198"/>
      <c r="AM178" s="198"/>
      <c r="AN178" s="198"/>
      <c r="AO178" s="198"/>
      <c r="AP178" s="198"/>
      <c r="AQ178" s="198"/>
      <c r="AR178" s="198"/>
      <c r="AS178" s="198"/>
      <c r="AT178" s="198"/>
      <c r="AU178" s="198"/>
      <c r="AV178" s="198"/>
      <c r="AW178" s="198"/>
      <c r="AX178" s="198"/>
      <c r="AY178" s="198"/>
      <c r="AZ178" s="198"/>
      <c r="BA178" s="198"/>
      <c r="BB178" s="198"/>
      <c r="BC178" s="198"/>
      <c r="BD178" s="198"/>
      <c r="BE178" s="198"/>
      <c r="BF178" s="198"/>
      <c r="BG178" s="198"/>
      <c r="BH178" s="198"/>
      <c r="BI178" s="198"/>
      <c r="BJ178" s="198"/>
      <c r="BK178" s="198"/>
      <c r="BL178" s="198"/>
      <c r="BM178" s="198"/>
      <c r="BN178" s="198"/>
      <c r="BO178" s="198"/>
      <c r="BP178" s="198"/>
      <c r="BQ178" s="198"/>
      <c r="BR178" s="198"/>
      <c r="BS178" s="198"/>
      <c r="BT178" s="198"/>
      <c r="BU178" s="198"/>
      <c r="BV178" s="198"/>
      <c r="BW178" s="198"/>
      <c r="BX178" s="198"/>
    </row>
    <row r="179" spans="1:76" x14ac:dyDescent="0.25">
      <c r="A179" s="2" t="str">
        <f>'Language Index'!A206</f>
        <v>Restr. Stock Comp. Exp., After Tax</v>
      </c>
      <c r="B179" s="18">
        <f>_xll.ciqfunctions.udf.CIQ($C$2,"IQ_RESTR_STOCK_COMP", D$6,$F$2,,,Ccy,Conv)</f>
        <v>0</v>
      </c>
      <c r="C179" s="18">
        <f>_xll.ciqfunctions.udf.CIQ($C$2,"IQ_RESTR_STOCK_COMP", E$6,$F$2,,,Ccy,Conv)</f>
        <v>0</v>
      </c>
      <c r="D179" s="18">
        <f>_xll.ciqfunctions.udf.CIQ($C$2,"IQ_RESTR_STOCK_COMP", F$6,$F$2,,,Ccy,Conv)</f>
        <v>0</v>
      </c>
      <c r="E179" s="18">
        <f>_xll.ciqfunctions.udf.CIQ($C$2,"IQ_RESTR_STOCK_COMP", G$6,$F$2,,,Ccy,Conv)</f>
        <v>0</v>
      </c>
      <c r="F179" s="18">
        <f>_xll.ciqfunctions.udf.CIQ($C$2,"IQ_RESTR_STOCK_COMP", H$6,$F$2,,,Ccy,Conv)</f>
        <v>0</v>
      </c>
      <c r="G179" s="18">
        <f>_xll.ciqfunctions.udf.CIQ($C$2,"IQ_RESTR_STOCK_COMP", I$6,$F$2,,,Ccy,Conv)</f>
        <v>0</v>
      </c>
      <c r="H179" s="18">
        <f>_xll.ciqfunctions.udf.CIQ($C$2,"IQ_RESTR_STOCK_COMP", J$6,$F$2,,,Ccy,Conv)</f>
        <v>0</v>
      </c>
      <c r="I179" s="18">
        <f>_xll.ciqfunctions.udf.CIQ($C$2,"IQ_RESTR_STOCK_COMP", K$6,$F$2,,,Ccy,Conv)</f>
        <v>0</v>
      </c>
      <c r="J179" s="18">
        <f>_xll.ciqfunctions.udf.CIQ($C$2,"IQ_RESTR_STOCK_COMP", L$6,$F$2,,,Ccy,Conv)</f>
        <v>0</v>
      </c>
      <c r="K179" s="18">
        <f>_xll.ciqfunctions.udf.CIQ($C$2,"IQ_RESTR_STOCK_COMP", M$6,$F$2,,,Ccy,Conv)</f>
        <v>0</v>
      </c>
      <c r="L179" s="18">
        <f>_xll.ciqfunctions.udf.CIQ($C$2,"IQ_RESTR_STOCK_COMP", N$6,$F$2,,,Ccy,Conv)</f>
        <v>0</v>
      </c>
      <c r="M179" s="18"/>
      <c r="N179" s="18">
        <f>_xll.ciqfunctions.udf.CIQ($C$2,"IQ_RESTR_STOCK_COMP", P$6,$F$2,,,Ccy,Conv)</f>
        <v>0</v>
      </c>
      <c r="O179" s="221"/>
      <c r="P179" s="198"/>
      <c r="Q179" s="198"/>
      <c r="R179" s="198"/>
      <c r="S179" s="198"/>
      <c r="T179" s="205"/>
      <c r="U179" s="205"/>
      <c r="V179" s="205"/>
      <c r="W179" s="198"/>
      <c r="X179" s="198"/>
      <c r="Y179" s="198"/>
      <c r="Z179" s="198"/>
      <c r="AA179" s="198"/>
      <c r="AB179" s="198"/>
      <c r="AC179" s="198"/>
      <c r="AD179" s="198"/>
      <c r="AE179" s="198"/>
      <c r="AF179" s="198"/>
      <c r="AG179" s="198"/>
      <c r="AH179" s="198"/>
      <c r="AI179" s="198"/>
      <c r="AJ179" s="198"/>
      <c r="AK179" s="198"/>
      <c r="AL179" s="198"/>
      <c r="AM179" s="198"/>
      <c r="AN179" s="198"/>
      <c r="AO179" s="198"/>
      <c r="AP179" s="198"/>
      <c r="AQ179" s="198"/>
      <c r="AR179" s="198"/>
      <c r="AS179" s="198"/>
      <c r="AT179" s="198"/>
      <c r="AU179" s="198"/>
      <c r="AV179" s="198"/>
      <c r="AW179" s="198"/>
      <c r="AX179" s="198"/>
      <c r="AY179" s="198"/>
      <c r="AZ179" s="198"/>
      <c r="BA179" s="198"/>
      <c r="BB179" s="198"/>
      <c r="BC179" s="198"/>
      <c r="BD179" s="198"/>
      <c r="BE179" s="198"/>
      <c r="BF179" s="198"/>
      <c r="BG179" s="198"/>
      <c r="BH179" s="198"/>
      <c r="BI179" s="198"/>
      <c r="BJ179" s="198"/>
      <c r="BK179" s="198"/>
      <c r="BL179" s="198"/>
      <c r="BM179" s="198"/>
      <c r="BN179" s="198"/>
      <c r="BO179" s="198"/>
      <c r="BP179" s="198"/>
      <c r="BQ179" s="198"/>
      <c r="BR179" s="198"/>
      <c r="BS179" s="198"/>
      <c r="BT179" s="198"/>
      <c r="BU179" s="198"/>
      <c r="BV179" s="198"/>
      <c r="BW179" s="198"/>
      <c r="BX179" s="198"/>
    </row>
    <row r="180" spans="1:76" x14ac:dyDescent="0.25">
      <c r="A180" s="2" t="str">
        <f>'Language Index'!A207</f>
        <v>Stock Options Comp. Exp., Before Tax</v>
      </c>
      <c r="B180" s="18">
        <f>_xll.ciqfunctions.udf.CIQ($C$2,"IQ_STOCK_OPTIONS_COMP_PRETAX", D$6,$F$2,,,Ccy,Conv)</f>
        <v>0</v>
      </c>
      <c r="C180" s="18">
        <f>_xll.ciqfunctions.udf.CIQ($C$2,"IQ_STOCK_OPTIONS_COMP_PRETAX", E$6,$F$2,,,Ccy,Conv)</f>
        <v>0</v>
      </c>
      <c r="D180" s="18">
        <f>_xll.ciqfunctions.udf.CIQ($C$2,"IQ_STOCK_OPTIONS_COMP_PRETAX", F$6,$F$2,,,Ccy,Conv)</f>
        <v>0</v>
      </c>
      <c r="E180" s="18">
        <f>_xll.ciqfunctions.udf.CIQ($C$2,"IQ_STOCK_OPTIONS_COMP_PRETAX", G$6,$F$2,,,Ccy,Conv)</f>
        <v>0</v>
      </c>
      <c r="F180" s="18">
        <f>_xll.ciqfunctions.udf.CIQ($C$2,"IQ_STOCK_OPTIONS_COMP_PRETAX", H$6,$F$2,,,Ccy,Conv)</f>
        <v>0</v>
      </c>
      <c r="G180" s="18">
        <f>_xll.ciqfunctions.udf.CIQ($C$2,"IQ_STOCK_OPTIONS_COMP_PRETAX", I$6,$F$2,,,Ccy,Conv)</f>
        <v>0</v>
      </c>
      <c r="H180" s="18">
        <f>_xll.ciqfunctions.udf.CIQ($C$2,"IQ_STOCK_OPTIONS_COMP_PRETAX", J$6,$F$2,,,Ccy,Conv)</f>
        <v>0</v>
      </c>
      <c r="I180" s="18">
        <f>_xll.ciqfunctions.udf.CIQ($C$2,"IQ_STOCK_OPTIONS_COMP_PRETAX", K$6,$F$2,,,Ccy,Conv)</f>
        <v>0</v>
      </c>
      <c r="J180" s="18">
        <f>_xll.ciqfunctions.udf.CIQ($C$2,"IQ_STOCK_OPTIONS_COMP_PRETAX", L$6,$F$2,,,Ccy,Conv)</f>
        <v>0</v>
      </c>
      <c r="K180" s="18">
        <f>_xll.ciqfunctions.udf.CIQ($C$2,"IQ_STOCK_OPTIONS_COMP_PRETAX", M$6,$F$2,,,Ccy,Conv)</f>
        <v>0</v>
      </c>
      <c r="L180" s="18">
        <f>_xll.ciqfunctions.udf.CIQ($C$2,"IQ_STOCK_OPTIONS_COMP_PRETAX", N$6,$F$2,,,Ccy,Conv)</f>
        <v>0</v>
      </c>
      <c r="M180" s="18"/>
      <c r="N180" s="18">
        <f>_xll.ciqfunctions.udf.CIQ($C$2,"IQ_STOCK_OPTIONS_COMP_PRETAX", P$6,$F$2,,,Ccy,Conv)</f>
        <v>0</v>
      </c>
      <c r="O180" s="221"/>
      <c r="P180" s="198"/>
      <c r="Q180" s="198"/>
      <c r="R180" s="198"/>
      <c r="S180" s="198"/>
      <c r="T180" s="205"/>
      <c r="U180" s="205"/>
      <c r="V180" s="205"/>
      <c r="W180" s="198"/>
      <c r="X180" s="198"/>
      <c r="Y180" s="198"/>
      <c r="Z180" s="198"/>
      <c r="AA180" s="198"/>
      <c r="AB180" s="198"/>
      <c r="AC180" s="198"/>
      <c r="AD180" s="198"/>
      <c r="AE180" s="198"/>
      <c r="AF180" s="198"/>
      <c r="AG180" s="198"/>
      <c r="AH180" s="198"/>
      <c r="AI180" s="198"/>
      <c r="AJ180" s="198"/>
      <c r="AK180" s="198"/>
      <c r="AL180" s="198"/>
      <c r="AM180" s="198"/>
      <c r="AN180" s="198"/>
      <c r="AO180" s="198"/>
      <c r="AP180" s="198"/>
      <c r="AQ180" s="198"/>
      <c r="AR180" s="198"/>
      <c r="AS180" s="198"/>
      <c r="AT180" s="198"/>
      <c r="AU180" s="198"/>
      <c r="AV180" s="198"/>
      <c r="AW180" s="198"/>
      <c r="AX180" s="198"/>
      <c r="AY180" s="198"/>
      <c r="AZ180" s="198"/>
      <c r="BA180" s="198"/>
      <c r="BB180" s="198"/>
      <c r="BC180" s="198"/>
      <c r="BD180" s="198"/>
      <c r="BE180" s="198"/>
      <c r="BF180" s="198"/>
      <c r="BG180" s="198"/>
      <c r="BH180" s="198"/>
      <c r="BI180" s="198"/>
      <c r="BJ180" s="198"/>
      <c r="BK180" s="198"/>
      <c r="BL180" s="198"/>
      <c r="BM180" s="198"/>
      <c r="BN180" s="198"/>
      <c r="BO180" s="198"/>
      <c r="BP180" s="198"/>
      <c r="BQ180" s="198"/>
      <c r="BR180" s="198"/>
      <c r="BS180" s="198"/>
      <c r="BT180" s="198"/>
      <c r="BU180" s="198"/>
      <c r="BV180" s="198"/>
      <c r="BW180" s="198"/>
      <c r="BX180" s="198"/>
    </row>
    <row r="181" spans="1:76" x14ac:dyDescent="0.25">
      <c r="A181" s="2" t="str">
        <f>'Language Index'!A208</f>
        <v>Stock Options Comp. Exp. Tax Effect</v>
      </c>
      <c r="B181" s="18">
        <f>_xll.ciqfunctions.udf.CIQ($C$2,"IQ_STOCK_OPTIONS_COMP_TAX", D$6,$F$2,,,Ccy,Conv)</f>
        <v>0</v>
      </c>
      <c r="C181" s="18">
        <f>_xll.ciqfunctions.udf.CIQ($C$2,"IQ_STOCK_OPTIONS_COMP_TAX", E$6,$F$2,,,Ccy,Conv)</f>
        <v>0</v>
      </c>
      <c r="D181" s="18">
        <f>_xll.ciqfunctions.udf.CIQ($C$2,"IQ_STOCK_OPTIONS_COMP_TAX", F$6,$F$2,,,Ccy,Conv)</f>
        <v>0</v>
      </c>
      <c r="E181" s="18">
        <f>_xll.ciqfunctions.udf.CIQ($C$2,"IQ_STOCK_OPTIONS_COMP_TAX", G$6,$F$2,,,Ccy,Conv)</f>
        <v>0</v>
      </c>
      <c r="F181" s="18">
        <f>_xll.ciqfunctions.udf.CIQ($C$2,"IQ_STOCK_OPTIONS_COMP_TAX", H$6,$F$2,,,Ccy,Conv)</f>
        <v>0</v>
      </c>
      <c r="G181" s="18">
        <f>_xll.ciqfunctions.udf.CIQ($C$2,"IQ_STOCK_OPTIONS_COMP_TAX", I$6,$F$2,,,Ccy,Conv)</f>
        <v>0</v>
      </c>
      <c r="H181" s="18">
        <f>_xll.ciqfunctions.udf.CIQ($C$2,"IQ_STOCK_OPTIONS_COMP_TAX", J$6,$F$2,,,Ccy,Conv)</f>
        <v>0</v>
      </c>
      <c r="I181" s="18">
        <f>_xll.ciqfunctions.udf.CIQ($C$2,"IQ_STOCK_OPTIONS_COMP_TAX", K$6,$F$2,,,Ccy,Conv)</f>
        <v>0</v>
      </c>
      <c r="J181" s="18">
        <f>_xll.ciqfunctions.udf.CIQ($C$2,"IQ_STOCK_OPTIONS_COMP_TAX", L$6,$F$2,,,Ccy,Conv)</f>
        <v>0</v>
      </c>
      <c r="K181" s="18">
        <f>_xll.ciqfunctions.udf.CIQ($C$2,"IQ_STOCK_OPTIONS_COMP_TAX", M$6,$F$2,,,Ccy,Conv)</f>
        <v>0</v>
      </c>
      <c r="L181" s="18">
        <f>_xll.ciqfunctions.udf.CIQ($C$2,"IQ_STOCK_OPTIONS_COMP_TAX", N$6,$F$2,,,Ccy,Conv)</f>
        <v>0</v>
      </c>
      <c r="M181" s="18"/>
      <c r="N181" s="18">
        <f>_xll.ciqfunctions.udf.CIQ($C$2,"IQ_STOCK_OPTIONS_COMP_TAX", P$6,$F$2,,,Ccy,Conv)</f>
        <v>0</v>
      </c>
      <c r="O181" s="221"/>
      <c r="P181" s="198"/>
      <c r="Q181" s="198"/>
      <c r="R181" s="198"/>
      <c r="S181" s="198"/>
      <c r="T181" s="205"/>
      <c r="U181" s="205"/>
      <c r="V181" s="205"/>
      <c r="W181" s="198"/>
      <c r="X181" s="198"/>
      <c r="Y181" s="198"/>
      <c r="Z181" s="198"/>
      <c r="AA181" s="198"/>
      <c r="AB181" s="198"/>
      <c r="AC181" s="198"/>
      <c r="AD181" s="198"/>
      <c r="AE181" s="198"/>
      <c r="AF181" s="198"/>
      <c r="AG181" s="198"/>
      <c r="AH181" s="198"/>
      <c r="AI181" s="198"/>
      <c r="AJ181" s="198"/>
      <c r="AK181" s="198"/>
      <c r="AL181" s="198"/>
      <c r="AM181" s="198"/>
      <c r="AN181" s="198"/>
      <c r="AO181" s="198"/>
      <c r="AP181" s="198"/>
      <c r="AQ181" s="198"/>
      <c r="AR181" s="198"/>
      <c r="AS181" s="198"/>
      <c r="AT181" s="198"/>
      <c r="AU181" s="198"/>
      <c r="AV181" s="198"/>
      <c r="AW181" s="198"/>
      <c r="AX181" s="198"/>
      <c r="AY181" s="198"/>
      <c r="AZ181" s="198"/>
      <c r="BA181" s="198"/>
      <c r="BB181" s="198"/>
      <c r="BC181" s="198"/>
      <c r="BD181" s="198"/>
      <c r="BE181" s="198"/>
      <c r="BF181" s="198"/>
      <c r="BG181" s="198"/>
      <c r="BH181" s="198"/>
      <c r="BI181" s="198"/>
      <c r="BJ181" s="198"/>
      <c r="BK181" s="198"/>
      <c r="BL181" s="198"/>
      <c r="BM181" s="198"/>
      <c r="BN181" s="198"/>
      <c r="BO181" s="198"/>
      <c r="BP181" s="198"/>
      <c r="BQ181" s="198"/>
      <c r="BR181" s="198"/>
      <c r="BS181" s="198"/>
      <c r="BT181" s="198"/>
      <c r="BU181" s="198"/>
      <c r="BV181" s="198"/>
      <c r="BW181" s="198"/>
      <c r="BX181" s="198"/>
    </row>
    <row r="182" spans="1:76" x14ac:dyDescent="0.25">
      <c r="A182" s="2" t="str">
        <f>'Language Index'!A209</f>
        <v>Stock Options Comp. Exp., After Tax</v>
      </c>
      <c r="B182" s="18">
        <f>_xll.ciqfunctions.udf.CIQ($C$2,"IQ_STOCK_OPTIONS_COMP", D$6,$F$2,,,Ccy,Conv)</f>
        <v>0</v>
      </c>
      <c r="C182" s="18">
        <f>_xll.ciqfunctions.udf.CIQ($C$2,"IQ_STOCK_OPTIONS_COMP", E$6,$F$2,,,Ccy,Conv)</f>
        <v>0</v>
      </c>
      <c r="D182" s="18">
        <f>_xll.ciqfunctions.udf.CIQ($C$2,"IQ_STOCK_OPTIONS_COMP", F$6,$F$2,,,Ccy,Conv)</f>
        <v>0</v>
      </c>
      <c r="E182" s="18">
        <f>_xll.ciqfunctions.udf.CIQ($C$2,"IQ_STOCK_OPTIONS_COMP", G$6,$F$2,,,Ccy,Conv)</f>
        <v>0</v>
      </c>
      <c r="F182" s="18">
        <f>_xll.ciqfunctions.udf.CIQ($C$2,"IQ_STOCK_OPTIONS_COMP", H$6,$F$2,,,Ccy,Conv)</f>
        <v>0</v>
      </c>
      <c r="G182" s="18">
        <f>_xll.ciqfunctions.udf.CIQ($C$2,"IQ_STOCK_OPTIONS_COMP", I$6,$F$2,,,Ccy,Conv)</f>
        <v>0</v>
      </c>
      <c r="H182" s="18">
        <f>_xll.ciqfunctions.udf.CIQ($C$2,"IQ_STOCK_OPTIONS_COMP", J$6,$F$2,,,Ccy,Conv)</f>
        <v>0</v>
      </c>
      <c r="I182" s="18">
        <f>_xll.ciqfunctions.udf.CIQ($C$2,"IQ_STOCK_OPTIONS_COMP", K$6,$F$2,,,Ccy,Conv)</f>
        <v>0</v>
      </c>
      <c r="J182" s="18">
        <f>_xll.ciqfunctions.udf.CIQ($C$2,"IQ_STOCK_OPTIONS_COMP", L$6,$F$2,,,Ccy,Conv)</f>
        <v>0</v>
      </c>
      <c r="K182" s="18">
        <f>_xll.ciqfunctions.udf.CIQ($C$2,"IQ_STOCK_OPTIONS_COMP", M$6,$F$2,,,Ccy,Conv)</f>
        <v>0</v>
      </c>
      <c r="L182" s="18">
        <f>_xll.ciqfunctions.udf.CIQ($C$2,"IQ_STOCK_OPTIONS_COMP", N$6,$F$2,,,Ccy,Conv)</f>
        <v>0</v>
      </c>
      <c r="M182" s="18"/>
      <c r="N182" s="18">
        <f>_xll.ciqfunctions.udf.CIQ($C$2,"IQ_STOCK_OPTIONS_COMP", P$6,$F$2,,,Ccy,Conv)</f>
        <v>0</v>
      </c>
      <c r="O182" s="221"/>
      <c r="P182" s="198"/>
      <c r="Q182" s="198"/>
      <c r="R182" s="198"/>
      <c r="S182" s="198"/>
      <c r="T182" s="205"/>
      <c r="U182" s="205"/>
      <c r="V182" s="205"/>
      <c r="W182" s="198"/>
      <c r="X182" s="198"/>
      <c r="Y182" s="198"/>
      <c r="Z182" s="198"/>
      <c r="AA182" s="198"/>
      <c r="AB182" s="198"/>
      <c r="AC182" s="198"/>
      <c r="AD182" s="198"/>
      <c r="AE182" s="198"/>
      <c r="AF182" s="198"/>
      <c r="AG182" s="198"/>
      <c r="AH182" s="198"/>
      <c r="AI182" s="198"/>
      <c r="AJ182" s="198"/>
      <c r="AK182" s="198"/>
      <c r="AL182" s="198"/>
      <c r="AM182" s="198"/>
      <c r="AN182" s="198"/>
      <c r="AO182" s="198"/>
      <c r="AP182" s="198"/>
      <c r="AQ182" s="198"/>
      <c r="AR182" s="198"/>
      <c r="AS182" s="198"/>
      <c r="AT182" s="198"/>
      <c r="AU182" s="198"/>
      <c r="AV182" s="198"/>
      <c r="AW182" s="198"/>
      <c r="AX182" s="198"/>
      <c r="AY182" s="198"/>
      <c r="AZ182" s="198"/>
      <c r="BA182" s="198"/>
      <c r="BB182" s="198"/>
      <c r="BC182" s="198"/>
      <c r="BD182" s="198"/>
      <c r="BE182" s="198"/>
      <c r="BF182" s="198"/>
      <c r="BG182" s="198"/>
      <c r="BH182" s="198"/>
      <c r="BI182" s="198"/>
      <c r="BJ182" s="198"/>
      <c r="BK182" s="198"/>
      <c r="BL182" s="198"/>
      <c r="BM182" s="198"/>
      <c r="BN182" s="198"/>
      <c r="BO182" s="198"/>
      <c r="BP182" s="198"/>
      <c r="BQ182" s="198"/>
      <c r="BR182" s="198"/>
      <c r="BS182" s="198"/>
      <c r="BT182" s="198"/>
      <c r="BU182" s="198"/>
      <c r="BV182" s="198"/>
      <c r="BW182" s="198"/>
      <c r="BX182" s="198"/>
    </row>
    <row r="183" spans="1:76" x14ac:dyDescent="0.25">
      <c r="A183" s="2" t="str">
        <f>'Language Index'!A210</f>
        <v>Stock Based Comp. Exp., Before Tax</v>
      </c>
      <c r="B183" s="18">
        <f>_xll.ciqfunctions.udf.CIQ($C$2,"IQ_STOCK_BASED_COMP_PRETAX", D$6,$F$2,,,Ccy,Conv)</f>
        <v>512</v>
      </c>
      <c r="C183" s="18">
        <f>_xll.ciqfunctions.udf.CIQ($C$2,"IQ_STOCK_BASED_COMP_PRETAX", E$6,$F$2,,,Ccy,Conv)</f>
        <v>468</v>
      </c>
      <c r="D183" s="18">
        <f>_xll.ciqfunctions.udf.CIQ($C$2,"IQ_STOCK_BASED_COMP_PRETAX", F$6,$F$2,,,Ccy,Conv)</f>
        <v>544</v>
      </c>
      <c r="E183" s="18">
        <f>_xll.ciqfunctions.udf.CIQ($C$2,"IQ_STOCK_BASED_COMP_PRETAX", G$6,$F$2,,,Ccy,Conv)</f>
        <v>534</v>
      </c>
      <c r="F183" s="18">
        <f>_xll.ciqfunctions.udf.CIQ($C$2,"IQ_STOCK_BASED_COMP_PRETAX", H$6,$F$2,,,Ccy,Conv)</f>
        <v>510</v>
      </c>
      <c r="G183" s="18">
        <f>_xll.ciqfunctions.udf.CIQ($C$2,"IQ_STOCK_BASED_COMP_PRETAX", I$6,$F$2,,,Ccy,Conv)</f>
        <v>679</v>
      </c>
      <c r="H183" s="18">
        <f>_xll.ciqfunctions.udf.CIQ($C$2,"IQ_STOCK_BASED_COMP_PRETAX", J$6,$F$2,,,Ccy,Conv)</f>
        <v>937</v>
      </c>
      <c r="I183" s="18">
        <f>_xll.ciqfunctions.udf.CIQ($C$2,"IQ_STOCK_BASED_COMP_PRETAX", K$6,$F$2,,,Ccy,Conv)</f>
        <v>982</v>
      </c>
      <c r="J183" s="18">
        <f>_xll.ciqfunctions.udf.CIQ($C$2,"IQ_STOCK_BASED_COMP_PRETAX", L$6,$F$2,,,Ccy,Conv)</f>
        <v>988</v>
      </c>
      <c r="K183" s="18">
        <f>_xll.ciqfunctions.udf.CIQ($C$2,"IQ_STOCK_BASED_COMP_PRETAX", M$6,$F$2,,,Ccy,Conv)</f>
        <v>1134</v>
      </c>
      <c r="L183" s="18">
        <f>_xll.ciqfunctions.udf.CIQ($C$2,"IQ_STOCK_BASED_COMP_PRETAX", N$6,$F$2,,,Ccy,Conv)</f>
        <v>1311</v>
      </c>
      <c r="M183" s="18"/>
      <c r="N183" s="18">
        <f>_xll.ciqfunctions.udf.CIQ($C$2,"IQ_STOCK_BASED_COMP_PRETAX", P$6,$F$2,,,Ccy,Conv)</f>
        <v>1311</v>
      </c>
      <c r="O183" s="221"/>
      <c r="P183" s="198"/>
      <c r="Q183" s="198"/>
      <c r="R183" s="198"/>
      <c r="S183" s="198"/>
      <c r="T183" s="205"/>
      <c r="U183" s="205"/>
      <c r="V183" s="205"/>
      <c r="W183" s="198"/>
      <c r="X183" s="198"/>
      <c r="Y183" s="198"/>
      <c r="Z183" s="198"/>
      <c r="AA183" s="198"/>
      <c r="AB183" s="198"/>
      <c r="AC183" s="198"/>
      <c r="AD183" s="198"/>
      <c r="AE183" s="198"/>
      <c r="AF183" s="198"/>
      <c r="AG183" s="198"/>
      <c r="AH183" s="198"/>
      <c r="AI183" s="198"/>
      <c r="AJ183" s="198"/>
      <c r="AK183" s="198"/>
      <c r="AL183" s="198"/>
      <c r="AM183" s="198"/>
      <c r="AN183" s="198"/>
      <c r="AO183" s="198"/>
      <c r="AP183" s="198"/>
      <c r="AQ183" s="198"/>
      <c r="AR183" s="198"/>
      <c r="AS183" s="198"/>
      <c r="AT183" s="198"/>
      <c r="AU183" s="198"/>
      <c r="AV183" s="198"/>
      <c r="AW183" s="198"/>
      <c r="AX183" s="198"/>
      <c r="AY183" s="198"/>
      <c r="AZ183" s="198"/>
      <c r="BA183" s="198"/>
      <c r="BB183" s="198"/>
      <c r="BC183" s="198"/>
      <c r="BD183" s="198"/>
      <c r="BE183" s="198"/>
      <c r="BF183" s="198"/>
      <c r="BG183" s="198"/>
      <c r="BH183" s="198"/>
      <c r="BI183" s="198"/>
      <c r="BJ183" s="198"/>
      <c r="BK183" s="198"/>
      <c r="BL183" s="198"/>
      <c r="BM183" s="198"/>
      <c r="BN183" s="198"/>
      <c r="BO183" s="198"/>
      <c r="BP183" s="198"/>
      <c r="BQ183" s="198"/>
      <c r="BR183" s="198"/>
      <c r="BS183" s="198"/>
      <c r="BT183" s="198"/>
      <c r="BU183" s="198"/>
      <c r="BV183" s="198"/>
      <c r="BW183" s="198"/>
      <c r="BX183" s="198"/>
    </row>
    <row r="184" spans="1:76" x14ac:dyDescent="0.25">
      <c r="A184" s="2" t="str">
        <f>'Language Index'!A211</f>
        <v>Stock Based Comp. Exp. Tax Effect</v>
      </c>
      <c r="B184" s="18">
        <f>_xll.ciqfunctions.udf.CIQ($C$2,"IQ_STOCK_BASED_COMP_TAX", D$6,$F$2,,,Ccy,Conv)</f>
        <v>-174</v>
      </c>
      <c r="C184" s="18">
        <f>_xll.ciqfunctions.udf.CIQ($C$2,"IQ_STOCK_BASED_COMP_TAX", E$6,$F$2,,,Ccy,Conv)</f>
        <v>-156</v>
      </c>
      <c r="D184" s="18">
        <f>_xll.ciqfunctions.udf.CIQ($C$2,"IQ_STOCK_BASED_COMP_TAX", F$6,$F$2,,,Ccy,Conv)</f>
        <v>-179</v>
      </c>
      <c r="E184" s="18">
        <f>_xll.ciqfunctions.udf.CIQ($C$2,"IQ_STOCK_BASED_COMP_TAX", G$6,$F$2,,,Ccy,Conv)</f>
        <v>-131</v>
      </c>
      <c r="F184" s="18">
        <f>_xll.ciqfunctions.udf.CIQ($C$2,"IQ_STOCK_BASED_COMP_TAX", H$6,$F$2,,,Ccy,Conv)</f>
        <v>-116</v>
      </c>
      <c r="G184" s="18">
        <f>_xll.ciqfunctions.udf.CIQ($C$2,"IQ_STOCK_BASED_COMP_TAX", I$6,$F$2,,,Ccy,Conv)</f>
        <v>-143</v>
      </c>
      <c r="H184" s="18">
        <f>_xll.ciqfunctions.udf.CIQ($C$2,"IQ_STOCK_BASED_COMP_TAX", J$6,$F$2,,,Ccy,Conv)</f>
        <v>-198</v>
      </c>
      <c r="I184" s="18">
        <f>_xll.ciqfunctions.udf.CIQ($C$2,"IQ_STOCK_BASED_COMP_TAX", K$6,$F$2,,,Ccy,Conv)</f>
        <v>-223</v>
      </c>
      <c r="J184" s="18">
        <f>_xll.ciqfunctions.udf.CIQ($C$2,"IQ_STOCK_BASED_COMP_TAX", L$6,$F$2,,,Ccy,Conv)</f>
        <v>-249</v>
      </c>
      <c r="K184" s="18">
        <f>_xll.ciqfunctions.udf.CIQ($C$2,"IQ_STOCK_BASED_COMP_TAX", M$6,$F$2,,,Ccy,Conv)</f>
        <v>-290</v>
      </c>
      <c r="L184" s="18">
        <f>_xll.ciqfunctions.udf.CIQ($C$2,"IQ_STOCK_BASED_COMP_TAX", N$6,$F$2,,,Ccy,Conv)</f>
        <v>-469</v>
      </c>
      <c r="M184" s="18"/>
      <c r="N184" s="18">
        <f>_xll.ciqfunctions.udf.CIQ($C$2,"IQ_STOCK_BASED_COMP_TAX", P$6,$F$2,,,Ccy,Conv)</f>
        <v>-469</v>
      </c>
      <c r="O184" s="198"/>
      <c r="P184" s="198"/>
      <c r="Q184" s="198"/>
      <c r="R184" s="198"/>
      <c r="S184" s="198"/>
      <c r="T184" s="205"/>
      <c r="U184" s="205"/>
      <c r="V184" s="205"/>
      <c r="W184" s="198"/>
      <c r="X184" s="198"/>
      <c r="Y184" s="198"/>
      <c r="Z184" s="198"/>
      <c r="AA184" s="198"/>
      <c r="AB184" s="198"/>
      <c r="AC184" s="198"/>
      <c r="AD184" s="198"/>
      <c r="AE184" s="198"/>
      <c r="AF184" s="198"/>
      <c r="AG184" s="198"/>
      <c r="AH184" s="198"/>
      <c r="AI184" s="198"/>
      <c r="AJ184" s="198"/>
      <c r="AK184" s="198"/>
      <c r="AL184" s="198"/>
      <c r="AM184" s="198"/>
      <c r="AN184" s="198"/>
      <c r="AO184" s="198"/>
      <c r="AP184" s="198"/>
      <c r="AQ184" s="198"/>
      <c r="AR184" s="198"/>
      <c r="AS184" s="198"/>
      <c r="AT184" s="198"/>
      <c r="AU184" s="198"/>
      <c r="AV184" s="198"/>
      <c r="AW184" s="198"/>
      <c r="AX184" s="198"/>
      <c r="AY184" s="198"/>
      <c r="AZ184" s="198"/>
      <c r="BA184" s="198"/>
      <c r="BB184" s="198"/>
      <c r="BC184" s="198"/>
      <c r="BD184" s="198"/>
      <c r="BE184" s="198"/>
      <c r="BF184" s="198"/>
      <c r="BG184" s="198"/>
      <c r="BH184" s="198"/>
      <c r="BI184" s="198"/>
      <c r="BJ184" s="198"/>
      <c r="BK184" s="198"/>
      <c r="BL184" s="198"/>
      <c r="BM184" s="198"/>
      <c r="BN184" s="198"/>
      <c r="BO184" s="198"/>
      <c r="BP184" s="198"/>
      <c r="BQ184" s="198"/>
      <c r="BR184" s="198"/>
      <c r="BS184" s="198"/>
      <c r="BT184" s="198"/>
      <c r="BU184" s="198"/>
      <c r="BV184" s="198"/>
      <c r="BW184" s="198"/>
      <c r="BX184" s="198"/>
    </row>
    <row r="185" spans="1:76" x14ac:dyDescent="0.25">
      <c r="A185" s="2" t="str">
        <f>'Language Index'!A212</f>
        <v>Stock Based Comp. Exp., After Tax</v>
      </c>
      <c r="B185" s="18">
        <f>_xll.ciqfunctions.udf.CIQ($C$2,"IQ_STOCK_BASED_COMP", D$6,$F$2,,,Ccy,Conv)</f>
        <v>338</v>
      </c>
      <c r="C185" s="18">
        <f>_xll.ciqfunctions.udf.CIQ($C$2,"IQ_STOCK_BASED_COMP", E$6,$F$2,,,Ccy,Conv)</f>
        <v>312</v>
      </c>
      <c r="D185" s="18">
        <f>_xll.ciqfunctions.udf.CIQ($C$2,"IQ_STOCK_BASED_COMP", F$6,$F$2,,,Ccy,Conv)</f>
        <v>364</v>
      </c>
      <c r="E185" s="18">
        <f>_xll.ciqfunctions.udf.CIQ($C$2,"IQ_STOCK_BASED_COMP", G$6,$F$2,,,Ccy,Conv)</f>
        <v>403</v>
      </c>
      <c r="F185" s="18">
        <f>_xll.ciqfunctions.udf.CIQ($C$2,"IQ_STOCK_BASED_COMP", H$6,$F$2,,,Ccy,Conv)</f>
        <v>393</v>
      </c>
      <c r="G185" s="18">
        <f>_xll.ciqfunctions.udf.CIQ($C$2,"IQ_STOCK_BASED_COMP", I$6,$F$2,,,Ccy,Conv)</f>
        <v>484</v>
      </c>
      <c r="H185" s="18">
        <f>_xll.ciqfunctions.udf.CIQ($C$2,"IQ_STOCK_BASED_COMP", J$6,$F$2,,,Ccy,Conv)</f>
        <v>675</v>
      </c>
      <c r="I185" s="18">
        <f>_xll.ciqfunctions.udf.CIQ($C$2,"IQ_STOCK_BASED_COMP", K$6,$F$2,,,Ccy,Conv)</f>
        <v>695</v>
      </c>
      <c r="J185" s="18">
        <f>_xll.ciqfunctions.udf.CIQ($C$2,"IQ_STOCK_BASED_COMP", L$6,$F$2,,,Ccy,Conv)</f>
        <v>738</v>
      </c>
      <c r="K185" s="18">
        <f>_xll.ciqfunctions.udf.CIQ($C$2,"IQ_STOCK_BASED_COMP", M$6,$F$2,,,Ccy,Conv)</f>
        <v>843</v>
      </c>
      <c r="L185" s="18">
        <f>_xll.ciqfunctions.udf.CIQ($C$2,"IQ_STOCK_BASED_COMP", N$6,$F$2,,,Ccy,Conv)</f>
        <v>842</v>
      </c>
      <c r="M185" s="18"/>
      <c r="N185" s="18">
        <f>_xll.ciqfunctions.udf.CIQ($C$2,"IQ_STOCK_BASED_COMP", P$6,$F$2,,,Ccy,Conv)</f>
        <v>842</v>
      </c>
      <c r="O185" s="198"/>
      <c r="P185" s="198"/>
      <c r="Q185" s="198"/>
      <c r="R185" s="198"/>
      <c r="S185" s="198"/>
      <c r="T185" s="205"/>
      <c r="U185" s="205"/>
      <c r="V185" s="205"/>
      <c r="W185" s="198"/>
      <c r="X185" s="198"/>
      <c r="Y185" s="198"/>
      <c r="Z185" s="198"/>
      <c r="AA185" s="198"/>
      <c r="AB185" s="198"/>
      <c r="AC185" s="198"/>
      <c r="AD185" s="198"/>
      <c r="AE185" s="198"/>
      <c r="AF185" s="198"/>
      <c r="AG185" s="198"/>
      <c r="AH185" s="198"/>
      <c r="AI185" s="198"/>
      <c r="AJ185" s="198"/>
      <c r="AK185" s="198"/>
      <c r="AL185" s="198"/>
      <c r="AM185" s="198"/>
      <c r="AN185" s="198"/>
      <c r="AO185" s="198"/>
      <c r="AP185" s="198"/>
      <c r="AQ185" s="198"/>
      <c r="AR185" s="198"/>
      <c r="AS185" s="198"/>
      <c r="AT185" s="198"/>
      <c r="AU185" s="198"/>
      <c r="AV185" s="198"/>
      <c r="AW185" s="198"/>
      <c r="AX185" s="198"/>
      <c r="AY185" s="198"/>
      <c r="AZ185" s="198"/>
      <c r="BA185" s="198"/>
      <c r="BB185" s="198"/>
      <c r="BC185" s="198"/>
      <c r="BD185" s="198"/>
      <c r="BE185" s="198"/>
      <c r="BF185" s="198"/>
      <c r="BG185" s="198"/>
      <c r="BH185" s="198"/>
      <c r="BI185" s="198"/>
      <c r="BJ185" s="198"/>
      <c r="BK185" s="198"/>
      <c r="BL185" s="198"/>
      <c r="BM185" s="198"/>
      <c r="BN185" s="198"/>
      <c r="BO185" s="198"/>
      <c r="BP185" s="198"/>
      <c r="BQ185" s="198"/>
      <c r="BR185" s="198"/>
      <c r="BS185" s="198"/>
      <c r="BT185" s="198"/>
      <c r="BU185" s="198"/>
      <c r="BV185" s="198"/>
      <c r="BW185" s="198"/>
      <c r="BX185" s="198"/>
    </row>
    <row r="186" spans="1:76" x14ac:dyDescent="0.25">
      <c r="A186" s="9" t="str">
        <f>'Language Index'!A213</f>
        <v>Net Income</v>
      </c>
      <c r="B186" s="21">
        <f>_xll.ciqfunctions.udf.CIQ($C$2, "IQ_NI_CF",D$6,$F$2,,,Ccy,Conv)</f>
        <v>12022</v>
      </c>
      <c r="C186" s="21">
        <f>_xll.ciqfunctions.udf.CIQ($C$2, "IQ_NI_CF",E$6,$F$2,,,Ccy,Conv)</f>
        <v>13190</v>
      </c>
      <c r="D186" s="21">
        <f>_xll.ciqfunctions.udf.CIQ($C$2, "IQ_NI_CF",F$6,$F$2,,,Ccy,Conv)</f>
        <v>11872</v>
      </c>
      <c r="E186" s="21">
        <f>_xll.ciqfunctions.udf.CIQ($C$2, "IQ_NI_CF",G$6,$F$2,,,Ccy,Conv)</f>
        <v>5753</v>
      </c>
      <c r="F186" s="21">
        <f>_xll.ciqfunctions.udf.CIQ($C$2, "IQ_NI_CF",H$6,$F$2,,,Ccy,Conv)</f>
        <v>8728</v>
      </c>
      <c r="G186" s="21">
        <f>_xll.ciqfunctions.udf.CIQ($C$2, "IQ_NI_CF",I$6,$F$2,,,Ccy,Conv)</f>
        <v>9431</v>
      </c>
      <c r="H186" s="21">
        <f>_xll.ciqfunctions.udf.CIQ($C$2, "IQ_NI_CF",J$6,$F$2,,,Ccy,Conv)</f>
        <v>5590</v>
      </c>
      <c r="I186" s="21">
        <f>_xll.ciqfunctions.udf.CIQ($C$2, "IQ_NI_CF",K$6,$F$2,,,Ccy,Conv)</f>
        <v>5743</v>
      </c>
      <c r="J186" s="21">
        <f>_xll.ciqfunctions.udf.CIQ($C$2, "IQ_NI_CF",L$6,$F$2,,,Ccy,Conv)</f>
        <v>1639</v>
      </c>
      <c r="K186" s="21">
        <f>_xll.ciqfunctions.udf.CIQ($C$2, "IQ_NI_CF",M$6,$F$2,,,Ccy,Conv)</f>
        <v>7502</v>
      </c>
      <c r="L186" s="21">
        <f>_xll.ciqfunctions.udf.CIQ($C$2, "IQ_NI_CF",N$6,$F$2,,,Ccy,Conv)</f>
        <v>6023</v>
      </c>
      <c r="M186" s="21"/>
      <c r="N186" s="21">
        <f>_xll.ciqfunctions.udf.CIQ($C$2, "IQ_NI_CF",P$6,$F$2,,,Ccy,Conv)</f>
        <v>6023</v>
      </c>
      <c r="O186" s="198"/>
      <c r="P186" s="198"/>
      <c r="Q186" s="198"/>
      <c r="R186" s="198"/>
      <c r="S186" s="198"/>
      <c r="T186" s="205"/>
      <c r="U186" s="205"/>
      <c r="V186" s="205"/>
      <c r="W186" s="198"/>
      <c r="X186" s="198"/>
      <c r="Y186" s="198"/>
      <c r="Z186" s="198"/>
      <c r="AA186" s="198"/>
      <c r="AB186" s="198"/>
      <c r="AC186" s="198"/>
      <c r="AD186" s="198"/>
      <c r="AE186" s="198"/>
      <c r="AF186" s="198"/>
      <c r="AG186" s="198"/>
      <c r="AH186" s="198"/>
      <c r="AI186" s="198"/>
      <c r="AJ186" s="198"/>
      <c r="AK186" s="198"/>
      <c r="AL186" s="198"/>
      <c r="AM186" s="198"/>
      <c r="AN186" s="198"/>
      <c r="AO186" s="198"/>
      <c r="AP186" s="198"/>
      <c r="AQ186" s="198"/>
      <c r="AR186" s="198"/>
      <c r="AS186" s="198"/>
      <c r="AT186" s="198"/>
      <c r="AU186" s="198"/>
      <c r="AV186" s="198"/>
      <c r="AW186" s="198"/>
      <c r="AX186" s="198"/>
      <c r="AY186" s="198"/>
      <c r="AZ186" s="198"/>
      <c r="BA186" s="198"/>
      <c r="BB186" s="198"/>
      <c r="BC186" s="198"/>
      <c r="BD186" s="198"/>
      <c r="BE186" s="198"/>
      <c r="BF186" s="198"/>
      <c r="BG186" s="198"/>
      <c r="BH186" s="198"/>
      <c r="BI186" s="198"/>
      <c r="BJ186" s="198"/>
      <c r="BK186" s="198"/>
      <c r="BL186" s="198"/>
      <c r="BM186" s="198"/>
      <c r="BN186" s="198"/>
      <c r="BO186" s="198"/>
      <c r="BP186" s="198"/>
      <c r="BQ186" s="198"/>
      <c r="BR186" s="198"/>
      <c r="BS186" s="198"/>
      <c r="BT186" s="198"/>
      <c r="BU186" s="198"/>
      <c r="BV186" s="198"/>
      <c r="BW186" s="198"/>
      <c r="BX186" s="198"/>
    </row>
    <row r="187" spans="1:76" x14ac:dyDescent="0.25">
      <c r="A187" s="2" t="str">
        <f>'Language Index'!A52</f>
        <v>Depreciation &amp; Amort.</v>
      </c>
      <c r="B187" s="18">
        <f>_xll.ciqfunctions.udf.CIQ($C$2, "IQ_DA_SUPPL_CF",D$6,$F$2,,,Ccy,Conv)</f>
        <v>3145</v>
      </c>
      <c r="C187" s="18">
        <f>_xll.ciqfunctions.udf.CIQ($C$2, "IQ_DA_SUPPL_CF",E$6,$F$2,,,Ccy,Conv)</f>
        <v>2662</v>
      </c>
      <c r="D187" s="18">
        <f>_xll.ciqfunctions.udf.CIQ($C$2, "IQ_DA_SUPPL_CF",F$6,$F$2,,,Ccy,Conv)</f>
        <v>2837</v>
      </c>
      <c r="E187" s="18">
        <f>_xll.ciqfunctions.udf.CIQ($C$2, "IQ_DA_SUPPL_CF",G$6,$F$2,,,Ccy,Conv)</f>
        <v>3021</v>
      </c>
      <c r="F187" s="18">
        <f>_xll.ciqfunctions.udf.CIQ($C$2, "IQ_DA_SUPPL_CF",H$6,$F$2,,,Ccy,Conv)</f>
        <v>3127</v>
      </c>
      <c r="G187" s="18">
        <f>_xll.ciqfunctions.udf.CIQ($C$2, "IQ_DA_SUPPL_CF",I$6,$F$2,,,Ccy,Conv)</f>
        <v>4209</v>
      </c>
      <c r="H187" s="18">
        <f>_xll.ciqfunctions.udf.CIQ($C$2, "IQ_DA_SUPPL_CF",J$6,$F$2,,,Ccy,Conv)</f>
        <v>4227</v>
      </c>
      <c r="I187" s="18">
        <f>_xll.ciqfunctions.udf.CIQ($C$2, "IQ_DA_SUPPL_CF",K$6,$F$2,,,Ccy,Conv)</f>
        <v>3888</v>
      </c>
      <c r="J187" s="18">
        <f>_xll.ciqfunctions.udf.CIQ($C$2, "IQ_DA_SUPPL_CF",L$6,$F$2,,,Ccy,Conv)</f>
        <v>2407</v>
      </c>
      <c r="K187" s="18">
        <f>_xll.ciqfunctions.udf.CIQ($C$2, "IQ_DA_SUPPL_CF",M$6,$F$2,,,Ccy,Conv)</f>
        <v>2109</v>
      </c>
      <c r="L187" s="18">
        <f>_xll.ciqfunctions.udf.CIQ($C$2, "IQ_DA_SUPPL_CF",N$6,$F$2,,,Ccy,Conv)</f>
        <v>2168</v>
      </c>
      <c r="M187" s="18"/>
      <c r="N187" s="18">
        <f>_xll.ciqfunctions.udf.CIQ($C$2, "IQ_DA_SUPPL_CF",P$6,$F$2,,,Ccy,Conv)</f>
        <v>2168</v>
      </c>
      <c r="O187" s="198"/>
      <c r="P187" s="198"/>
      <c r="Q187" s="198"/>
      <c r="R187" s="198"/>
      <c r="S187" s="198"/>
      <c r="T187" s="205"/>
      <c r="U187" s="205"/>
      <c r="V187" s="205"/>
      <c r="W187" s="198"/>
      <c r="X187" s="198"/>
      <c r="Y187" s="198"/>
      <c r="Z187" s="198"/>
      <c r="AA187" s="198"/>
      <c r="AB187" s="198"/>
      <c r="AC187" s="198"/>
      <c r="AD187" s="198"/>
      <c r="AE187" s="198"/>
      <c r="AF187" s="198"/>
      <c r="AG187" s="198"/>
      <c r="AH187" s="198"/>
      <c r="AI187" s="198"/>
      <c r="AJ187" s="198"/>
      <c r="AK187" s="198"/>
      <c r="AL187" s="198"/>
      <c r="AM187" s="198"/>
      <c r="AN187" s="198"/>
      <c r="AO187" s="198"/>
      <c r="AP187" s="198"/>
      <c r="AQ187" s="198"/>
      <c r="AR187" s="198"/>
      <c r="AS187" s="198"/>
      <c r="AT187" s="198"/>
      <c r="AU187" s="198"/>
      <c r="AV187" s="198"/>
      <c r="AW187" s="198"/>
      <c r="AX187" s="198"/>
      <c r="AY187" s="198"/>
      <c r="AZ187" s="198"/>
      <c r="BA187" s="198"/>
      <c r="BB187" s="198"/>
      <c r="BC187" s="198"/>
      <c r="BD187" s="198"/>
      <c r="BE187" s="198"/>
      <c r="BF187" s="198"/>
      <c r="BG187" s="198"/>
      <c r="BH187" s="198"/>
      <c r="BI187" s="198"/>
      <c r="BJ187" s="198"/>
      <c r="BK187" s="198"/>
      <c r="BL187" s="198"/>
      <c r="BM187" s="198"/>
      <c r="BN187" s="198"/>
      <c r="BO187" s="198"/>
      <c r="BP187" s="198"/>
      <c r="BQ187" s="198"/>
      <c r="BR187" s="198"/>
      <c r="BS187" s="198"/>
      <c r="BT187" s="198"/>
      <c r="BU187" s="198"/>
      <c r="BV187" s="198"/>
      <c r="BW187" s="198"/>
      <c r="BX187" s="198"/>
    </row>
    <row r="188" spans="1:76" x14ac:dyDescent="0.25">
      <c r="A188" s="2" t="str">
        <f>'Language Index'!A53</f>
        <v>Amort. of Goodwill and Intangibles</v>
      </c>
      <c r="B188" s="18">
        <f>_xll.ciqfunctions.udf.CIQ($C$2, "IQ_GW_INTAN_AMORT_CF",D$6,$F$2,,,Ccy,Conv)</f>
        <v>1347</v>
      </c>
      <c r="C188" s="18">
        <f>_xll.ciqfunctions.udf.CIQ($C$2, "IQ_GW_INTAN_AMORT_CF",E$6,$F$2,,,Ccy,Conv)</f>
        <v>1193</v>
      </c>
      <c r="D188" s="18">
        <f>_xll.ciqfunctions.udf.CIQ($C$2, "IQ_GW_INTAN_AMORT_CF",F$6,$F$2,,,Ccy,Conv)</f>
        <v>1544</v>
      </c>
      <c r="E188" s="18">
        <f>_xll.ciqfunctions.udf.CIQ($C$2, "IQ_GW_INTAN_AMORT_CF",G$6,$F$2,,,Ccy,Conv)</f>
        <v>1520</v>
      </c>
      <c r="F188" s="18">
        <f>_xll.ciqfunctions.udf.CIQ($C$2, "IQ_GW_INTAN_AMORT_CF",H$6,$F$2,,,Ccy,Conv)</f>
        <v>1353</v>
      </c>
      <c r="G188" s="18">
        <f>_xll.ciqfunctions.udf.CIQ($C$2, "IQ_GW_INTAN_AMORT_CF",I$6,$F$2,,,Ccy,Conv)</f>
        <v>1850</v>
      </c>
      <c r="H188" s="18">
        <f>_xll.ciqfunctions.udf.CIQ($C$2, "IQ_GW_INTAN_AMORT_CF",J$6,$F$2,,,Ccy,Conv)</f>
        <v>2468</v>
      </c>
      <c r="I188" s="18">
        <f>_xll.ciqfunctions.udf.CIQ($C$2, "IQ_GW_INTAN_AMORT_CF",K$6,$F$2,,,Ccy,Conv)</f>
        <v>2529</v>
      </c>
      <c r="J188" s="18">
        <f>_xll.ciqfunctions.udf.CIQ($C$2, "IQ_GW_INTAN_AMORT_CF",L$6,$F$2,,,Ccy,Conv)</f>
        <v>2395</v>
      </c>
      <c r="K188" s="18">
        <f>_xll.ciqfunctions.udf.CIQ($C$2, "IQ_GW_INTAN_AMORT_CF",M$6,$F$2,,,Ccy,Conv)</f>
        <v>2287</v>
      </c>
      <c r="L188" s="18">
        <f>_xll.ciqfunctions.udf.CIQ($C$2, "IQ_GW_INTAN_AMORT_CF",N$6,$F$2,,,Ccy,Conv)</f>
        <v>2499</v>
      </c>
      <c r="M188" s="18"/>
      <c r="N188" s="18">
        <f>_xll.ciqfunctions.udf.CIQ($C$2, "IQ_GW_INTAN_AMORT_CF",P$6,$F$2,,,Ccy,Conv)</f>
        <v>2499</v>
      </c>
      <c r="O188" s="198"/>
      <c r="P188" s="198"/>
      <c r="Q188" s="198"/>
      <c r="R188" s="198"/>
      <c r="S188" s="198"/>
      <c r="T188" s="205"/>
      <c r="U188" s="205"/>
      <c r="V188" s="205"/>
      <c r="W188" s="198"/>
      <c r="X188" s="198"/>
      <c r="Y188" s="198"/>
      <c r="Z188" s="198"/>
      <c r="AA188" s="198"/>
      <c r="AB188" s="198"/>
      <c r="AC188" s="198"/>
      <c r="AD188" s="198"/>
      <c r="AE188" s="198"/>
      <c r="AF188" s="198"/>
      <c r="AG188" s="198"/>
      <c r="AH188" s="198"/>
      <c r="AI188" s="198"/>
      <c r="AJ188" s="198"/>
      <c r="AK188" s="198"/>
      <c r="AL188" s="198"/>
      <c r="AM188" s="198"/>
      <c r="AN188" s="198"/>
      <c r="AO188" s="198"/>
      <c r="AP188" s="198"/>
      <c r="AQ188" s="198"/>
      <c r="AR188" s="198"/>
      <c r="AS188" s="198"/>
      <c r="AT188" s="198"/>
      <c r="AU188" s="198"/>
      <c r="AV188" s="198"/>
      <c r="AW188" s="198"/>
      <c r="AX188" s="198"/>
      <c r="AY188" s="198"/>
      <c r="AZ188" s="198"/>
      <c r="BA188" s="198"/>
      <c r="BB188" s="198"/>
      <c r="BC188" s="198"/>
      <c r="BD188" s="198"/>
      <c r="BE188" s="198"/>
      <c r="BF188" s="198"/>
      <c r="BG188" s="198"/>
      <c r="BH188" s="198"/>
      <c r="BI188" s="198"/>
      <c r="BJ188" s="198"/>
      <c r="BK188" s="198"/>
      <c r="BL188" s="198"/>
      <c r="BM188" s="198"/>
      <c r="BN188" s="198"/>
      <c r="BO188" s="198"/>
      <c r="BP188" s="198"/>
      <c r="BQ188" s="198"/>
      <c r="BR188" s="198"/>
      <c r="BS188" s="198"/>
      <c r="BT188" s="198"/>
      <c r="BU188" s="198"/>
      <c r="BV188" s="198"/>
      <c r="BW188" s="198"/>
      <c r="BX188" s="198"/>
    </row>
    <row r="189" spans="1:76" x14ac:dyDescent="0.25">
      <c r="A189" s="2" t="str">
        <f>'Language Index'!A54</f>
        <v>Impair. of Oil, Gas &amp; Mineral Prop.</v>
      </c>
      <c r="B189" s="18">
        <f>_xll.ciqfunctions.udf.CIQ($C$2, "IQ_OIL_IMPAIR",D$6,$F$2,,,Ccy,Conv)</f>
        <v>0</v>
      </c>
      <c r="C189" s="18">
        <f>_xll.ciqfunctions.udf.CIQ($C$2, "IQ_OIL_IMPAIR",E$6,$F$2,,,Ccy,Conv)</f>
        <v>0</v>
      </c>
      <c r="D189" s="18">
        <f>_xll.ciqfunctions.udf.CIQ($C$2, "IQ_OIL_IMPAIR",F$6,$F$2,,,Ccy,Conv)</f>
        <v>0</v>
      </c>
      <c r="E189" s="18">
        <f>_xll.ciqfunctions.udf.CIQ($C$2, "IQ_OIL_IMPAIR",G$6,$F$2,,,Ccy,Conv)</f>
        <v>0</v>
      </c>
      <c r="F189" s="18">
        <f>_xll.ciqfunctions.udf.CIQ($C$2, "IQ_OIL_IMPAIR",H$6,$F$2,,,Ccy,Conv)</f>
        <v>0</v>
      </c>
      <c r="G189" s="18">
        <f>_xll.ciqfunctions.udf.CIQ($C$2, "IQ_OIL_IMPAIR",I$6,$F$2,,,Ccy,Conv)</f>
        <v>0</v>
      </c>
      <c r="H189" s="18">
        <f>_xll.ciqfunctions.udf.CIQ($C$2, "IQ_OIL_IMPAIR",J$6,$F$2,,,Ccy,Conv)</f>
        <v>0</v>
      </c>
      <c r="I189" s="18">
        <f>_xll.ciqfunctions.udf.CIQ($C$2, "IQ_OIL_IMPAIR",K$6,$F$2,,,Ccy,Conv)</f>
        <v>0</v>
      </c>
      <c r="J189" s="18">
        <f>_xll.ciqfunctions.udf.CIQ($C$2, "IQ_OIL_IMPAIR",L$6,$F$2,,,Ccy,Conv)</f>
        <v>0</v>
      </c>
      <c r="K189" s="18">
        <f>_xll.ciqfunctions.udf.CIQ($C$2, "IQ_OIL_IMPAIR",M$6,$F$2,,,Ccy,Conv)</f>
        <v>0</v>
      </c>
      <c r="L189" s="18">
        <f>_xll.ciqfunctions.udf.CIQ($C$2, "IQ_OIL_IMPAIR",N$6,$F$2,,,Ccy,Conv)</f>
        <v>0</v>
      </c>
      <c r="M189" s="18"/>
      <c r="N189" s="18">
        <f>_xll.ciqfunctions.udf.CIQ($C$2, "IQ_OIL_IMPAIR",P$6,$F$2,,,Ccy,Conv)</f>
        <v>0</v>
      </c>
      <c r="O189" s="198"/>
      <c r="P189" s="198"/>
      <c r="Q189" s="198"/>
      <c r="R189" s="198"/>
      <c r="S189" s="198"/>
      <c r="T189" s="205"/>
      <c r="U189" s="205"/>
      <c r="V189" s="205"/>
      <c r="W189" s="198"/>
      <c r="X189" s="198"/>
      <c r="Y189" s="198"/>
      <c r="Z189" s="198"/>
      <c r="AA189" s="198"/>
      <c r="AB189" s="198"/>
      <c r="AC189" s="198"/>
      <c r="AD189" s="198"/>
      <c r="AE189" s="198"/>
      <c r="AF189" s="198"/>
      <c r="AG189" s="198"/>
      <c r="AH189" s="198"/>
      <c r="AI189" s="198"/>
      <c r="AJ189" s="198"/>
      <c r="AK189" s="198"/>
      <c r="AL189" s="198"/>
      <c r="AM189" s="198"/>
      <c r="AN189" s="198"/>
      <c r="AO189" s="198"/>
      <c r="AP189" s="198"/>
      <c r="AQ189" s="198"/>
      <c r="AR189" s="198"/>
      <c r="AS189" s="198"/>
      <c r="AT189" s="198"/>
      <c r="AU189" s="198"/>
      <c r="AV189" s="198"/>
      <c r="AW189" s="198"/>
      <c r="AX189" s="198"/>
      <c r="AY189" s="198"/>
      <c r="AZ189" s="198"/>
      <c r="BA189" s="198"/>
      <c r="BB189" s="198"/>
      <c r="BC189" s="198"/>
      <c r="BD189" s="198"/>
      <c r="BE189" s="198"/>
      <c r="BF189" s="198"/>
      <c r="BG189" s="198"/>
      <c r="BH189" s="198"/>
      <c r="BI189" s="198"/>
      <c r="BJ189" s="198"/>
      <c r="BK189" s="198"/>
      <c r="BL189" s="198"/>
      <c r="BM189" s="198"/>
      <c r="BN189" s="198"/>
      <c r="BO189" s="198"/>
      <c r="BP189" s="198"/>
      <c r="BQ189" s="198"/>
      <c r="BR189" s="198"/>
      <c r="BS189" s="198"/>
      <c r="BT189" s="198"/>
      <c r="BU189" s="198"/>
      <c r="BV189" s="198"/>
      <c r="BW189" s="198"/>
      <c r="BX189" s="198"/>
    </row>
    <row r="190" spans="1:76" x14ac:dyDescent="0.25">
      <c r="A190" s="19" t="str">
        <f>'Language Index'!A214</f>
        <v>Depreciation &amp; Amort., Total</v>
      </c>
      <c r="B190" s="20">
        <f>_xll.ciqfunctions.udf.CIQ($C$2, "IQ_DA_CF",D$6,$F$2,,,Ccy,Conv)</f>
        <v>4492</v>
      </c>
      <c r="C190" s="20">
        <f>_xll.ciqfunctions.udf.CIQ($C$2, "IQ_DA_CF",E$6,$F$2,,,Ccy,Conv)</f>
        <v>3855</v>
      </c>
      <c r="D190" s="20">
        <f>_xll.ciqfunctions.udf.CIQ($C$2, "IQ_DA_CF",F$6,$F$2,,,Ccy,Conv)</f>
        <v>4381</v>
      </c>
      <c r="E190" s="20">
        <f>_xll.ciqfunctions.udf.CIQ($C$2, "IQ_DA_CF",G$6,$F$2,,,Ccy,Conv)</f>
        <v>4541</v>
      </c>
      <c r="F190" s="20">
        <f>_xll.ciqfunctions.udf.CIQ($C$2, "IQ_DA_CF",H$6,$F$2,,,Ccy,Conv)</f>
        <v>4480</v>
      </c>
      <c r="G190" s="20">
        <f>_xll.ciqfunctions.udf.CIQ($C$2, "IQ_DA_CF",I$6,$F$2,,,Ccy,Conv)</f>
        <v>6059</v>
      </c>
      <c r="H190" s="20">
        <f>_xll.ciqfunctions.udf.CIQ($C$2, "IQ_DA_CF",J$6,$F$2,,,Ccy,Conv)</f>
        <v>6695</v>
      </c>
      <c r="I190" s="20">
        <f>_xll.ciqfunctions.udf.CIQ($C$2, "IQ_DA_CF",K$6,$F$2,,,Ccy,Conv)</f>
        <v>6417</v>
      </c>
      <c r="J190" s="20">
        <f>_xll.ciqfunctions.udf.CIQ($C$2, "IQ_DA_CF",L$6,$F$2,,,Ccy,Conv)</f>
        <v>4802</v>
      </c>
      <c r="K190" s="20">
        <f>_xll.ciqfunctions.udf.CIQ($C$2, "IQ_DA_CF",M$6,$F$2,,,Ccy,Conv)</f>
        <v>4396</v>
      </c>
      <c r="L190" s="20">
        <f>_xll.ciqfunctions.udf.CIQ($C$2, "IQ_DA_CF",N$6,$F$2,,,Ccy,Conv)</f>
        <v>4667</v>
      </c>
      <c r="M190" s="21"/>
      <c r="N190" s="20">
        <f>_xll.ciqfunctions.udf.CIQ($C$2, "IQ_DA_CF",P$6,$F$2,,,Ccy,Conv)</f>
        <v>4667</v>
      </c>
      <c r="O190" s="198"/>
      <c r="P190" s="198"/>
      <c r="Q190" s="198"/>
      <c r="R190" s="198"/>
      <c r="S190" s="198"/>
      <c r="T190" s="205"/>
      <c r="U190" s="205"/>
      <c r="V190" s="205"/>
      <c r="W190" s="198"/>
      <c r="X190" s="198"/>
      <c r="Y190" s="198"/>
      <c r="Z190" s="198"/>
      <c r="AA190" s="198"/>
      <c r="AB190" s="198"/>
      <c r="AC190" s="198"/>
      <c r="AD190" s="198"/>
      <c r="AE190" s="198"/>
      <c r="AF190" s="198"/>
      <c r="AG190" s="198"/>
      <c r="AH190" s="198"/>
      <c r="AI190" s="198"/>
      <c r="AJ190" s="198"/>
      <c r="AK190" s="198"/>
      <c r="AL190" s="198"/>
      <c r="AM190" s="198"/>
      <c r="AN190" s="198"/>
      <c r="AO190" s="198"/>
      <c r="AP190" s="198"/>
      <c r="AQ190" s="198"/>
      <c r="AR190" s="198"/>
      <c r="AS190" s="198"/>
      <c r="AT190" s="198"/>
      <c r="AU190" s="198"/>
      <c r="AV190" s="198"/>
      <c r="AW190" s="198"/>
      <c r="AX190" s="198"/>
      <c r="AY190" s="198"/>
      <c r="AZ190" s="198"/>
      <c r="BA190" s="198"/>
      <c r="BB190" s="198"/>
      <c r="BC190" s="198"/>
      <c r="BD190" s="198"/>
      <c r="BE190" s="198"/>
      <c r="BF190" s="198"/>
      <c r="BG190" s="198"/>
      <c r="BH190" s="198"/>
      <c r="BI190" s="198"/>
      <c r="BJ190" s="198"/>
      <c r="BK190" s="198"/>
      <c r="BL190" s="198"/>
      <c r="BM190" s="198"/>
      <c r="BN190" s="198"/>
      <c r="BO190" s="198"/>
      <c r="BP190" s="198"/>
      <c r="BQ190" s="198"/>
      <c r="BR190" s="198"/>
      <c r="BS190" s="198"/>
      <c r="BT190" s="198"/>
      <c r="BU190" s="198"/>
      <c r="BV190" s="198"/>
      <c r="BW190" s="198"/>
      <c r="BX190" s="198"/>
    </row>
    <row r="191" spans="1:76" x14ac:dyDescent="0.25">
      <c r="A191" s="2" t="str">
        <f>'Language Index'!A215</f>
        <v>Other Amortization</v>
      </c>
      <c r="B191" s="18">
        <f>_xll.ciqfunctions.udf.CIQ($C$2, "IQ_OTHER_AMORT",D$6,$F$2,,,Ccy,Conv)</f>
        <v>0</v>
      </c>
      <c r="C191" s="18">
        <f>_xll.ciqfunctions.udf.CIQ($C$2, "IQ_OTHER_AMORT",E$6,$F$2,,,Ccy,Conv)</f>
        <v>0</v>
      </c>
      <c r="D191" s="18">
        <f>_xll.ciqfunctions.udf.CIQ($C$2, "IQ_OTHER_AMORT",F$6,$F$2,,,Ccy,Conv)</f>
        <v>0</v>
      </c>
      <c r="E191" s="18">
        <f>_xll.ciqfunctions.udf.CIQ($C$2, "IQ_OTHER_AMORT",G$6,$F$2,,,Ccy,Conv)</f>
        <v>0</v>
      </c>
      <c r="F191" s="18">
        <f>_xll.ciqfunctions.udf.CIQ($C$2, "IQ_OTHER_AMORT",H$6,$F$2,,,Ccy,Conv)</f>
        <v>0</v>
      </c>
      <c r="G191" s="18">
        <f>_xll.ciqfunctions.udf.CIQ($C$2, "IQ_OTHER_AMORT",I$6,$F$2,,,Ccy,Conv)</f>
        <v>0</v>
      </c>
      <c r="H191" s="18">
        <f>_xll.ciqfunctions.udf.CIQ($C$2, "IQ_OTHER_AMORT",J$6,$F$2,,,Ccy,Conv)</f>
        <v>0</v>
      </c>
      <c r="I191" s="18">
        <f>_xll.ciqfunctions.udf.CIQ($C$2, "IQ_OTHER_AMORT",K$6,$F$2,,,Ccy,Conv)</f>
        <v>0</v>
      </c>
      <c r="J191" s="18">
        <f>_xll.ciqfunctions.udf.CIQ($C$2, "IQ_OTHER_AMORT",L$6,$F$2,,,Ccy,Conv)</f>
        <v>0</v>
      </c>
      <c r="K191" s="18">
        <f>_xll.ciqfunctions.udf.CIQ($C$2, "IQ_OTHER_AMORT",M$6,$F$2,,,Ccy,Conv)</f>
        <v>0</v>
      </c>
      <c r="L191" s="18">
        <f>_xll.ciqfunctions.udf.CIQ($C$2, "IQ_OTHER_AMORT",N$6,$F$2,,,Ccy,Conv)</f>
        <v>0</v>
      </c>
      <c r="M191" s="18"/>
      <c r="N191" s="18">
        <f>_xll.ciqfunctions.udf.CIQ($C$2, "IQ_OTHER_AMORT",P$6,$F$2,,,Ccy,Conv)</f>
        <v>0</v>
      </c>
      <c r="O191" s="198"/>
      <c r="P191" s="198"/>
      <c r="Q191" s="198"/>
      <c r="R191" s="198"/>
      <c r="S191" s="198"/>
      <c r="T191" s="205"/>
      <c r="U191" s="205"/>
      <c r="V191" s="205"/>
      <c r="W191" s="198"/>
      <c r="X191" s="198"/>
      <c r="Y191" s="198"/>
      <c r="Z191" s="198"/>
      <c r="AA191" s="198"/>
      <c r="AB191" s="198"/>
      <c r="AC191" s="198"/>
      <c r="AD191" s="198"/>
      <c r="AE191" s="198"/>
      <c r="AF191" s="198"/>
      <c r="AG191" s="198"/>
      <c r="AH191" s="198"/>
      <c r="AI191" s="198"/>
      <c r="AJ191" s="198"/>
      <c r="AK191" s="198"/>
      <c r="AL191" s="198"/>
      <c r="AM191" s="198"/>
      <c r="AN191" s="198"/>
      <c r="AO191" s="198"/>
      <c r="AP191" s="198"/>
      <c r="AQ191" s="198"/>
      <c r="AR191" s="198"/>
      <c r="AS191" s="198"/>
      <c r="AT191" s="198"/>
      <c r="AU191" s="198"/>
      <c r="AV191" s="198"/>
      <c r="AW191" s="198"/>
      <c r="AX191" s="198"/>
      <c r="AY191" s="198"/>
      <c r="AZ191" s="198"/>
      <c r="BA191" s="198"/>
      <c r="BB191" s="198"/>
      <c r="BC191" s="198"/>
      <c r="BD191" s="198"/>
      <c r="BE191" s="198"/>
      <c r="BF191" s="198"/>
      <c r="BG191" s="198"/>
      <c r="BH191" s="198"/>
      <c r="BI191" s="198"/>
      <c r="BJ191" s="198"/>
      <c r="BK191" s="198"/>
      <c r="BL191" s="198"/>
      <c r="BM191" s="198"/>
      <c r="BN191" s="198"/>
      <c r="BO191" s="198"/>
      <c r="BP191" s="198"/>
      <c r="BQ191" s="198"/>
      <c r="BR191" s="198"/>
      <c r="BS191" s="198"/>
      <c r="BT191" s="198"/>
      <c r="BU191" s="198"/>
      <c r="BV191" s="198"/>
      <c r="BW191" s="198"/>
      <c r="BX191" s="198"/>
    </row>
    <row r="192" spans="1:76" x14ac:dyDescent="0.25">
      <c r="A192" s="2" t="str">
        <f>'Language Index'!A81</f>
        <v>Minority Int. in Earnings</v>
      </c>
      <c r="B192" s="18">
        <f>_xll.ciqfunctions.udf.CIQ($C$2, "IQ_MINORITY_INTEREST_CF",D$6,$F$2,,,Ccy,Conv)</f>
        <v>0</v>
      </c>
      <c r="C192" s="18">
        <f>_xll.ciqfunctions.udf.CIQ($C$2, "IQ_MINORITY_INTEREST_CF",E$6,$F$2,,,Ccy,Conv)</f>
        <v>0</v>
      </c>
      <c r="D192" s="18">
        <f>_xll.ciqfunctions.udf.CIQ($C$2, "IQ_MINORITY_INTEREST_CF",F$6,$F$2,,,Ccy,Conv)</f>
        <v>0</v>
      </c>
      <c r="E192" s="18">
        <f>_xll.ciqfunctions.udf.CIQ($C$2, "IQ_MINORITY_INTEREST_CF",G$6,$F$2,,,Ccy,Conv)</f>
        <v>0</v>
      </c>
      <c r="F192" s="18">
        <f>_xll.ciqfunctions.udf.CIQ($C$2, "IQ_MINORITY_INTEREST_CF",H$6,$F$2,,,Ccy,Conv)</f>
        <v>0</v>
      </c>
      <c r="G192" s="18">
        <f>_xll.ciqfunctions.udf.CIQ($C$2, "IQ_MINORITY_INTEREST_CF",I$6,$F$2,,,Ccy,Conv)</f>
        <v>0</v>
      </c>
      <c r="H192" s="18">
        <f>_xll.ciqfunctions.udf.CIQ($C$2, "IQ_MINORITY_INTEREST_CF",J$6,$F$2,,,Ccy,Conv)</f>
        <v>0</v>
      </c>
      <c r="I192" s="18">
        <f>_xll.ciqfunctions.udf.CIQ($C$2, "IQ_MINORITY_INTEREST_CF",K$6,$F$2,,,Ccy,Conv)</f>
        <v>0</v>
      </c>
      <c r="J192" s="18">
        <f>_xll.ciqfunctions.udf.CIQ($C$2, "IQ_MINORITY_INTEREST_CF",L$6,$F$2,,,Ccy,Conv)</f>
        <v>0</v>
      </c>
      <c r="K192" s="18">
        <f>_xll.ciqfunctions.udf.CIQ($C$2, "IQ_MINORITY_INTEREST_CF",M$6,$F$2,,,Ccy,Conv)</f>
        <v>0</v>
      </c>
      <c r="L192" s="18">
        <f>_xll.ciqfunctions.udf.CIQ($C$2, "IQ_MINORITY_INTEREST_CF",N$6,$F$2,,,Ccy,Conv)</f>
        <v>0</v>
      </c>
      <c r="M192" s="18"/>
      <c r="N192" s="18">
        <f>_xll.ciqfunctions.udf.CIQ($C$2, "IQ_MINORITY_INTEREST_CF",P$6,$F$2,,,Ccy,Conv)</f>
        <v>0</v>
      </c>
      <c r="O192" s="198"/>
      <c r="P192" s="198"/>
      <c r="Q192" s="198"/>
      <c r="R192" s="198"/>
      <c r="S192" s="198"/>
      <c r="T192" s="205"/>
      <c r="U192" s="205"/>
      <c r="V192" s="205"/>
      <c r="W192" s="198"/>
      <c r="X192" s="198"/>
      <c r="Y192" s="198"/>
      <c r="Z192" s="198"/>
      <c r="AA192" s="198"/>
      <c r="AB192" s="198"/>
      <c r="AC192" s="198"/>
      <c r="AD192" s="198"/>
      <c r="AE192" s="198"/>
      <c r="AF192" s="198"/>
      <c r="AG192" s="198"/>
      <c r="AH192" s="198"/>
      <c r="AI192" s="198"/>
      <c r="AJ192" s="198"/>
      <c r="AK192" s="198"/>
      <c r="AL192" s="198"/>
      <c r="AM192" s="198"/>
      <c r="AN192" s="198"/>
      <c r="AO192" s="198"/>
      <c r="AP192" s="198"/>
      <c r="AQ192" s="198"/>
      <c r="AR192" s="198"/>
      <c r="AS192" s="198"/>
      <c r="AT192" s="198"/>
      <c r="AU192" s="198"/>
      <c r="AV192" s="198"/>
      <c r="AW192" s="198"/>
      <c r="AX192" s="198"/>
      <c r="AY192" s="198"/>
      <c r="AZ192" s="198"/>
      <c r="BA192" s="198"/>
      <c r="BB192" s="198"/>
      <c r="BC192" s="198"/>
      <c r="BD192" s="198"/>
      <c r="BE192" s="198"/>
      <c r="BF192" s="198"/>
      <c r="BG192" s="198"/>
      <c r="BH192" s="198"/>
      <c r="BI192" s="198"/>
      <c r="BJ192" s="198"/>
      <c r="BK192" s="198"/>
      <c r="BL192" s="198"/>
      <c r="BM192" s="198"/>
      <c r="BN192" s="198"/>
      <c r="BO192" s="198"/>
      <c r="BP192" s="198"/>
      <c r="BQ192" s="198"/>
      <c r="BR192" s="198"/>
      <c r="BS192" s="198"/>
      <c r="BT192" s="198"/>
      <c r="BU192" s="198"/>
      <c r="BV192" s="198"/>
      <c r="BW192" s="198"/>
      <c r="BX192" s="198"/>
    </row>
    <row r="193" spans="1:76" x14ac:dyDescent="0.25">
      <c r="A193" s="2" t="str">
        <f>'Language Index'!A216</f>
        <v>(Gain) Loss From Sale Of Asset</v>
      </c>
      <c r="B193" s="18">
        <f>_xll.ciqfunctions.udf.CIQ($C$2, "IQ_GAIN_ASSETS_CF",D$6,$F$2,,,Ccy,Conv)</f>
        <v>-1535</v>
      </c>
      <c r="C193" s="18">
        <f>_xll.ciqfunctions.udf.CIQ($C$2, "IQ_GAIN_ASSETS_CF",E$6,$F$2,,,Ccy,Conv)</f>
        <v>481</v>
      </c>
      <c r="D193" s="18">
        <f>_xll.ciqfunctions.udf.CIQ($C$2, "IQ_GAIN_ASSETS_CF",F$6,$F$2,,,Ccy,Conv)</f>
        <v>62</v>
      </c>
      <c r="E193" s="18">
        <f>_xll.ciqfunctions.udf.CIQ($C$2, "IQ_GAIN_ASSETS_CF",G$6,$F$2,,,Ccy,Conv)</f>
        <v>14</v>
      </c>
      <c r="F193" s="18">
        <f>_xll.ciqfunctions.udf.CIQ($C$2, "IQ_GAIN_ASSETS_CF",H$6,$F$2,,,Ccy,Conv)</f>
        <v>123</v>
      </c>
      <c r="G193" s="18">
        <f>_xll.ciqfunctions.udf.CIQ($C$2, "IQ_GAIN_ASSETS_CF",I$6,$F$2,,,Ccy,Conv)</f>
        <v>-1096</v>
      </c>
      <c r="H193" s="18">
        <f>_xll.ciqfunctions.udf.CIQ($C$2, "IQ_GAIN_ASSETS_CF",J$6,$F$2,,,Ccy,Conv)</f>
        <v>-70</v>
      </c>
      <c r="I193" s="18">
        <f>_xll.ciqfunctions.udf.CIQ($C$2, "IQ_GAIN_ASSETS_CF",K$6,$F$2,,,Ccy,Conv)</f>
        <v>-136</v>
      </c>
      <c r="J193" s="18">
        <f>_xll.ciqfunctions.udf.CIQ($C$2, "IQ_GAIN_ASSETS_CF",L$6,$F$2,,,Ccy,Conv)</f>
        <v>-363</v>
      </c>
      <c r="K193" s="18">
        <f>_xll.ciqfunctions.udf.CIQ($C$2, "IQ_GAIN_ASSETS_CF",M$6,$F$2,,,Ccy,Conv)</f>
        <v>-170</v>
      </c>
      <c r="L193" s="18">
        <f>_xll.ciqfunctions.udf.CIQ($C$2, "IQ_GAIN_ASSETS_CF",N$6,$F$2,,,Ccy,Conv)</f>
        <v>-652</v>
      </c>
      <c r="M193" s="18"/>
      <c r="N193" s="18">
        <f>_xll.ciqfunctions.udf.CIQ($C$2, "IQ_GAIN_ASSETS_CF",P$6,$F$2,,,Ccy,Conv)</f>
        <v>-652</v>
      </c>
      <c r="O193" s="198"/>
      <c r="P193" s="198"/>
      <c r="Q193" s="198"/>
      <c r="R193" s="198"/>
      <c r="S193" s="198"/>
      <c r="T193" s="205"/>
      <c r="U193" s="205"/>
      <c r="V193" s="205"/>
      <c r="W193" s="198"/>
      <c r="X193" s="198"/>
      <c r="Y193" s="198"/>
      <c r="Z193" s="198"/>
      <c r="AA193" s="198"/>
      <c r="AB193" s="198"/>
      <c r="AC193" s="198"/>
      <c r="AD193" s="198"/>
      <c r="AE193" s="198"/>
      <c r="AF193" s="198"/>
      <c r="AG193" s="198"/>
      <c r="AH193" s="198"/>
      <c r="AI193" s="198"/>
      <c r="AJ193" s="198"/>
      <c r="AK193" s="198"/>
      <c r="AL193" s="198"/>
      <c r="AM193" s="198"/>
      <c r="AN193" s="198"/>
      <c r="AO193" s="198"/>
      <c r="AP193" s="198"/>
      <c r="AQ193" s="198"/>
      <c r="AR193" s="198"/>
      <c r="AS193" s="198"/>
      <c r="AT193" s="198"/>
      <c r="AU193" s="198"/>
      <c r="AV193" s="198"/>
      <c r="AW193" s="198"/>
      <c r="AX193" s="198"/>
      <c r="AY193" s="198"/>
      <c r="AZ193" s="198"/>
      <c r="BA193" s="198"/>
      <c r="BB193" s="198"/>
      <c r="BC193" s="198"/>
      <c r="BD193" s="198"/>
      <c r="BE193" s="198"/>
      <c r="BF193" s="198"/>
      <c r="BG193" s="198"/>
      <c r="BH193" s="198"/>
      <c r="BI193" s="198"/>
      <c r="BJ193" s="198"/>
      <c r="BK193" s="198"/>
      <c r="BL193" s="198"/>
      <c r="BM193" s="198"/>
      <c r="BN193" s="198"/>
      <c r="BO193" s="198"/>
      <c r="BP193" s="198"/>
      <c r="BQ193" s="198"/>
      <c r="BR193" s="198"/>
      <c r="BS193" s="198"/>
      <c r="BT193" s="198"/>
      <c r="BU193" s="198"/>
      <c r="BV193" s="198"/>
      <c r="BW193" s="198"/>
      <c r="BX193" s="198"/>
    </row>
    <row r="194" spans="1:76" x14ac:dyDescent="0.25">
      <c r="A194" s="2" t="str">
        <f>'Language Index'!A217</f>
        <v>(Gain) Loss On Sale Of Invest.</v>
      </c>
      <c r="B194" s="18">
        <f>_xll.ciqfunctions.udf.CIQ($C$2, "IQ_GAIN_INVEST_CF",D$6,$F$2,,,Ccy,Conv)</f>
        <v>0</v>
      </c>
      <c r="C194" s="18">
        <f>_xll.ciqfunctions.udf.CIQ($C$2, "IQ_GAIN_INVEST_CF",E$6,$F$2,,,Ccy,Conv)</f>
        <v>0</v>
      </c>
      <c r="D194" s="18">
        <f>_xll.ciqfunctions.udf.CIQ($C$2, "IQ_GAIN_INVEST_CF",F$6,$F$2,,,Ccy,Conv)</f>
        <v>0</v>
      </c>
      <c r="E194" s="18">
        <f>_xll.ciqfunctions.udf.CIQ($C$2, "IQ_GAIN_INVEST_CF",G$6,$F$2,,,Ccy,Conv)</f>
        <v>0</v>
      </c>
      <c r="F194" s="18">
        <f>_xll.ciqfunctions.udf.CIQ($C$2, "IQ_GAIN_INVEST_CF",H$6,$F$2,,,Ccy,Conv)</f>
        <v>0</v>
      </c>
      <c r="G194" s="18">
        <f>_xll.ciqfunctions.udf.CIQ($C$2, "IQ_GAIN_INVEST_CF",I$6,$F$2,,,Ccy,Conv)</f>
        <v>0</v>
      </c>
      <c r="H194" s="18">
        <f>_xll.ciqfunctions.udf.CIQ($C$2, "IQ_GAIN_INVEST_CF",J$6,$F$2,,,Ccy,Conv)</f>
        <v>0</v>
      </c>
      <c r="I194" s="18">
        <f>_xll.ciqfunctions.udf.CIQ($C$2, "IQ_GAIN_INVEST_CF",K$6,$F$2,,,Ccy,Conv)</f>
        <v>0</v>
      </c>
      <c r="J194" s="18">
        <f>_xll.ciqfunctions.udf.CIQ($C$2, "IQ_GAIN_INVEST_CF",L$6,$F$2,,,Ccy,Conv)</f>
        <v>0</v>
      </c>
      <c r="K194" s="18">
        <f>_xll.ciqfunctions.udf.CIQ($C$2, "IQ_GAIN_INVEST_CF",M$6,$F$2,,,Ccy,Conv)</f>
        <v>0</v>
      </c>
      <c r="L194" s="18">
        <f>_xll.ciqfunctions.udf.CIQ($C$2, "IQ_GAIN_INVEST_CF",N$6,$F$2,,,Ccy,Conv)</f>
        <v>0</v>
      </c>
      <c r="M194" s="18"/>
      <c r="N194" s="18">
        <f>_xll.ciqfunctions.udf.CIQ($C$2, "IQ_GAIN_INVEST_CF",P$6,$F$2,,,Ccy,Conv)</f>
        <v>0</v>
      </c>
      <c r="O194" s="198"/>
      <c r="P194" s="198"/>
      <c r="Q194" s="198"/>
      <c r="R194" s="198"/>
      <c r="S194" s="198"/>
      <c r="T194" s="205"/>
      <c r="U194" s="205"/>
      <c r="V194" s="205"/>
      <c r="W194" s="198"/>
      <c r="X194" s="198"/>
      <c r="Y194" s="198"/>
      <c r="Z194" s="198"/>
      <c r="AA194" s="198"/>
      <c r="AB194" s="198"/>
      <c r="AC194" s="198"/>
      <c r="AD194" s="198"/>
      <c r="AE194" s="198"/>
      <c r="AF194" s="198"/>
      <c r="AG194" s="198"/>
      <c r="AH194" s="198"/>
      <c r="AI194" s="198"/>
      <c r="AJ194" s="198"/>
      <c r="AK194" s="198"/>
      <c r="AL194" s="198"/>
      <c r="AM194" s="198"/>
      <c r="AN194" s="198"/>
      <c r="AO194" s="198"/>
      <c r="AP194" s="198"/>
      <c r="AQ194" s="198"/>
      <c r="AR194" s="198"/>
      <c r="AS194" s="198"/>
      <c r="AT194" s="198"/>
      <c r="AU194" s="198"/>
      <c r="AV194" s="198"/>
      <c r="AW194" s="198"/>
      <c r="AX194" s="198"/>
      <c r="AY194" s="198"/>
      <c r="AZ194" s="198"/>
      <c r="BA194" s="198"/>
      <c r="BB194" s="198"/>
      <c r="BC194" s="198"/>
      <c r="BD194" s="198"/>
      <c r="BE194" s="198"/>
      <c r="BF194" s="198"/>
      <c r="BG194" s="198"/>
      <c r="BH194" s="198"/>
      <c r="BI194" s="198"/>
      <c r="BJ194" s="198"/>
      <c r="BK194" s="198"/>
      <c r="BL194" s="198"/>
      <c r="BM194" s="198"/>
      <c r="BN194" s="198"/>
      <c r="BO194" s="198"/>
      <c r="BP194" s="198"/>
      <c r="BQ194" s="198"/>
      <c r="BR194" s="198"/>
      <c r="BS194" s="198"/>
      <c r="BT194" s="198"/>
      <c r="BU194" s="198"/>
      <c r="BV194" s="198"/>
      <c r="BW194" s="198"/>
      <c r="BX194" s="198"/>
    </row>
    <row r="195" spans="1:76" x14ac:dyDescent="0.25">
      <c r="A195" s="2" t="str">
        <f>'Language Index'!A218</f>
        <v>Asset Writedown &amp; Restructuring Costs</v>
      </c>
      <c r="B195" s="18">
        <f>_xll.ciqfunctions.udf.CIQ($C$2, "IQ_ASSET_WRITEDOWN_CF",D$6,$F$2,,,Ccy,Conv)</f>
        <v>0</v>
      </c>
      <c r="C195" s="18">
        <f>_xll.ciqfunctions.udf.CIQ($C$2, "IQ_ASSET_WRITEDOWN_CF",E$6,$F$2,,,Ccy,Conv)</f>
        <v>0</v>
      </c>
      <c r="D195" s="18">
        <f>_xll.ciqfunctions.udf.CIQ($C$2, "IQ_ASSET_WRITEDOWN_CF",F$6,$F$2,,,Ccy,Conv)</f>
        <v>0</v>
      </c>
      <c r="E195" s="18">
        <f>_xll.ciqfunctions.udf.CIQ($C$2, "IQ_ASSET_WRITEDOWN_CF",G$6,$F$2,,,Ccy,Conv)</f>
        <v>0</v>
      </c>
      <c r="F195" s="18">
        <f>_xll.ciqfunctions.udf.CIQ($C$2, "IQ_ASSET_WRITEDOWN_CF",H$6,$F$2,,,Ccy,Conv)</f>
        <v>0</v>
      </c>
      <c r="G195" s="18">
        <f>_xll.ciqfunctions.udf.CIQ($C$2, "IQ_ASSET_WRITEDOWN_CF",I$6,$F$2,,,Ccy,Conv)</f>
        <v>0</v>
      </c>
      <c r="H195" s="18">
        <f>_xll.ciqfunctions.udf.CIQ($C$2, "IQ_ASSET_WRITEDOWN_CF",J$6,$F$2,,,Ccy,Conv)</f>
        <v>0</v>
      </c>
      <c r="I195" s="18">
        <f>_xll.ciqfunctions.udf.CIQ($C$2, "IQ_ASSET_WRITEDOWN_CF",K$6,$F$2,,,Ccy,Conv)</f>
        <v>0</v>
      </c>
      <c r="J195" s="18">
        <f>_xll.ciqfunctions.udf.CIQ($C$2, "IQ_ASSET_WRITEDOWN_CF",L$6,$F$2,,,Ccy,Conv)</f>
        <v>0</v>
      </c>
      <c r="K195" s="18">
        <f>_xll.ciqfunctions.udf.CIQ($C$2, "IQ_ASSET_WRITEDOWN_CF",M$6,$F$2,,,Ccy,Conv)</f>
        <v>0</v>
      </c>
      <c r="L195" s="18">
        <f>_xll.ciqfunctions.udf.CIQ($C$2, "IQ_ASSET_WRITEDOWN_CF",N$6,$F$2,,,Ccy,Conv)</f>
        <v>0</v>
      </c>
      <c r="M195" s="18"/>
      <c r="N195" s="18">
        <f>_xll.ciqfunctions.udf.CIQ($C$2, "IQ_ASSET_WRITEDOWN_CF",P$6,$F$2,,,Ccy,Conv)</f>
        <v>0</v>
      </c>
      <c r="O195" s="198"/>
      <c r="P195" s="198"/>
      <c r="Q195" s="198"/>
      <c r="R195" s="198"/>
      <c r="S195" s="198"/>
      <c r="T195" s="205"/>
      <c r="U195" s="205"/>
      <c r="V195" s="205"/>
      <c r="W195" s="198"/>
      <c r="X195" s="198"/>
      <c r="Y195" s="198"/>
      <c r="Z195" s="198"/>
      <c r="AA195" s="198"/>
      <c r="AB195" s="198"/>
      <c r="AC195" s="198"/>
      <c r="AD195" s="198"/>
      <c r="AE195" s="198"/>
      <c r="AF195" s="198"/>
      <c r="AG195" s="198"/>
      <c r="AH195" s="198"/>
      <c r="AI195" s="198"/>
      <c r="AJ195" s="198"/>
      <c r="AK195" s="198"/>
      <c r="AL195" s="198"/>
      <c r="AM195" s="198"/>
      <c r="AN195" s="198"/>
      <c r="AO195" s="198"/>
      <c r="AP195" s="198"/>
      <c r="AQ195" s="198"/>
      <c r="AR195" s="198"/>
      <c r="AS195" s="198"/>
      <c r="AT195" s="198"/>
      <c r="AU195" s="198"/>
      <c r="AV195" s="198"/>
      <c r="AW195" s="198"/>
      <c r="AX195" s="198"/>
      <c r="AY195" s="198"/>
      <c r="AZ195" s="198"/>
      <c r="BA195" s="198"/>
      <c r="BB195" s="198"/>
      <c r="BC195" s="198"/>
      <c r="BD195" s="198"/>
      <c r="BE195" s="198"/>
      <c r="BF195" s="198"/>
      <c r="BG195" s="198"/>
      <c r="BH195" s="198"/>
      <c r="BI195" s="198"/>
      <c r="BJ195" s="198"/>
      <c r="BK195" s="198"/>
      <c r="BL195" s="198"/>
      <c r="BM195" s="198"/>
      <c r="BN195" s="198"/>
      <c r="BO195" s="198"/>
      <c r="BP195" s="198"/>
      <c r="BQ195" s="198"/>
      <c r="BR195" s="198"/>
      <c r="BS195" s="198"/>
      <c r="BT195" s="198"/>
      <c r="BU195" s="198"/>
      <c r="BV195" s="198"/>
      <c r="BW195" s="198"/>
      <c r="BX195" s="198"/>
    </row>
    <row r="196" spans="1:76" x14ac:dyDescent="0.25">
      <c r="A196" s="2" t="str">
        <f>'Language Index'!A219</f>
        <v>Net (Increase) Decrease in Loans Orig./Sold</v>
      </c>
      <c r="B196" s="18">
        <f>_xll.ciqfunctions.udf.CIQ($C$2, "IQ_LOANS_CF",D$6,$F$2,,,Ccy,Conv)</f>
        <v>0</v>
      </c>
      <c r="C196" s="18">
        <f>_xll.ciqfunctions.udf.CIQ($C$2, "IQ_LOANS_CF",E$6,$F$2,,,Ccy,Conv)</f>
        <v>0</v>
      </c>
      <c r="D196" s="18">
        <f>_xll.ciqfunctions.udf.CIQ($C$2, "IQ_LOANS_CF",F$6,$F$2,,,Ccy,Conv)</f>
        <v>0</v>
      </c>
      <c r="E196" s="18">
        <f>_xll.ciqfunctions.udf.CIQ($C$2, "IQ_LOANS_CF",G$6,$F$2,,,Ccy,Conv)</f>
        <v>0</v>
      </c>
      <c r="F196" s="18">
        <f>_xll.ciqfunctions.udf.CIQ($C$2, "IQ_LOANS_CF",H$6,$F$2,,,Ccy,Conv)</f>
        <v>0</v>
      </c>
      <c r="G196" s="18">
        <f>_xll.ciqfunctions.udf.CIQ($C$2, "IQ_LOANS_CF",I$6,$F$2,,,Ccy,Conv)</f>
        <v>0</v>
      </c>
      <c r="H196" s="18">
        <f>_xll.ciqfunctions.udf.CIQ($C$2, "IQ_LOANS_CF",J$6,$F$2,,,Ccy,Conv)</f>
        <v>0</v>
      </c>
      <c r="I196" s="18">
        <f>_xll.ciqfunctions.udf.CIQ($C$2, "IQ_LOANS_CF",K$6,$F$2,,,Ccy,Conv)</f>
        <v>0</v>
      </c>
      <c r="J196" s="18">
        <f>_xll.ciqfunctions.udf.CIQ($C$2, "IQ_LOANS_CF",L$6,$F$2,,,Ccy,Conv)</f>
        <v>0</v>
      </c>
      <c r="K196" s="18">
        <f>_xll.ciqfunctions.udf.CIQ($C$2, "IQ_LOANS_CF",M$6,$F$2,,,Ccy,Conv)</f>
        <v>0</v>
      </c>
      <c r="L196" s="18">
        <f>_xll.ciqfunctions.udf.CIQ($C$2, "IQ_LOANS_CF",N$6,$F$2,,,Ccy,Conv)</f>
        <v>0</v>
      </c>
      <c r="M196" s="18"/>
      <c r="N196" s="18">
        <f>_xll.ciqfunctions.udf.CIQ($C$2, "IQ_LOANS_CF",P$6,$F$2,,,Ccy,Conv)</f>
        <v>0</v>
      </c>
      <c r="O196" s="198"/>
      <c r="P196" s="198"/>
      <c r="Q196" s="198"/>
      <c r="R196" s="198"/>
      <c r="S196" s="198"/>
      <c r="T196" s="205"/>
      <c r="U196" s="205"/>
      <c r="V196" s="205"/>
      <c r="W196" s="198"/>
      <c r="X196" s="198"/>
      <c r="Y196" s="198"/>
      <c r="Z196" s="198"/>
      <c r="AA196" s="198"/>
      <c r="AB196" s="198"/>
      <c r="AC196" s="198"/>
      <c r="AD196" s="198"/>
      <c r="AE196" s="198"/>
      <c r="AF196" s="198"/>
      <c r="AG196" s="198"/>
      <c r="AH196" s="198"/>
      <c r="AI196" s="198"/>
      <c r="AJ196" s="198"/>
      <c r="AK196" s="198"/>
      <c r="AL196" s="198"/>
      <c r="AM196" s="198"/>
      <c r="AN196" s="198"/>
      <c r="AO196" s="198"/>
      <c r="AP196" s="198"/>
      <c r="AQ196" s="198"/>
      <c r="AR196" s="198"/>
      <c r="AS196" s="198"/>
      <c r="AT196" s="198"/>
      <c r="AU196" s="198"/>
      <c r="AV196" s="198"/>
      <c r="AW196" s="198"/>
      <c r="AX196" s="198"/>
      <c r="AY196" s="198"/>
      <c r="AZ196" s="198"/>
      <c r="BA196" s="198"/>
      <c r="BB196" s="198"/>
      <c r="BC196" s="198"/>
      <c r="BD196" s="198"/>
      <c r="BE196" s="198"/>
      <c r="BF196" s="198"/>
      <c r="BG196" s="198"/>
      <c r="BH196" s="198"/>
      <c r="BI196" s="198"/>
      <c r="BJ196" s="198"/>
      <c r="BK196" s="198"/>
      <c r="BL196" s="198"/>
      <c r="BM196" s="198"/>
      <c r="BN196" s="198"/>
      <c r="BO196" s="198"/>
      <c r="BP196" s="198"/>
      <c r="BQ196" s="198"/>
      <c r="BR196" s="198"/>
      <c r="BS196" s="198"/>
      <c r="BT196" s="198"/>
      <c r="BU196" s="198"/>
      <c r="BV196" s="198"/>
      <c r="BW196" s="198"/>
      <c r="BX196" s="198"/>
    </row>
    <row r="197" spans="1:76" x14ac:dyDescent="0.25">
      <c r="A197" s="2" t="str">
        <f>'Language Index'!A220</f>
        <v>Provision for Credit Losses</v>
      </c>
      <c r="B197" s="18">
        <f>_xll.ciqfunctions.udf.CIQ($C$2, "IQ_CREDIT_LOSS_CF",D$6,$F$2,,,Ccy,Conv)</f>
        <v>0</v>
      </c>
      <c r="C197" s="18">
        <f>_xll.ciqfunctions.udf.CIQ($C$2, "IQ_CREDIT_LOSS_CF",E$6,$F$2,,,Ccy,Conv)</f>
        <v>0</v>
      </c>
      <c r="D197" s="18">
        <f>_xll.ciqfunctions.udf.CIQ($C$2, "IQ_CREDIT_LOSS_CF",F$6,$F$2,,,Ccy,Conv)</f>
        <v>0</v>
      </c>
      <c r="E197" s="18">
        <f>_xll.ciqfunctions.udf.CIQ($C$2, "IQ_CREDIT_LOSS_CF",G$6,$F$2,,,Ccy,Conv)</f>
        <v>0</v>
      </c>
      <c r="F197" s="18">
        <f>_xll.ciqfunctions.udf.CIQ($C$2, "IQ_CREDIT_LOSS_CF",H$6,$F$2,,,Ccy,Conv)</f>
        <v>0</v>
      </c>
      <c r="G197" s="18">
        <f>_xll.ciqfunctions.udf.CIQ($C$2, "IQ_CREDIT_LOSS_CF",I$6,$F$2,,,Ccy,Conv)</f>
        <v>0</v>
      </c>
      <c r="H197" s="18">
        <f>_xll.ciqfunctions.udf.CIQ($C$2, "IQ_CREDIT_LOSS_CF",J$6,$F$2,,,Ccy,Conv)</f>
        <v>0</v>
      </c>
      <c r="I197" s="18">
        <f>_xll.ciqfunctions.udf.CIQ($C$2, "IQ_CREDIT_LOSS_CF",K$6,$F$2,,,Ccy,Conv)</f>
        <v>0</v>
      </c>
      <c r="J197" s="18">
        <f>_xll.ciqfunctions.udf.CIQ($C$2, "IQ_CREDIT_LOSS_CF",L$6,$F$2,,,Ccy,Conv)</f>
        <v>0</v>
      </c>
      <c r="K197" s="18">
        <f>_xll.ciqfunctions.udf.CIQ($C$2, "IQ_CREDIT_LOSS_CF",M$6,$F$2,,,Ccy,Conv)</f>
        <v>0</v>
      </c>
      <c r="L197" s="18">
        <f>_xll.ciqfunctions.udf.CIQ($C$2, "IQ_CREDIT_LOSS_CF",N$6,$F$2,,,Ccy,Conv)</f>
        <v>0</v>
      </c>
      <c r="M197" s="18"/>
      <c r="N197" s="18">
        <f>_xll.ciqfunctions.udf.CIQ($C$2, "IQ_CREDIT_LOSS_CF",P$6,$F$2,,,Ccy,Conv)</f>
        <v>0</v>
      </c>
      <c r="O197" s="198"/>
      <c r="P197" s="198"/>
      <c r="Q197" s="198"/>
      <c r="R197" s="198"/>
      <c r="S197" s="198"/>
      <c r="T197" s="205"/>
      <c r="U197" s="205"/>
      <c r="V197" s="205"/>
      <c r="W197" s="198"/>
      <c r="X197" s="198"/>
      <c r="Y197" s="198"/>
      <c r="Z197" s="198"/>
      <c r="AA197" s="198"/>
      <c r="AB197" s="198"/>
      <c r="AC197" s="198"/>
      <c r="AD197" s="198"/>
      <c r="AE197" s="198"/>
      <c r="AF197" s="198"/>
      <c r="AG197" s="198"/>
      <c r="AH197" s="198"/>
      <c r="AI197" s="198"/>
      <c r="AJ197" s="198"/>
      <c r="AK197" s="198"/>
      <c r="AL197" s="198"/>
      <c r="AM197" s="198"/>
      <c r="AN197" s="198"/>
      <c r="AO197" s="198"/>
      <c r="AP197" s="198"/>
      <c r="AQ197" s="198"/>
      <c r="AR197" s="198"/>
      <c r="AS197" s="198"/>
      <c r="AT197" s="198"/>
      <c r="AU197" s="198"/>
      <c r="AV197" s="198"/>
      <c r="AW197" s="198"/>
      <c r="AX197" s="198"/>
      <c r="AY197" s="198"/>
      <c r="AZ197" s="198"/>
      <c r="BA197" s="198"/>
      <c r="BB197" s="198"/>
      <c r="BC197" s="198"/>
      <c r="BD197" s="198"/>
      <c r="BE197" s="198"/>
      <c r="BF197" s="198"/>
      <c r="BG197" s="198"/>
      <c r="BH197" s="198"/>
      <c r="BI197" s="198"/>
      <c r="BJ197" s="198"/>
      <c r="BK197" s="198"/>
      <c r="BL197" s="198"/>
      <c r="BM197" s="198"/>
      <c r="BN197" s="198"/>
      <c r="BO197" s="198"/>
      <c r="BP197" s="198"/>
      <c r="BQ197" s="198"/>
      <c r="BR197" s="198"/>
      <c r="BS197" s="198"/>
      <c r="BT197" s="198"/>
      <c r="BU197" s="198"/>
      <c r="BV197" s="198"/>
      <c r="BW197" s="198"/>
      <c r="BX197" s="198"/>
    </row>
    <row r="198" spans="1:76" x14ac:dyDescent="0.25">
      <c r="A198" s="2" t="str">
        <f>'Language Index'!A221</f>
        <v>(Income) Loss on Equity Invest.</v>
      </c>
      <c r="B198" s="18">
        <f>_xll.ciqfunctions.udf.CIQ($C$2, "IQ_INC_EQUITY_CF",D$6,$F$2,,,Ccy,Conv)</f>
        <v>0</v>
      </c>
      <c r="C198" s="18">
        <f>_xll.ciqfunctions.udf.CIQ($C$2, "IQ_INC_EQUITY_CF",E$6,$F$2,,,Ccy,Conv)</f>
        <v>0</v>
      </c>
      <c r="D198" s="18">
        <f>_xll.ciqfunctions.udf.CIQ($C$2, "IQ_INC_EQUITY_CF",F$6,$F$2,,,Ccy,Conv)</f>
        <v>0</v>
      </c>
      <c r="E198" s="18">
        <f>_xll.ciqfunctions.udf.CIQ($C$2, "IQ_INC_EQUITY_CF",G$6,$F$2,,,Ccy,Conv)</f>
        <v>0</v>
      </c>
      <c r="F198" s="18">
        <f>_xll.ciqfunctions.udf.CIQ($C$2, "IQ_INC_EQUITY_CF",H$6,$F$2,,,Ccy,Conv)</f>
        <v>0</v>
      </c>
      <c r="G198" s="18">
        <f>_xll.ciqfunctions.udf.CIQ($C$2, "IQ_INC_EQUITY_CF",I$6,$F$2,,,Ccy,Conv)</f>
        <v>0</v>
      </c>
      <c r="H198" s="18">
        <f>_xll.ciqfunctions.udf.CIQ($C$2, "IQ_INC_EQUITY_CF",J$6,$F$2,,,Ccy,Conv)</f>
        <v>0</v>
      </c>
      <c r="I198" s="18">
        <f>_xll.ciqfunctions.udf.CIQ($C$2, "IQ_INC_EQUITY_CF",K$6,$F$2,,,Ccy,Conv)</f>
        <v>0</v>
      </c>
      <c r="J198" s="18">
        <f>_xll.ciqfunctions.udf.CIQ($C$2, "IQ_INC_EQUITY_CF",L$6,$F$2,,,Ccy,Conv)</f>
        <v>0</v>
      </c>
      <c r="K198" s="18">
        <f>_xll.ciqfunctions.udf.CIQ($C$2, "IQ_INC_EQUITY_CF",M$6,$F$2,,,Ccy,Conv)</f>
        <v>0</v>
      </c>
      <c r="L198" s="18">
        <f>_xll.ciqfunctions.udf.CIQ($C$2, "IQ_INC_EQUITY_CF",N$6,$F$2,,,Ccy,Conv)</f>
        <v>0</v>
      </c>
      <c r="M198" s="18"/>
      <c r="N198" s="18">
        <f>_xll.ciqfunctions.udf.CIQ($C$2, "IQ_INC_EQUITY_CF",P$6,$F$2,,,Ccy,Conv)</f>
        <v>0</v>
      </c>
      <c r="O198" s="198"/>
      <c r="P198" s="198"/>
      <c r="Q198" s="198"/>
      <c r="R198" s="198"/>
      <c r="S198" s="198"/>
      <c r="T198" s="205"/>
      <c r="U198" s="205"/>
      <c r="V198" s="205"/>
      <c r="W198" s="198"/>
      <c r="X198" s="198"/>
      <c r="Y198" s="198"/>
      <c r="Z198" s="198"/>
      <c r="AA198" s="198"/>
      <c r="AB198" s="198"/>
      <c r="AC198" s="198"/>
      <c r="AD198" s="198"/>
      <c r="AE198" s="198"/>
      <c r="AF198" s="198"/>
      <c r="AG198" s="198"/>
      <c r="AH198" s="198"/>
      <c r="AI198" s="198"/>
      <c r="AJ198" s="198"/>
      <c r="AK198" s="198"/>
      <c r="AL198" s="198"/>
      <c r="AM198" s="198"/>
      <c r="AN198" s="198"/>
      <c r="AO198" s="198"/>
      <c r="AP198" s="198"/>
      <c r="AQ198" s="198"/>
      <c r="AR198" s="198"/>
      <c r="AS198" s="198"/>
      <c r="AT198" s="198"/>
      <c r="AU198" s="198"/>
      <c r="AV198" s="198"/>
      <c r="AW198" s="198"/>
      <c r="AX198" s="198"/>
      <c r="AY198" s="198"/>
      <c r="AZ198" s="198"/>
      <c r="BA198" s="198"/>
      <c r="BB198" s="198"/>
      <c r="BC198" s="198"/>
      <c r="BD198" s="198"/>
      <c r="BE198" s="198"/>
      <c r="BF198" s="198"/>
      <c r="BG198" s="198"/>
      <c r="BH198" s="198"/>
      <c r="BI198" s="198"/>
      <c r="BJ198" s="198"/>
      <c r="BK198" s="198"/>
      <c r="BL198" s="198"/>
      <c r="BM198" s="198"/>
      <c r="BN198" s="198"/>
      <c r="BO198" s="198"/>
      <c r="BP198" s="198"/>
      <c r="BQ198" s="198"/>
      <c r="BR198" s="198"/>
      <c r="BS198" s="198"/>
      <c r="BT198" s="198"/>
      <c r="BU198" s="198"/>
      <c r="BV198" s="198"/>
      <c r="BW198" s="198"/>
      <c r="BX198" s="198"/>
    </row>
    <row r="199" spans="1:76" x14ac:dyDescent="0.25">
      <c r="A199" s="2" t="str">
        <f>'Language Index'!A49</f>
        <v>Stock-Based Compensation</v>
      </c>
      <c r="B199" s="18">
        <f>_xll.ciqfunctions.udf.CIQ($C$2, "IQ_STOCK_BASED_CF",D$6,$F$2,,,Ccy,Conv)</f>
        <v>512</v>
      </c>
      <c r="C199" s="18">
        <f>_xll.ciqfunctions.udf.CIQ($C$2, "IQ_STOCK_BASED_CF",E$6,$F$2,,,Ccy,Conv)</f>
        <v>468</v>
      </c>
      <c r="D199" s="18">
        <f>_xll.ciqfunctions.udf.CIQ($C$2, "IQ_STOCK_BASED_CF",F$6,$F$2,,,Ccy,Conv)</f>
        <v>544</v>
      </c>
      <c r="E199" s="18">
        <f>_xll.ciqfunctions.udf.CIQ($C$2, "IQ_STOCK_BASED_CF",G$6,$F$2,,,Ccy,Conv)</f>
        <v>534</v>
      </c>
      <c r="F199" s="18">
        <f>_xll.ciqfunctions.udf.CIQ($C$2, "IQ_STOCK_BASED_CF",H$6,$F$2,,,Ccy,Conv)</f>
        <v>510</v>
      </c>
      <c r="G199" s="18">
        <f>_xll.ciqfunctions.udf.CIQ($C$2, "IQ_STOCK_BASED_CF",I$6,$F$2,,,Ccy,Conv)</f>
        <v>679</v>
      </c>
      <c r="H199" s="18">
        <f>_xll.ciqfunctions.udf.CIQ($C$2, "IQ_STOCK_BASED_CF",J$6,$F$2,,,Ccy,Conv)</f>
        <v>937</v>
      </c>
      <c r="I199" s="18">
        <f>_xll.ciqfunctions.udf.CIQ($C$2, "IQ_STOCK_BASED_CF",K$6,$F$2,,,Ccy,Conv)</f>
        <v>982</v>
      </c>
      <c r="J199" s="18">
        <f>_xll.ciqfunctions.udf.CIQ($C$2, "IQ_STOCK_BASED_CF",L$6,$F$2,,,Ccy,Conv)</f>
        <v>987</v>
      </c>
      <c r="K199" s="18">
        <f>_xll.ciqfunctions.udf.CIQ($C$2, "IQ_STOCK_BASED_CF",M$6,$F$2,,,Ccy,Conv)</f>
        <v>1133</v>
      </c>
      <c r="L199" s="18">
        <f>_xll.ciqfunctions.udf.CIQ($C$2, "IQ_STOCK_BASED_CF",N$6,$F$2,,,Ccy,Conv)</f>
        <v>1311</v>
      </c>
      <c r="M199" s="18"/>
      <c r="N199" s="18">
        <f>_xll.ciqfunctions.udf.CIQ($C$2, "IQ_STOCK_BASED_CF",P$6,$F$2,,,Ccy,Conv)</f>
        <v>1311</v>
      </c>
      <c r="O199" s="198"/>
      <c r="P199" s="198"/>
      <c r="Q199" s="198"/>
      <c r="R199" s="198"/>
      <c r="S199" s="198"/>
      <c r="T199" s="205"/>
      <c r="U199" s="205"/>
      <c r="V199" s="205"/>
      <c r="W199" s="198"/>
      <c r="X199" s="198"/>
      <c r="Y199" s="198"/>
      <c r="Z199" s="198"/>
      <c r="AA199" s="198"/>
      <c r="AB199" s="198"/>
      <c r="AC199" s="198"/>
      <c r="AD199" s="198"/>
      <c r="AE199" s="198"/>
      <c r="AF199" s="198"/>
      <c r="AG199" s="198"/>
      <c r="AH199" s="198"/>
      <c r="AI199" s="198"/>
      <c r="AJ199" s="198"/>
      <c r="AK199" s="198"/>
      <c r="AL199" s="198"/>
      <c r="AM199" s="198"/>
      <c r="AN199" s="198"/>
      <c r="AO199" s="198"/>
      <c r="AP199" s="198"/>
      <c r="AQ199" s="198"/>
      <c r="AR199" s="198"/>
      <c r="AS199" s="198"/>
      <c r="AT199" s="198"/>
      <c r="AU199" s="198"/>
      <c r="AV199" s="198"/>
      <c r="AW199" s="198"/>
      <c r="AX199" s="198"/>
      <c r="AY199" s="198"/>
      <c r="AZ199" s="198"/>
      <c r="BA199" s="198"/>
      <c r="BB199" s="198"/>
      <c r="BC199" s="198"/>
      <c r="BD199" s="198"/>
      <c r="BE199" s="198"/>
      <c r="BF199" s="198"/>
      <c r="BG199" s="198"/>
      <c r="BH199" s="198"/>
      <c r="BI199" s="198"/>
      <c r="BJ199" s="198"/>
      <c r="BK199" s="198"/>
      <c r="BL199" s="198"/>
      <c r="BM199" s="198"/>
      <c r="BN199" s="198"/>
      <c r="BO199" s="198"/>
      <c r="BP199" s="198"/>
      <c r="BQ199" s="198"/>
      <c r="BR199" s="198"/>
      <c r="BS199" s="198"/>
      <c r="BT199" s="198"/>
      <c r="BU199" s="198"/>
      <c r="BV199" s="198"/>
      <c r="BW199" s="198"/>
      <c r="BX199" s="198"/>
    </row>
    <row r="200" spans="1:76" x14ac:dyDescent="0.25">
      <c r="A200" s="2" t="str">
        <f>'Language Index'!A222</f>
        <v>Tax Benefit from Stock Options</v>
      </c>
      <c r="B200" s="18">
        <f>_xll.ciqfunctions.udf.CIQ($C$2, "IQ_TAX_BENEFIT_OPTIONS",D$6,$F$2,,,Ccy,Conv)</f>
        <v>0</v>
      </c>
      <c r="C200" s="18">
        <f>_xll.ciqfunctions.udf.CIQ($C$2, "IQ_TAX_BENEFIT_OPTIONS",E$6,$F$2,,,Ccy,Conv)</f>
        <v>0</v>
      </c>
      <c r="D200" s="18">
        <f>_xll.ciqfunctions.udf.CIQ($C$2, "IQ_TAX_BENEFIT_OPTIONS",F$6,$F$2,,,Ccy,Conv)</f>
        <v>0</v>
      </c>
      <c r="E200" s="18">
        <f>_xll.ciqfunctions.udf.CIQ($C$2, "IQ_TAX_BENEFIT_OPTIONS",G$6,$F$2,,,Ccy,Conv)</f>
        <v>0</v>
      </c>
      <c r="F200" s="18">
        <f>_xll.ciqfunctions.udf.CIQ($C$2, "IQ_TAX_BENEFIT_OPTIONS",H$6,$F$2,,,Ccy,Conv)</f>
        <v>0</v>
      </c>
      <c r="G200" s="18">
        <f>_xll.ciqfunctions.udf.CIQ($C$2, "IQ_TAX_BENEFIT_OPTIONS",I$6,$F$2,,,Ccy,Conv)</f>
        <v>0</v>
      </c>
      <c r="H200" s="18">
        <f>_xll.ciqfunctions.udf.CIQ($C$2, "IQ_TAX_BENEFIT_OPTIONS",J$6,$F$2,,,Ccy,Conv)</f>
        <v>0</v>
      </c>
      <c r="I200" s="18">
        <f>_xll.ciqfunctions.udf.CIQ($C$2, "IQ_TAX_BENEFIT_OPTIONS",K$6,$F$2,,,Ccy,Conv)</f>
        <v>0</v>
      </c>
      <c r="J200" s="18">
        <f>_xll.ciqfunctions.udf.CIQ($C$2, "IQ_TAX_BENEFIT_OPTIONS",L$6,$F$2,,,Ccy,Conv)</f>
        <v>0</v>
      </c>
      <c r="K200" s="18">
        <f>_xll.ciqfunctions.udf.CIQ($C$2, "IQ_TAX_BENEFIT_OPTIONS",M$6,$F$2,,,Ccy,Conv)</f>
        <v>0</v>
      </c>
      <c r="L200" s="18">
        <f>_xll.ciqfunctions.udf.CIQ($C$2, "IQ_TAX_BENEFIT_OPTIONS",N$6,$F$2,,,Ccy,Conv)</f>
        <v>0</v>
      </c>
      <c r="M200" s="18"/>
      <c r="N200" s="18">
        <f>_xll.ciqfunctions.udf.CIQ($C$2, "IQ_TAX_BENEFIT_OPTIONS",P$6,$F$2,,,Ccy,Conv)</f>
        <v>0</v>
      </c>
      <c r="O200" s="198"/>
      <c r="P200" s="198"/>
      <c r="Q200" s="198"/>
      <c r="R200" s="198"/>
      <c r="S200" s="198"/>
      <c r="T200" s="205"/>
      <c r="U200" s="205"/>
      <c r="V200" s="205"/>
      <c r="W200" s="198"/>
      <c r="X200" s="198"/>
      <c r="Y200" s="198"/>
      <c r="Z200" s="198"/>
      <c r="AA200" s="198"/>
      <c r="AB200" s="198"/>
      <c r="AC200" s="198"/>
      <c r="AD200" s="198"/>
      <c r="AE200" s="198"/>
      <c r="AF200" s="198"/>
      <c r="AG200" s="198"/>
      <c r="AH200" s="198"/>
      <c r="AI200" s="198"/>
      <c r="AJ200" s="198"/>
      <c r="AK200" s="198"/>
      <c r="AL200" s="198"/>
      <c r="AM200" s="198"/>
      <c r="AN200" s="198"/>
      <c r="AO200" s="198"/>
      <c r="AP200" s="198"/>
      <c r="AQ200" s="198"/>
      <c r="AR200" s="198"/>
      <c r="AS200" s="198"/>
      <c r="AT200" s="198"/>
      <c r="AU200" s="198"/>
      <c r="AV200" s="198"/>
      <c r="AW200" s="198"/>
      <c r="AX200" s="198"/>
      <c r="AY200" s="198"/>
      <c r="AZ200" s="198"/>
      <c r="BA200" s="198"/>
      <c r="BB200" s="198"/>
      <c r="BC200" s="198"/>
      <c r="BD200" s="198"/>
      <c r="BE200" s="198"/>
      <c r="BF200" s="198"/>
      <c r="BG200" s="198"/>
      <c r="BH200" s="198"/>
      <c r="BI200" s="198"/>
      <c r="BJ200" s="198"/>
      <c r="BK200" s="198"/>
      <c r="BL200" s="198"/>
      <c r="BM200" s="198"/>
      <c r="BN200" s="198"/>
      <c r="BO200" s="198"/>
      <c r="BP200" s="198"/>
      <c r="BQ200" s="198"/>
      <c r="BR200" s="198"/>
      <c r="BS200" s="198"/>
      <c r="BT200" s="198"/>
      <c r="BU200" s="198"/>
      <c r="BV200" s="198"/>
      <c r="BW200" s="198"/>
      <c r="BX200" s="198"/>
    </row>
    <row r="201" spans="1:76" x14ac:dyDescent="0.25">
      <c r="A201" s="2" t="str">
        <f>'Language Index'!A223</f>
        <v>Provision &amp; Write-off of Bad debts</v>
      </c>
      <c r="B201" s="18">
        <f>_xll.ciqfunctions.udf.CIQ($C$2, "IQ_PROV_BAD_DEBTS_CF",D$6,$F$2,,,Ccy,Conv)</f>
        <v>0</v>
      </c>
      <c r="C201" s="18">
        <f>_xll.ciqfunctions.udf.CIQ($C$2, "IQ_PROV_BAD_DEBTS_CF",E$6,$F$2,,,Ccy,Conv)</f>
        <v>0</v>
      </c>
      <c r="D201" s="18">
        <f>_xll.ciqfunctions.udf.CIQ($C$2, "IQ_PROV_BAD_DEBTS_CF",F$6,$F$2,,,Ccy,Conv)</f>
        <v>0</v>
      </c>
      <c r="E201" s="18">
        <f>_xll.ciqfunctions.udf.CIQ($C$2, "IQ_PROV_BAD_DEBTS_CF",G$6,$F$2,,,Ccy,Conv)</f>
        <v>0</v>
      </c>
      <c r="F201" s="18">
        <f>_xll.ciqfunctions.udf.CIQ($C$2, "IQ_PROV_BAD_DEBTS_CF",H$6,$F$2,,,Ccy,Conv)</f>
        <v>0</v>
      </c>
      <c r="G201" s="18">
        <f>_xll.ciqfunctions.udf.CIQ($C$2, "IQ_PROV_BAD_DEBTS_CF",I$6,$F$2,,,Ccy,Conv)</f>
        <v>0</v>
      </c>
      <c r="H201" s="18">
        <f>_xll.ciqfunctions.udf.CIQ($C$2, "IQ_PROV_BAD_DEBTS_CF",J$6,$F$2,,,Ccy,Conv)</f>
        <v>0</v>
      </c>
      <c r="I201" s="18">
        <f>_xll.ciqfunctions.udf.CIQ($C$2, "IQ_PROV_BAD_DEBTS_CF",K$6,$F$2,,,Ccy,Conv)</f>
        <v>0</v>
      </c>
      <c r="J201" s="18">
        <f>_xll.ciqfunctions.udf.CIQ($C$2, "IQ_PROV_BAD_DEBTS_CF",L$6,$F$2,,,Ccy,Conv)</f>
        <v>0</v>
      </c>
      <c r="K201" s="18">
        <f>_xll.ciqfunctions.udf.CIQ($C$2, "IQ_PROV_BAD_DEBTS_CF",M$6,$F$2,,,Ccy,Conv)</f>
        <v>0</v>
      </c>
      <c r="L201" s="18">
        <f>_xll.ciqfunctions.udf.CIQ($C$2, "IQ_PROV_BAD_DEBTS_CF",N$6,$F$2,,,Ccy,Conv)</f>
        <v>0</v>
      </c>
      <c r="M201" s="18"/>
      <c r="N201" s="18">
        <f>_xll.ciqfunctions.udf.CIQ($C$2, "IQ_PROV_BAD_DEBTS_CF",P$6,$F$2,,,Ccy,Conv)</f>
        <v>0</v>
      </c>
      <c r="O201" s="198"/>
      <c r="P201" s="198"/>
      <c r="Q201" s="198"/>
      <c r="R201" s="198"/>
      <c r="S201" s="198"/>
      <c r="T201" s="205"/>
      <c r="U201" s="205"/>
      <c r="V201" s="205"/>
      <c r="W201" s="198"/>
      <c r="X201" s="198"/>
      <c r="Y201" s="198"/>
      <c r="Z201" s="198"/>
      <c r="AA201" s="198"/>
      <c r="AB201" s="198"/>
      <c r="AC201" s="198"/>
      <c r="AD201" s="198"/>
      <c r="AE201" s="198"/>
      <c r="AF201" s="198"/>
      <c r="AG201" s="198"/>
      <c r="AH201" s="198"/>
      <c r="AI201" s="198"/>
      <c r="AJ201" s="198"/>
      <c r="AK201" s="198"/>
      <c r="AL201" s="198"/>
      <c r="AM201" s="198"/>
      <c r="AN201" s="198"/>
      <c r="AO201" s="198"/>
      <c r="AP201" s="198"/>
      <c r="AQ201" s="198"/>
      <c r="AR201" s="198"/>
      <c r="AS201" s="198"/>
      <c r="AT201" s="198"/>
      <c r="AU201" s="198"/>
      <c r="AV201" s="198"/>
      <c r="AW201" s="198"/>
      <c r="AX201" s="198"/>
      <c r="AY201" s="198"/>
      <c r="AZ201" s="198"/>
      <c r="BA201" s="198"/>
      <c r="BB201" s="198"/>
      <c r="BC201" s="198"/>
      <c r="BD201" s="198"/>
      <c r="BE201" s="198"/>
      <c r="BF201" s="198"/>
      <c r="BG201" s="198"/>
      <c r="BH201" s="198"/>
      <c r="BI201" s="198"/>
      <c r="BJ201" s="198"/>
      <c r="BK201" s="198"/>
      <c r="BL201" s="198"/>
      <c r="BM201" s="198"/>
      <c r="BN201" s="198"/>
      <c r="BO201" s="198"/>
      <c r="BP201" s="198"/>
      <c r="BQ201" s="198"/>
      <c r="BR201" s="198"/>
      <c r="BS201" s="198"/>
      <c r="BT201" s="198"/>
      <c r="BU201" s="198"/>
      <c r="BV201" s="198"/>
      <c r="BW201" s="198"/>
      <c r="BX201" s="198"/>
    </row>
    <row r="202" spans="1:76" x14ac:dyDescent="0.25">
      <c r="A202" s="2" t="str">
        <f>'Language Index'!A224</f>
        <v>Net Cash From Discontinued Ops.</v>
      </c>
      <c r="B202" s="18">
        <f>_xll.ciqfunctions.udf.CIQ($C$2, "IQ_DO_CF",D$6,$F$2,,,Ccy,Conv)</f>
        <v>3381</v>
      </c>
      <c r="C202" s="18">
        <f>_xll.ciqfunctions.udf.CIQ($C$2, "IQ_DO_CF",E$6,$F$2,,,Ccy,Conv)</f>
        <v>71</v>
      </c>
      <c r="D202" s="18">
        <f>_xll.ciqfunctions.udf.CIQ($C$2, "IQ_DO_CF",F$6,$F$2,,,Ccy,Conv)</f>
        <v>0</v>
      </c>
      <c r="E202" s="18">
        <f>_xll.ciqfunctions.udf.CIQ($C$2, "IQ_DO_CF",G$6,$F$2,,,Ccy,Conv)</f>
        <v>0</v>
      </c>
      <c r="F202" s="18">
        <f>_xll.ciqfunctions.udf.CIQ($C$2, "IQ_DO_CF",H$6,$F$2,,,Ccy,Conv)</f>
        <v>0</v>
      </c>
      <c r="G202" s="18">
        <f>_xll.ciqfunctions.udf.CIQ($C$2, "IQ_DO_CF",I$6,$F$2,,,Ccy,Conv)</f>
        <v>0</v>
      </c>
      <c r="H202" s="18">
        <f>_xll.ciqfunctions.udf.CIQ($C$2, "IQ_DO_CF",J$6,$F$2,,,Ccy,Conv)</f>
        <v>0</v>
      </c>
      <c r="I202" s="18">
        <f>_xll.ciqfunctions.udf.CIQ($C$2, "IQ_DO_CF",K$6,$F$2,,,Ccy,Conv)</f>
        <v>0</v>
      </c>
      <c r="J202" s="18">
        <f>_xll.ciqfunctions.udf.CIQ($C$2, "IQ_DO_CF",L$6,$F$2,,,Ccy,Conv)</f>
        <v>0</v>
      </c>
      <c r="K202" s="18">
        <f>_xll.ciqfunctions.udf.CIQ($C$2, "IQ_DO_CF",M$6,$F$2,,,Ccy,Conv)</f>
        <v>0</v>
      </c>
      <c r="L202" s="18">
        <f>_xll.ciqfunctions.udf.CIQ($C$2, "IQ_DO_CF",N$6,$F$2,,,Ccy,Conv)</f>
        <v>0</v>
      </c>
      <c r="M202" s="18"/>
      <c r="N202" s="18">
        <f>_xll.ciqfunctions.udf.CIQ($C$2, "IQ_DO_CF",P$6,$F$2,,,Ccy,Conv)</f>
        <v>0</v>
      </c>
      <c r="O202" s="198"/>
      <c r="P202" s="198"/>
      <c r="Q202" s="198"/>
      <c r="R202" s="198"/>
      <c r="S202" s="198"/>
      <c r="T202" s="205"/>
      <c r="U202" s="205"/>
      <c r="V202" s="205"/>
      <c r="W202" s="198"/>
      <c r="X202" s="198"/>
      <c r="Y202" s="198"/>
      <c r="Z202" s="198"/>
      <c r="AA202" s="198"/>
      <c r="AB202" s="198"/>
      <c r="AC202" s="198"/>
      <c r="AD202" s="198"/>
      <c r="AE202" s="198"/>
      <c r="AF202" s="198"/>
      <c r="AG202" s="198"/>
      <c r="AH202" s="198"/>
      <c r="AI202" s="198"/>
      <c r="AJ202" s="198"/>
      <c r="AK202" s="198"/>
      <c r="AL202" s="198"/>
      <c r="AM202" s="198"/>
      <c r="AN202" s="198"/>
      <c r="AO202" s="198"/>
      <c r="AP202" s="198"/>
      <c r="AQ202" s="198"/>
      <c r="AR202" s="198"/>
      <c r="AS202" s="198"/>
      <c r="AT202" s="198"/>
      <c r="AU202" s="198"/>
      <c r="AV202" s="198"/>
      <c r="AW202" s="198"/>
      <c r="AX202" s="198"/>
      <c r="AY202" s="198"/>
      <c r="AZ202" s="198"/>
      <c r="BA202" s="198"/>
      <c r="BB202" s="198"/>
      <c r="BC202" s="198"/>
      <c r="BD202" s="198"/>
      <c r="BE202" s="198"/>
      <c r="BF202" s="198"/>
      <c r="BG202" s="198"/>
      <c r="BH202" s="198"/>
      <c r="BI202" s="198"/>
      <c r="BJ202" s="198"/>
      <c r="BK202" s="198"/>
      <c r="BL202" s="198"/>
      <c r="BM202" s="198"/>
      <c r="BN202" s="198"/>
      <c r="BO202" s="198"/>
      <c r="BP202" s="198"/>
      <c r="BQ202" s="198"/>
      <c r="BR202" s="198"/>
      <c r="BS202" s="198"/>
      <c r="BT202" s="198"/>
      <c r="BU202" s="198"/>
      <c r="BV202" s="198"/>
      <c r="BW202" s="198"/>
      <c r="BX202" s="198"/>
    </row>
    <row r="203" spans="1:76" x14ac:dyDescent="0.25">
      <c r="A203" s="2" t="str">
        <f>'Language Index'!A225</f>
        <v>Other Operating Activities</v>
      </c>
      <c r="B203" s="18">
        <f>_xll.ciqfunctions.udf.CIQ($C$2, "IQ_OTHER_OPER_ACT",D$6,$F$2,,,Ccy,Conv)</f>
        <v>-238</v>
      </c>
      <c r="C203" s="18">
        <f>_xll.ciqfunctions.udf.CIQ($C$2, "IQ_OTHER_OPER_ACT",E$6,$F$2,,,Ccy,Conv)</f>
        <v>1386</v>
      </c>
      <c r="D203" s="18">
        <f>_xll.ciqfunctions.udf.CIQ($C$2, "IQ_OTHER_OPER_ACT",F$6,$F$2,,,Ccy,Conv)</f>
        <v>-1132</v>
      </c>
      <c r="E203" s="18">
        <f>_xll.ciqfunctions.udf.CIQ($C$2, "IQ_OTHER_OPER_ACT",G$6,$F$2,,,Ccy,Conv)</f>
        <v>-931</v>
      </c>
      <c r="F203" s="18">
        <f>_xll.ciqfunctions.udf.CIQ($C$2, "IQ_OTHER_OPER_ACT",H$6,$F$2,,,Ccy,Conv)</f>
        <v>852</v>
      </c>
      <c r="G203" s="18">
        <f>_xll.ciqfunctions.udf.CIQ($C$2, "IQ_OTHER_OPER_ACT",I$6,$F$2,,,Ccy,Conv)</f>
        <v>-1528</v>
      </c>
      <c r="H203" s="18">
        <f>_xll.ciqfunctions.udf.CIQ($C$2, "IQ_OTHER_OPER_ACT",J$6,$F$2,,,Ccy,Conv)</f>
        <v>-3204</v>
      </c>
      <c r="I203" s="18">
        <f>_xll.ciqfunctions.udf.CIQ($C$2, "IQ_OTHER_OPER_ACT",K$6,$F$2,,,Ccy,Conv)</f>
        <v>-2001</v>
      </c>
      <c r="J203" s="18">
        <f>_xll.ciqfunctions.udf.CIQ($C$2, "IQ_OTHER_OPER_ACT",L$6,$F$2,,,Ccy,Conv)</f>
        <v>3168</v>
      </c>
      <c r="K203" s="18">
        <f>_xll.ciqfunctions.udf.CIQ($C$2, "IQ_OTHER_OPER_ACT",M$6,$F$2,,,Ccy,Conv)</f>
        <v>-1114</v>
      </c>
      <c r="L203" s="18">
        <f>_xll.ciqfunctions.udf.CIQ($C$2, "IQ_OTHER_OPER_ACT",N$6,$F$2,,,Ccy,Conv)</f>
        <v>783</v>
      </c>
      <c r="M203" s="18"/>
      <c r="N203" s="18">
        <f>_xll.ciqfunctions.udf.CIQ($C$2, "IQ_OTHER_OPER_ACT",P$6,$F$2,,,Ccy,Conv)</f>
        <v>783</v>
      </c>
      <c r="O203" s="198"/>
      <c r="P203" s="198"/>
      <c r="Q203" s="198"/>
      <c r="R203" s="198"/>
      <c r="S203" s="198"/>
      <c r="T203" s="205"/>
      <c r="U203" s="205"/>
      <c r="V203" s="205"/>
      <c r="W203" s="198"/>
      <c r="X203" s="198"/>
      <c r="Y203" s="198"/>
      <c r="Z203" s="198"/>
      <c r="AA203" s="198"/>
      <c r="AB203" s="198"/>
      <c r="AC203" s="198"/>
      <c r="AD203" s="198"/>
      <c r="AE203" s="198"/>
      <c r="AF203" s="198"/>
      <c r="AG203" s="198"/>
      <c r="AH203" s="198"/>
      <c r="AI203" s="198"/>
      <c r="AJ203" s="198"/>
      <c r="AK203" s="198"/>
      <c r="AL203" s="198"/>
      <c r="AM203" s="198"/>
      <c r="AN203" s="198"/>
      <c r="AO203" s="198"/>
      <c r="AP203" s="198"/>
      <c r="AQ203" s="198"/>
      <c r="AR203" s="198"/>
      <c r="AS203" s="198"/>
      <c r="AT203" s="198"/>
      <c r="AU203" s="198"/>
      <c r="AV203" s="198"/>
      <c r="AW203" s="198"/>
      <c r="AX203" s="198"/>
      <c r="AY203" s="198"/>
      <c r="AZ203" s="198"/>
      <c r="BA203" s="198"/>
      <c r="BB203" s="198"/>
      <c r="BC203" s="198"/>
      <c r="BD203" s="198"/>
      <c r="BE203" s="198"/>
      <c r="BF203" s="198"/>
      <c r="BG203" s="198"/>
      <c r="BH203" s="198"/>
      <c r="BI203" s="198"/>
      <c r="BJ203" s="198"/>
      <c r="BK203" s="198"/>
      <c r="BL203" s="198"/>
      <c r="BM203" s="198"/>
      <c r="BN203" s="198"/>
      <c r="BO203" s="198"/>
      <c r="BP203" s="198"/>
      <c r="BQ203" s="198"/>
      <c r="BR203" s="198"/>
      <c r="BS203" s="198"/>
      <c r="BT203" s="198"/>
      <c r="BU203" s="198"/>
      <c r="BV203" s="198"/>
      <c r="BW203" s="198"/>
      <c r="BX203" s="198"/>
    </row>
    <row r="204" spans="1:76" x14ac:dyDescent="0.25">
      <c r="A204" s="2" t="str">
        <f>'Language Index'!A226</f>
        <v>Change in Trad. Asset Securities</v>
      </c>
      <c r="B204" s="18">
        <f>_xll.ciqfunctions.udf.CIQ($C$2, "IQ_CHANGE_TRADING_ASSETS",D$6,$F$2,,,Ccy,Conv)</f>
        <v>0</v>
      </c>
      <c r="C204" s="18">
        <f>_xll.ciqfunctions.udf.CIQ($C$2, "IQ_CHANGE_TRADING_ASSETS",E$6,$F$2,,,Ccy,Conv)</f>
        <v>0</v>
      </c>
      <c r="D204" s="18">
        <f>_xll.ciqfunctions.udf.CIQ($C$2, "IQ_CHANGE_TRADING_ASSETS",F$6,$F$2,,,Ccy,Conv)</f>
        <v>0</v>
      </c>
      <c r="E204" s="18">
        <f>_xll.ciqfunctions.udf.CIQ($C$2, "IQ_CHANGE_TRADING_ASSETS",G$6,$F$2,,,Ccy,Conv)</f>
        <v>0</v>
      </c>
      <c r="F204" s="18">
        <f>_xll.ciqfunctions.udf.CIQ($C$2, "IQ_CHANGE_TRADING_ASSETS",H$6,$F$2,,,Ccy,Conv)</f>
        <v>0</v>
      </c>
      <c r="G204" s="18">
        <f>_xll.ciqfunctions.udf.CIQ($C$2, "IQ_CHANGE_TRADING_ASSETS",I$6,$F$2,,,Ccy,Conv)</f>
        <v>0</v>
      </c>
      <c r="H204" s="18">
        <f>_xll.ciqfunctions.udf.CIQ($C$2, "IQ_CHANGE_TRADING_ASSETS",J$6,$F$2,,,Ccy,Conv)</f>
        <v>0</v>
      </c>
      <c r="I204" s="18">
        <f>_xll.ciqfunctions.udf.CIQ($C$2, "IQ_CHANGE_TRADING_ASSETS",K$6,$F$2,,,Ccy,Conv)</f>
        <v>0</v>
      </c>
      <c r="J204" s="18">
        <f>_xll.ciqfunctions.udf.CIQ($C$2, "IQ_CHANGE_TRADING_ASSETS",L$6,$F$2,,,Ccy,Conv)</f>
        <v>0</v>
      </c>
      <c r="K204" s="18">
        <f>_xll.ciqfunctions.udf.CIQ($C$2, "IQ_CHANGE_TRADING_ASSETS",M$6,$F$2,,,Ccy,Conv)</f>
        <v>0</v>
      </c>
      <c r="L204" s="18">
        <f>_xll.ciqfunctions.udf.CIQ($C$2, "IQ_CHANGE_TRADING_ASSETS",N$6,$F$2,,,Ccy,Conv)</f>
        <v>0</v>
      </c>
      <c r="M204" s="18"/>
      <c r="N204" s="18">
        <f>_xll.ciqfunctions.udf.CIQ($C$2, "IQ_CHANGE_TRADING_ASSETS",P$6,$F$2,,,Ccy,Conv)</f>
        <v>0</v>
      </c>
      <c r="O204" s="198"/>
      <c r="P204" s="198"/>
      <c r="Q204" s="198"/>
      <c r="R204" s="198"/>
      <c r="S204" s="198"/>
      <c r="T204" s="205"/>
      <c r="U204" s="205"/>
      <c r="V204" s="205"/>
      <c r="W204" s="198"/>
      <c r="X204" s="198"/>
      <c r="Y204" s="198"/>
      <c r="Z204" s="198"/>
      <c r="AA204" s="198"/>
      <c r="AB204" s="198"/>
      <c r="AC204" s="198"/>
      <c r="AD204" s="198"/>
      <c r="AE204" s="198"/>
      <c r="AF204" s="198"/>
      <c r="AG204" s="198"/>
      <c r="AH204" s="198"/>
      <c r="AI204" s="198"/>
      <c r="AJ204" s="198"/>
      <c r="AK204" s="198"/>
      <c r="AL204" s="198"/>
      <c r="AM204" s="198"/>
      <c r="AN204" s="198"/>
      <c r="AO204" s="198"/>
      <c r="AP204" s="198"/>
      <c r="AQ204" s="198"/>
      <c r="AR204" s="198"/>
      <c r="AS204" s="198"/>
      <c r="AT204" s="198"/>
      <c r="AU204" s="198"/>
      <c r="AV204" s="198"/>
      <c r="AW204" s="198"/>
      <c r="AX204" s="198"/>
      <c r="AY204" s="198"/>
      <c r="AZ204" s="198"/>
      <c r="BA204" s="198"/>
      <c r="BB204" s="198"/>
      <c r="BC204" s="198"/>
      <c r="BD204" s="198"/>
      <c r="BE204" s="198"/>
      <c r="BF204" s="198"/>
      <c r="BG204" s="198"/>
      <c r="BH204" s="198"/>
      <c r="BI204" s="198"/>
      <c r="BJ204" s="198"/>
      <c r="BK204" s="198"/>
      <c r="BL204" s="198"/>
      <c r="BM204" s="198"/>
      <c r="BN204" s="198"/>
      <c r="BO204" s="198"/>
      <c r="BP204" s="198"/>
      <c r="BQ204" s="198"/>
      <c r="BR204" s="198"/>
      <c r="BS204" s="198"/>
      <c r="BT204" s="198"/>
      <c r="BU204" s="198"/>
      <c r="BV204" s="198"/>
      <c r="BW204" s="198"/>
      <c r="BX204" s="198"/>
    </row>
    <row r="205" spans="1:76" x14ac:dyDescent="0.25">
      <c r="A205" s="2" t="str">
        <f>'Language Index'!A227</f>
        <v>Change in Acc. Receivable</v>
      </c>
      <c r="B205" s="18">
        <f>_xll.ciqfunctions.udf.CIQ($C$2, "IQ_CHANGE_AR",D$6,$F$2,,,Ccy,Conv)</f>
        <v>1270</v>
      </c>
      <c r="C205" s="18">
        <f>_xll.ciqfunctions.udf.CIQ($C$2, "IQ_CHANGE_AR",E$6,$F$2,,,Ccy,Conv)</f>
        <v>812</v>
      </c>
      <c r="D205" s="18">
        <f>_xll.ciqfunctions.udf.CIQ($C$2, "IQ_CHANGE_AR",F$6,$F$2,,,Ccy,Conv)</f>
        <v>712</v>
      </c>
      <c r="E205" s="18">
        <f>_xll.ciqfunctions.udf.CIQ($C$2, "IQ_CHANGE_AR",G$6,$F$2,,,Ccy,Conv)</f>
        <v>1297</v>
      </c>
      <c r="F205" s="18">
        <f>_xll.ciqfunctions.udf.CIQ($C$2, "IQ_CHANGE_AR",H$6,$F$2,,,Ccy,Conv)</f>
        <v>1006</v>
      </c>
      <c r="G205" s="18">
        <f>_xll.ciqfunctions.udf.CIQ($C$2, "IQ_CHANGE_AR",I$6,$F$2,,,Ccy,Conv)</f>
        <v>502</v>
      </c>
      <c r="H205" s="18">
        <f>_xll.ciqfunctions.udf.CIQ($C$2, "IQ_CHANGE_AR",J$6,$F$2,,,Ccy,Conv)</f>
        <v>5297</v>
      </c>
      <c r="I205" s="18">
        <f>_xll.ciqfunctions.udf.CIQ($C$2, "IQ_CHANGE_AR",K$6,$F$2,,,Ccy,Conv)</f>
        <v>1372</v>
      </c>
      <c r="J205" s="18">
        <f>_xll.ciqfunctions.udf.CIQ($C$2, "IQ_CHANGE_AR",L$6,$F$2,,,Ccy,Conv)</f>
        <v>-539</v>
      </c>
      <c r="K205" s="18">
        <f>_xll.ciqfunctions.udf.CIQ($C$2, "IQ_CHANGE_AR",M$6,$F$2,,,Ccy,Conv)</f>
        <v>725</v>
      </c>
      <c r="L205" s="18">
        <f>_xll.ciqfunctions.udf.CIQ($C$2, "IQ_CHANGE_AR",N$6,$F$2,,,Ccy,Conv)</f>
        <v>-374</v>
      </c>
      <c r="M205" s="18"/>
      <c r="N205" s="18">
        <f>_xll.ciqfunctions.udf.CIQ($C$2, "IQ_CHANGE_AR",P$6,$F$2,,,Ccy,Conv)</f>
        <v>-374</v>
      </c>
      <c r="O205" s="198"/>
      <c r="P205" s="198"/>
      <c r="Q205" s="198"/>
      <c r="R205" s="198"/>
      <c r="S205" s="198"/>
      <c r="T205" s="205"/>
      <c r="U205" s="205"/>
      <c r="V205" s="205"/>
      <c r="W205" s="198"/>
      <c r="X205" s="198"/>
      <c r="Y205" s="198"/>
      <c r="Z205" s="198"/>
      <c r="AA205" s="198"/>
      <c r="AB205" s="198"/>
      <c r="AC205" s="198"/>
      <c r="AD205" s="198"/>
      <c r="AE205" s="198"/>
      <c r="AF205" s="198"/>
      <c r="AG205" s="198"/>
      <c r="AH205" s="198"/>
      <c r="AI205" s="198"/>
      <c r="AJ205" s="198"/>
      <c r="AK205" s="198"/>
      <c r="AL205" s="198"/>
      <c r="AM205" s="198"/>
      <c r="AN205" s="198"/>
      <c r="AO205" s="198"/>
      <c r="AP205" s="198"/>
      <c r="AQ205" s="198"/>
      <c r="AR205" s="198"/>
      <c r="AS205" s="198"/>
      <c r="AT205" s="198"/>
      <c r="AU205" s="198"/>
      <c r="AV205" s="198"/>
      <c r="AW205" s="198"/>
      <c r="AX205" s="198"/>
      <c r="AY205" s="198"/>
      <c r="AZ205" s="198"/>
      <c r="BA205" s="198"/>
      <c r="BB205" s="198"/>
      <c r="BC205" s="198"/>
      <c r="BD205" s="198"/>
      <c r="BE205" s="198"/>
      <c r="BF205" s="198"/>
      <c r="BG205" s="198"/>
      <c r="BH205" s="198"/>
      <c r="BI205" s="198"/>
      <c r="BJ205" s="198"/>
      <c r="BK205" s="198"/>
      <c r="BL205" s="198"/>
      <c r="BM205" s="198"/>
      <c r="BN205" s="198"/>
      <c r="BO205" s="198"/>
      <c r="BP205" s="198"/>
      <c r="BQ205" s="198"/>
      <c r="BR205" s="198"/>
      <c r="BS205" s="198"/>
      <c r="BT205" s="198"/>
      <c r="BU205" s="198"/>
      <c r="BV205" s="198"/>
      <c r="BW205" s="198"/>
      <c r="BX205" s="198"/>
    </row>
    <row r="206" spans="1:76" x14ac:dyDescent="0.25">
      <c r="A206" s="2" t="str">
        <f>'Language Index'!A228</f>
        <v>Change In Inventories</v>
      </c>
      <c r="B206" s="18">
        <f>_xll.ciqfunctions.udf.CIQ($C$2, "IQ_CHANGE_INVENTORY",D$6,$F$2,,,Ccy,Conv)</f>
        <v>-39</v>
      </c>
      <c r="C206" s="18">
        <f>_xll.ciqfunctions.udf.CIQ($C$2, "IQ_CHANGE_INVENTORY",E$6,$F$2,,,Ccy,Conv)</f>
        <v>133</v>
      </c>
      <c r="D206" s="18">
        <f>_xll.ciqfunctions.udf.CIQ($C$2, "IQ_CHANGE_INVENTORY",F$6,$F$2,,,Ccy,Conv)</f>
        <v>-14</v>
      </c>
      <c r="E206" s="18">
        <f>_xll.ciqfunctions.udf.CIQ($C$2, "IQ_CHANGE_INVENTORY",G$6,$F$2,,,Ccy,Conv)</f>
        <v>18</v>
      </c>
      <c r="F206" s="18">
        <f>_xll.ciqfunctions.udf.CIQ($C$2, "IQ_CHANGE_INVENTORY",H$6,$F$2,,,Ccy,Conv)</f>
        <v>-127</v>
      </c>
      <c r="G206" s="18">
        <f>_xll.ciqfunctions.udf.CIQ($C$2, "IQ_CHANGE_INVENTORY",I$6,$F$2,,,Ccy,Conv)</f>
        <v>67</v>
      </c>
      <c r="H206" s="18">
        <f>_xll.ciqfunctions.udf.CIQ($C$2, "IQ_CHANGE_INVENTORY",J$6,$F$2,,,Ccy,Conv)</f>
        <v>-209</v>
      </c>
      <c r="I206" s="18">
        <f>_xll.ciqfunctions.udf.CIQ($C$2, "IQ_CHANGE_INVENTORY",K$6,$F$2,,,Ccy,Conv)</f>
        <v>138</v>
      </c>
      <c r="J206" s="18">
        <f>_xll.ciqfunctions.udf.CIQ($C$2, "IQ_CHANGE_INVENTORY",L$6,$F$2,,,Ccy,Conv)</f>
        <v>71</v>
      </c>
      <c r="K206" s="18">
        <f>_xll.ciqfunctions.udf.CIQ($C$2, "IQ_CHANGE_INVENTORY",M$6,$F$2,,,Ccy,Conv)</f>
        <v>390</v>
      </c>
      <c r="L206" s="18">
        <f>_xll.ciqfunctions.udf.CIQ($C$2, "IQ_CHANGE_INVENTORY",N$6,$F$2,,,Ccy,Conv)</f>
        <v>-166</v>
      </c>
      <c r="M206" s="18"/>
      <c r="N206" s="18">
        <f>_xll.ciqfunctions.udf.CIQ($C$2, "IQ_CHANGE_INVENTORY",P$6,$F$2,,,Ccy,Conv)</f>
        <v>-166</v>
      </c>
      <c r="O206" s="198"/>
      <c r="P206" s="198"/>
      <c r="Q206" s="198"/>
      <c r="R206" s="198"/>
      <c r="S206" s="198"/>
      <c r="T206" s="205"/>
      <c r="U206" s="205"/>
      <c r="V206" s="205"/>
      <c r="W206" s="198"/>
      <c r="X206" s="198"/>
      <c r="Y206" s="198"/>
      <c r="Z206" s="198"/>
      <c r="AA206" s="198"/>
      <c r="AB206" s="198"/>
      <c r="AC206" s="198"/>
      <c r="AD206" s="198"/>
      <c r="AE206" s="198"/>
      <c r="AF206" s="198"/>
      <c r="AG206" s="198"/>
      <c r="AH206" s="198"/>
      <c r="AI206" s="198"/>
      <c r="AJ206" s="198"/>
      <c r="AK206" s="198"/>
      <c r="AL206" s="198"/>
      <c r="AM206" s="198"/>
      <c r="AN206" s="198"/>
      <c r="AO206" s="198"/>
      <c r="AP206" s="198"/>
      <c r="AQ206" s="198"/>
      <c r="AR206" s="198"/>
      <c r="AS206" s="198"/>
      <c r="AT206" s="198"/>
      <c r="AU206" s="198"/>
      <c r="AV206" s="198"/>
      <c r="AW206" s="198"/>
      <c r="AX206" s="198"/>
      <c r="AY206" s="198"/>
      <c r="AZ206" s="198"/>
      <c r="BA206" s="198"/>
      <c r="BB206" s="198"/>
      <c r="BC206" s="198"/>
      <c r="BD206" s="198"/>
      <c r="BE206" s="198"/>
      <c r="BF206" s="198"/>
      <c r="BG206" s="198"/>
      <c r="BH206" s="198"/>
      <c r="BI206" s="198"/>
      <c r="BJ206" s="198"/>
      <c r="BK206" s="198"/>
      <c r="BL206" s="198"/>
      <c r="BM206" s="198"/>
      <c r="BN206" s="198"/>
      <c r="BO206" s="198"/>
      <c r="BP206" s="198"/>
      <c r="BQ206" s="198"/>
      <c r="BR206" s="198"/>
      <c r="BS206" s="198"/>
      <c r="BT206" s="198"/>
      <c r="BU206" s="198"/>
      <c r="BV206" s="198"/>
      <c r="BW206" s="198"/>
      <c r="BX206" s="198"/>
    </row>
    <row r="207" spans="1:76" x14ac:dyDescent="0.25">
      <c r="A207" s="2" t="str">
        <f>'Language Index'!A229</f>
        <v>Change in Acc. Payable</v>
      </c>
      <c r="B207" s="18">
        <f>_xll.ciqfunctions.udf.CIQ($C$2, "IQ_CHANGE_AP",D$6,$F$2,,,Ccy,Conv)</f>
        <v>-456</v>
      </c>
      <c r="C207" s="18">
        <f>_xll.ciqfunctions.udf.CIQ($C$2, "IQ_CHANGE_AP",E$6,$F$2,,,Ccy,Conv)</f>
        <v>81</v>
      </c>
      <c r="D207" s="18">
        <f>_xll.ciqfunctions.udf.CIQ($C$2, "IQ_CHANGE_AP",F$6,$F$2,,,Ccy,Conv)</f>
        <v>197</v>
      </c>
      <c r="E207" s="18">
        <f>_xll.ciqfunctions.udf.CIQ($C$2, "IQ_CHANGE_AP",G$6,$F$2,,,Ccy,Conv)</f>
        <v>47</v>
      </c>
      <c r="F207" s="18">
        <f>_xll.ciqfunctions.udf.CIQ($C$2, "IQ_CHANGE_AP",H$6,$F$2,,,Ccy,Conv)</f>
        <v>126</v>
      </c>
      <c r="G207" s="18">
        <f>_xll.ciqfunctions.udf.CIQ($C$2, "IQ_CHANGE_AP",I$6,$F$2,,,Ccy,Conv)</f>
        <v>-503</v>
      </c>
      <c r="H207" s="18">
        <f>_xll.ciqfunctions.udf.CIQ($C$2, "IQ_CHANGE_AP",J$6,$F$2,,,Ccy,Conv)</f>
        <v>138</v>
      </c>
      <c r="I207" s="18">
        <f>_xll.ciqfunctions.udf.CIQ($C$2, "IQ_CHANGE_AP",K$6,$F$2,,,Ccy,Conv)</f>
        <v>85</v>
      </c>
      <c r="J207" s="18">
        <f>_xll.ciqfunctions.udf.CIQ($C$2, "IQ_CHANGE_AP",L$6,$F$2,,,Ccy,Conv)</f>
        <v>213</v>
      </c>
      <c r="K207" s="18">
        <f>_xll.ciqfunctions.udf.CIQ($C$2, "IQ_CHANGE_AP",M$6,$F$2,,,Ccy,Conv)</f>
        <v>65</v>
      </c>
      <c r="L207" s="18">
        <f>_xll.ciqfunctions.udf.CIQ($C$2, "IQ_CHANGE_AP",N$6,$F$2,,,Ccy,Conv)</f>
        <v>-13</v>
      </c>
      <c r="M207" s="18"/>
      <c r="N207" s="18">
        <f>_xll.ciqfunctions.udf.CIQ($C$2, "IQ_CHANGE_AP",P$6,$F$2,,,Ccy,Conv)</f>
        <v>-13</v>
      </c>
      <c r="O207" s="198"/>
      <c r="P207" s="198"/>
      <c r="Q207" s="198"/>
      <c r="R207" s="198"/>
      <c r="S207" s="198"/>
      <c r="T207" s="205"/>
      <c r="U207" s="205"/>
      <c r="V207" s="205"/>
      <c r="W207" s="198"/>
      <c r="X207" s="198"/>
      <c r="Y207" s="198"/>
      <c r="Z207" s="198"/>
      <c r="AA207" s="198"/>
      <c r="AB207" s="198"/>
      <c r="AC207" s="198"/>
      <c r="AD207" s="198"/>
      <c r="AE207" s="198"/>
      <c r="AF207" s="198"/>
      <c r="AG207" s="198"/>
      <c r="AH207" s="198"/>
      <c r="AI207" s="198"/>
      <c r="AJ207" s="198"/>
      <c r="AK207" s="198"/>
      <c r="AL207" s="198"/>
      <c r="AM207" s="198"/>
      <c r="AN207" s="198"/>
      <c r="AO207" s="198"/>
      <c r="AP207" s="198"/>
      <c r="AQ207" s="198"/>
      <c r="AR207" s="198"/>
      <c r="AS207" s="198"/>
      <c r="AT207" s="198"/>
      <c r="AU207" s="198"/>
      <c r="AV207" s="198"/>
      <c r="AW207" s="198"/>
      <c r="AX207" s="198"/>
      <c r="AY207" s="198"/>
      <c r="AZ207" s="198"/>
      <c r="BA207" s="198"/>
      <c r="BB207" s="198"/>
      <c r="BC207" s="198"/>
      <c r="BD207" s="198"/>
      <c r="BE207" s="198"/>
      <c r="BF207" s="198"/>
      <c r="BG207" s="198"/>
      <c r="BH207" s="198"/>
      <c r="BI207" s="198"/>
      <c r="BJ207" s="198"/>
      <c r="BK207" s="198"/>
      <c r="BL207" s="198"/>
      <c r="BM207" s="198"/>
      <c r="BN207" s="198"/>
      <c r="BO207" s="198"/>
      <c r="BP207" s="198"/>
      <c r="BQ207" s="198"/>
      <c r="BR207" s="198"/>
      <c r="BS207" s="198"/>
      <c r="BT207" s="198"/>
      <c r="BU207" s="198"/>
      <c r="BV207" s="198"/>
      <c r="BW207" s="198"/>
      <c r="BX207" s="198"/>
    </row>
    <row r="208" spans="1:76" x14ac:dyDescent="0.25">
      <c r="A208" s="2" t="str">
        <f>'Language Index'!A230</f>
        <v>Change in Unearned Rev.</v>
      </c>
      <c r="B208" s="18">
        <f>_xll.ciqfunctions.udf.CIQ($C$2, "IQ_CHANGE_UNEARN_REV",D$6,$F$2,,,Ccy,Conv)</f>
        <v>0</v>
      </c>
      <c r="C208" s="18">
        <f>_xll.ciqfunctions.udf.CIQ($C$2, "IQ_CHANGE_UNEARN_REV",E$6,$F$2,,,Ccy,Conv)</f>
        <v>0</v>
      </c>
      <c r="D208" s="18">
        <f>_xll.ciqfunctions.udf.CIQ($C$2, "IQ_CHANGE_UNEARN_REV",F$6,$F$2,,,Ccy,Conv)</f>
        <v>0</v>
      </c>
      <c r="E208" s="18">
        <f>_xll.ciqfunctions.udf.CIQ($C$2, "IQ_CHANGE_UNEARN_REV",G$6,$F$2,,,Ccy,Conv)</f>
        <v>0</v>
      </c>
      <c r="F208" s="18">
        <f>_xll.ciqfunctions.udf.CIQ($C$2, "IQ_CHANGE_UNEARN_REV",H$6,$F$2,,,Ccy,Conv)</f>
        <v>0</v>
      </c>
      <c r="G208" s="18">
        <f>_xll.ciqfunctions.udf.CIQ($C$2, "IQ_CHANGE_UNEARN_REV",I$6,$F$2,,,Ccy,Conv)</f>
        <v>0</v>
      </c>
      <c r="H208" s="18">
        <f>_xll.ciqfunctions.udf.CIQ($C$2, "IQ_CHANGE_UNEARN_REV",J$6,$F$2,,,Ccy,Conv)</f>
        <v>0</v>
      </c>
      <c r="I208" s="18">
        <f>_xll.ciqfunctions.udf.CIQ($C$2, "IQ_CHANGE_UNEARN_REV",K$6,$F$2,,,Ccy,Conv)</f>
        <v>0</v>
      </c>
      <c r="J208" s="18">
        <f>_xll.ciqfunctions.udf.CIQ($C$2, "IQ_CHANGE_UNEARN_REV",L$6,$F$2,,,Ccy,Conv)</f>
        <v>0</v>
      </c>
      <c r="K208" s="18">
        <f>_xll.ciqfunctions.udf.CIQ($C$2, "IQ_CHANGE_UNEARN_REV",M$6,$F$2,,,Ccy,Conv)</f>
        <v>0</v>
      </c>
      <c r="L208" s="18">
        <f>_xll.ciqfunctions.udf.CIQ($C$2, "IQ_CHANGE_UNEARN_REV",N$6,$F$2,,,Ccy,Conv)</f>
        <v>0</v>
      </c>
      <c r="M208" s="18"/>
      <c r="N208" s="18">
        <f>_xll.ciqfunctions.udf.CIQ($C$2, "IQ_CHANGE_UNEARN_REV",P$6,$F$2,,,Ccy,Conv)</f>
        <v>0</v>
      </c>
      <c r="O208" s="198"/>
      <c r="P208" s="198"/>
      <c r="Q208" s="198"/>
      <c r="R208" s="198"/>
      <c r="S208" s="198"/>
      <c r="T208" s="205"/>
      <c r="U208" s="205"/>
      <c r="V208" s="205"/>
      <c r="W208" s="198"/>
      <c r="X208" s="198"/>
      <c r="Y208" s="198"/>
      <c r="Z208" s="198"/>
      <c r="AA208" s="198"/>
      <c r="AB208" s="198"/>
      <c r="AC208" s="198"/>
      <c r="AD208" s="198"/>
      <c r="AE208" s="198"/>
      <c r="AF208" s="198"/>
      <c r="AG208" s="198"/>
      <c r="AH208" s="198"/>
      <c r="AI208" s="198"/>
      <c r="AJ208" s="198"/>
      <c r="AK208" s="198"/>
      <c r="AL208" s="198"/>
      <c r="AM208" s="198"/>
      <c r="AN208" s="198"/>
      <c r="AO208" s="198"/>
      <c r="AP208" s="198"/>
      <c r="AQ208" s="198"/>
      <c r="AR208" s="198"/>
      <c r="AS208" s="198"/>
      <c r="AT208" s="198"/>
      <c r="AU208" s="198"/>
      <c r="AV208" s="198"/>
      <c r="AW208" s="198"/>
      <c r="AX208" s="198"/>
      <c r="AY208" s="198"/>
      <c r="AZ208" s="198"/>
      <c r="BA208" s="198"/>
      <c r="BB208" s="198"/>
      <c r="BC208" s="198"/>
      <c r="BD208" s="198"/>
      <c r="BE208" s="198"/>
      <c r="BF208" s="198"/>
      <c r="BG208" s="198"/>
      <c r="BH208" s="198"/>
      <c r="BI208" s="198"/>
      <c r="BJ208" s="198"/>
      <c r="BK208" s="198"/>
      <c r="BL208" s="198"/>
      <c r="BM208" s="198"/>
      <c r="BN208" s="198"/>
      <c r="BO208" s="198"/>
      <c r="BP208" s="198"/>
      <c r="BQ208" s="198"/>
      <c r="BR208" s="198"/>
      <c r="BS208" s="198"/>
      <c r="BT208" s="198"/>
      <c r="BU208" s="198"/>
      <c r="BV208" s="198"/>
      <c r="BW208" s="198"/>
      <c r="BX208" s="198"/>
    </row>
    <row r="209" spans="1:76" x14ac:dyDescent="0.25">
      <c r="A209" s="2" t="str">
        <f>'Language Index'!A231</f>
        <v>Change in Inc. Taxes</v>
      </c>
      <c r="B209" s="18">
        <f>_xll.ciqfunctions.udf.CIQ($C$2, "IQ_CHANGE_INC_TAX",D$6,$F$2,,,Ccy,Conv)</f>
        <v>0</v>
      </c>
      <c r="C209" s="18">
        <f>_xll.ciqfunctions.udf.CIQ($C$2, "IQ_CHANGE_INC_TAX",E$6,$F$2,,,Ccy,Conv)</f>
        <v>0</v>
      </c>
      <c r="D209" s="18">
        <f>_xll.ciqfunctions.udf.CIQ($C$2, "IQ_CHANGE_INC_TAX",F$6,$F$2,,,Ccy,Conv)</f>
        <v>0</v>
      </c>
      <c r="E209" s="18">
        <f>_xll.ciqfunctions.udf.CIQ($C$2, "IQ_CHANGE_INC_TAX",G$6,$F$2,,,Ccy,Conv)</f>
        <v>0</v>
      </c>
      <c r="F209" s="18">
        <f>_xll.ciqfunctions.udf.CIQ($C$2, "IQ_CHANGE_INC_TAX",H$6,$F$2,,,Ccy,Conv)</f>
        <v>0</v>
      </c>
      <c r="G209" s="18">
        <f>_xll.ciqfunctions.udf.CIQ($C$2, "IQ_CHANGE_INC_TAX",I$6,$F$2,,,Ccy,Conv)</f>
        <v>0</v>
      </c>
      <c r="H209" s="18">
        <f>_xll.ciqfunctions.udf.CIQ($C$2, "IQ_CHANGE_INC_TAX",J$6,$F$2,,,Ccy,Conv)</f>
        <v>0</v>
      </c>
      <c r="I209" s="18">
        <f>_xll.ciqfunctions.udf.CIQ($C$2, "IQ_CHANGE_INC_TAX",K$6,$F$2,,,Ccy,Conv)</f>
        <v>0</v>
      </c>
      <c r="J209" s="18">
        <f>_xll.ciqfunctions.udf.CIQ($C$2, "IQ_CHANGE_INC_TAX",L$6,$F$2,,,Ccy,Conv)</f>
        <v>0</v>
      </c>
      <c r="K209" s="18">
        <f>_xll.ciqfunctions.udf.CIQ($C$2, "IQ_CHANGE_INC_TAX",M$6,$F$2,,,Ccy,Conv)</f>
        <v>0</v>
      </c>
      <c r="L209" s="18">
        <f>_xll.ciqfunctions.udf.CIQ($C$2, "IQ_CHANGE_INC_TAX",N$6,$F$2,,,Ccy,Conv)</f>
        <v>0</v>
      </c>
      <c r="M209" s="18"/>
      <c r="N209" s="18">
        <f>_xll.ciqfunctions.udf.CIQ($C$2, "IQ_CHANGE_INC_TAX",P$6,$F$2,,,Ccy,Conv)</f>
        <v>0</v>
      </c>
      <c r="O209" s="198"/>
      <c r="P209" s="198"/>
      <c r="Q209" s="198"/>
      <c r="R209" s="198"/>
      <c r="S209" s="198"/>
      <c r="T209" s="205"/>
      <c r="U209" s="205"/>
      <c r="V209" s="205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/>
      <c r="AU209" s="198"/>
      <c r="AV209" s="198"/>
      <c r="AW209" s="198"/>
      <c r="AX209" s="198"/>
      <c r="AY209" s="198"/>
      <c r="AZ209" s="198"/>
      <c r="BA209" s="198"/>
      <c r="BB209" s="198"/>
      <c r="BC209" s="198"/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</row>
    <row r="210" spans="1:76" x14ac:dyDescent="0.25">
      <c r="A210" s="2" t="str">
        <f>'Language Index'!A232</f>
        <v>Change in Def. Taxes</v>
      </c>
      <c r="B210" s="18">
        <f>_xll.ciqfunctions.udf.CIQ($C$2, "IQ_CHANGE_DEF_TAX",D$6,$F$2,,,Ccy,Conv)</f>
        <v>0</v>
      </c>
      <c r="C210" s="18">
        <f>_xll.ciqfunctions.udf.CIQ($C$2, "IQ_CHANGE_DEF_TAX",E$6,$F$2,,,Ccy,Conv)</f>
        <v>0</v>
      </c>
      <c r="D210" s="18">
        <f>_xll.ciqfunctions.udf.CIQ($C$2, "IQ_CHANGE_DEF_TAX",F$6,$F$2,,,Ccy,Conv)</f>
        <v>0</v>
      </c>
      <c r="E210" s="18">
        <f>_xll.ciqfunctions.udf.CIQ($C$2, "IQ_CHANGE_DEF_TAX",G$6,$F$2,,,Ccy,Conv)</f>
        <v>0</v>
      </c>
      <c r="F210" s="18">
        <f>_xll.ciqfunctions.udf.CIQ($C$2, "IQ_CHANGE_DEF_TAX",H$6,$F$2,,,Ccy,Conv)</f>
        <v>0</v>
      </c>
      <c r="G210" s="18">
        <f>_xll.ciqfunctions.udf.CIQ($C$2, "IQ_CHANGE_DEF_TAX",I$6,$F$2,,,Ccy,Conv)</f>
        <v>0</v>
      </c>
      <c r="H210" s="18">
        <f>_xll.ciqfunctions.udf.CIQ($C$2, "IQ_CHANGE_DEF_TAX",J$6,$F$2,,,Ccy,Conv)</f>
        <v>0</v>
      </c>
      <c r="I210" s="18">
        <f>_xll.ciqfunctions.udf.CIQ($C$2, "IQ_CHANGE_DEF_TAX",K$6,$F$2,,,Ccy,Conv)</f>
        <v>0</v>
      </c>
      <c r="J210" s="18">
        <f>_xll.ciqfunctions.udf.CIQ($C$2, "IQ_CHANGE_DEF_TAX",L$6,$F$2,,,Ccy,Conv)</f>
        <v>0</v>
      </c>
      <c r="K210" s="18">
        <f>_xll.ciqfunctions.udf.CIQ($C$2, "IQ_CHANGE_DEF_TAX",M$6,$F$2,,,Ccy,Conv)</f>
        <v>0</v>
      </c>
      <c r="L210" s="18">
        <f>_xll.ciqfunctions.udf.CIQ($C$2, "IQ_CHANGE_DEF_TAX",N$6,$F$2,,,Ccy,Conv)</f>
        <v>0</v>
      </c>
      <c r="M210" s="18"/>
      <c r="N210" s="18">
        <f>_xll.ciqfunctions.udf.CIQ($C$2, "IQ_CHANGE_DEF_TAX",P$6,$F$2,,,Ccy,Conv)</f>
        <v>0</v>
      </c>
      <c r="O210" s="198"/>
      <c r="P210" s="198"/>
      <c r="Q210" s="198"/>
      <c r="R210" s="198"/>
      <c r="S210" s="198"/>
      <c r="T210" s="205"/>
      <c r="U210" s="205"/>
      <c r="V210" s="205"/>
      <c r="W210" s="198"/>
      <c r="X210" s="198"/>
      <c r="Y210" s="198"/>
      <c r="Z210" s="198"/>
      <c r="AA210" s="198"/>
      <c r="AB210" s="198"/>
      <c r="AC210" s="198"/>
      <c r="AD210" s="198"/>
      <c r="AE210" s="198"/>
      <c r="AF210" s="198"/>
      <c r="AG210" s="198"/>
      <c r="AH210" s="198"/>
      <c r="AI210" s="198"/>
      <c r="AJ210" s="198"/>
      <c r="AK210" s="198"/>
      <c r="AL210" s="198"/>
      <c r="AM210" s="198"/>
      <c r="AN210" s="198"/>
      <c r="AO210" s="198"/>
      <c r="AP210" s="198"/>
      <c r="AQ210" s="198"/>
      <c r="AR210" s="198"/>
      <c r="AS210" s="198"/>
      <c r="AT210" s="198"/>
      <c r="AU210" s="198"/>
      <c r="AV210" s="198"/>
      <c r="AW210" s="198"/>
      <c r="AX210" s="198"/>
      <c r="AY210" s="198"/>
      <c r="AZ210" s="198"/>
      <c r="BA210" s="198"/>
      <c r="BB210" s="198"/>
      <c r="BC210" s="198"/>
      <c r="BD210" s="198"/>
      <c r="BE210" s="198"/>
      <c r="BF210" s="198"/>
      <c r="BG210" s="198"/>
      <c r="BH210" s="198"/>
      <c r="BI210" s="198"/>
      <c r="BJ210" s="198"/>
      <c r="BK210" s="198"/>
      <c r="BL210" s="198"/>
      <c r="BM210" s="198"/>
      <c r="BN210" s="198"/>
      <c r="BO210" s="198"/>
      <c r="BP210" s="198"/>
      <c r="BQ210" s="198"/>
      <c r="BR210" s="198"/>
      <c r="BS210" s="198"/>
      <c r="BT210" s="198"/>
      <c r="BU210" s="198"/>
      <c r="BV210" s="198"/>
      <c r="BW210" s="198"/>
      <c r="BX210" s="198"/>
    </row>
    <row r="211" spans="1:76" x14ac:dyDescent="0.25">
      <c r="A211" s="2" t="str">
        <f>'Language Index'!A233</f>
        <v>Change In Other Net Operating Assets</v>
      </c>
      <c r="B211" s="18">
        <f>_xll.ciqfunctions.udf.CIQ($C$2, "IQ_CHANGE_OTHER_NET_OPER_ASSETS",D$6,$F$2,,,Ccy,Conv)</f>
        <v>-2541</v>
      </c>
      <c r="C211" s="18">
        <f>_xll.ciqfunctions.udf.CIQ($C$2, "IQ_CHANGE_OTHER_NET_OPER_ASSETS",E$6,$F$2,,,Ccy,Conv)</f>
        <v>-3222</v>
      </c>
      <c r="D211" s="18">
        <f>_xll.ciqfunctions.udf.CIQ($C$2, "IQ_CHANGE_OTHER_NET_OPER_ASSETS",F$6,$F$2,,,Ccy,Conv)</f>
        <v>462</v>
      </c>
      <c r="E211" s="18">
        <f>_xll.ciqfunctions.udf.CIQ($C$2, "IQ_CHANGE_OTHER_NET_OPER_ASSETS",G$6,$F$2,,,Ccy,Conv)</f>
        <v>5451</v>
      </c>
      <c r="F211" s="18">
        <f>_xll.ciqfunctions.udf.CIQ($C$2, "IQ_CHANGE_OTHER_NET_OPER_ASSETS",H$6,$F$2,,,Ccy,Conv)</f>
        <v>-451</v>
      </c>
      <c r="G211" s="18">
        <f>_xll.ciqfunctions.udf.CIQ($C$2, "IQ_CHANGE_OTHER_NET_OPER_ASSETS",I$6,$F$2,,,Ccy,Conv)</f>
        <v>1159</v>
      </c>
      <c r="H211" s="18">
        <f>_xll.ciqfunctions.udf.CIQ($C$2, "IQ_CHANGE_OTHER_NET_OPER_ASSETS",J$6,$F$2,,,Ccy,Conv)</f>
        <v>3023</v>
      </c>
      <c r="I211" s="18">
        <f>_xll.ciqfunctions.udf.CIQ($C$2, "IQ_CHANGE_OTHER_NET_OPER_ASSETS",K$6,$F$2,,,Ccy,Conv)</f>
        <v>196</v>
      </c>
      <c r="J211" s="18">
        <f>_xll.ciqfunctions.udf.CIQ($C$2, "IQ_CHANGE_OTHER_NET_OPER_ASSETS",L$6,$F$2,,,Ccy,Conv)</f>
        <v>457</v>
      </c>
      <c r="K211" s="18">
        <f>_xll.ciqfunctions.udf.CIQ($C$2, "IQ_CHANGE_OTHER_NET_OPER_ASSETS",M$6,$F$2,,,Ccy,Conv)</f>
        <v>1004</v>
      </c>
      <c r="L211" s="18">
        <f>_xll.ciqfunctions.udf.CIQ($C$2, "IQ_CHANGE_OTHER_NET_OPER_ASSETS",N$6,$F$2,,,Ccy,Conv)</f>
        <v>1866</v>
      </c>
      <c r="M211" s="18"/>
      <c r="N211" s="18">
        <f>_xll.ciqfunctions.udf.CIQ($C$2, "IQ_CHANGE_OTHER_NET_OPER_ASSETS",P$6,$F$2,,,Ccy,Conv)</f>
        <v>1866</v>
      </c>
      <c r="O211" s="198"/>
      <c r="P211" s="198"/>
      <c r="Q211" s="198"/>
      <c r="R211" s="198"/>
      <c r="S211" s="198"/>
      <c r="T211" s="205"/>
      <c r="U211" s="205"/>
      <c r="V211" s="205"/>
      <c r="W211" s="198"/>
      <c r="X211" s="198"/>
      <c r="Y211" s="198"/>
      <c r="Z211" s="198"/>
      <c r="AA211" s="198"/>
      <c r="AB211" s="198"/>
      <c r="AC211" s="198"/>
      <c r="AD211" s="198"/>
      <c r="AE211" s="198"/>
      <c r="AF211" s="198"/>
      <c r="AG211" s="198"/>
      <c r="AH211" s="198"/>
      <c r="AI211" s="198"/>
      <c r="AJ211" s="198"/>
      <c r="AK211" s="198"/>
      <c r="AL211" s="198"/>
      <c r="AM211" s="198"/>
      <c r="AN211" s="198"/>
      <c r="AO211" s="198"/>
      <c r="AP211" s="198"/>
      <c r="AQ211" s="198"/>
      <c r="AR211" s="198"/>
      <c r="AS211" s="198"/>
      <c r="AT211" s="198"/>
      <c r="AU211" s="198"/>
      <c r="AV211" s="198"/>
      <c r="AW211" s="198"/>
      <c r="AX211" s="198"/>
      <c r="AY211" s="198"/>
      <c r="AZ211" s="198"/>
      <c r="BA211" s="198"/>
      <c r="BB211" s="198"/>
      <c r="BC211" s="198"/>
      <c r="BD211" s="198"/>
      <c r="BE211" s="198"/>
      <c r="BF211" s="198"/>
      <c r="BG211" s="198"/>
      <c r="BH211" s="198"/>
      <c r="BI211" s="198"/>
      <c r="BJ211" s="198"/>
      <c r="BK211" s="198"/>
      <c r="BL211" s="198"/>
      <c r="BM211" s="198"/>
      <c r="BN211" s="198"/>
      <c r="BO211" s="198"/>
      <c r="BP211" s="198"/>
      <c r="BQ211" s="198"/>
      <c r="BR211" s="198"/>
      <c r="BS211" s="198"/>
      <c r="BT211" s="198"/>
      <c r="BU211" s="198"/>
      <c r="BV211" s="198"/>
      <c r="BW211" s="198"/>
      <c r="BX211" s="198"/>
    </row>
    <row r="212" spans="1:76" ht="13.8" thickBot="1" x14ac:dyDescent="0.3">
      <c r="A212" s="19" t="str">
        <f>'Language Index'!A234</f>
        <v>Cash from Ops.</v>
      </c>
      <c r="B212" s="23">
        <f>_xll.ciqfunctions.udf.CIQ($C$2, "IQ_CASH_OPER",D$6,$F$2,,,Ccy,Conv)</f>
        <v>16868</v>
      </c>
      <c r="C212" s="23">
        <f>_xll.ciqfunctions.udf.CIQ($C$2, "IQ_CASH_OPER",E$6,$F$2,,,Ccy,Conv)</f>
        <v>17255</v>
      </c>
      <c r="D212" s="23">
        <f>_xll.ciqfunctions.udf.CIQ($C$2, "IQ_CASH_OPER",F$6,$F$2,,,Ccy,Conv)</f>
        <v>17084</v>
      </c>
      <c r="E212" s="23">
        <f>_xll.ciqfunctions.udf.CIQ($C$2, "IQ_CASH_OPER",G$6,$F$2,,,Ccy,Conv)</f>
        <v>16724</v>
      </c>
      <c r="F212" s="23">
        <f>_xll.ciqfunctions.udf.CIQ($C$2, "IQ_CASH_OPER",H$6,$F$2,,,Ccy,Conv)</f>
        <v>15247</v>
      </c>
      <c r="G212" s="23">
        <f>_xll.ciqfunctions.udf.CIQ($C$2, "IQ_CASH_OPER",I$6,$F$2,,,Ccy,Conv)</f>
        <v>14770</v>
      </c>
      <c r="H212" s="23">
        <f>_xll.ciqfunctions.udf.CIQ($C$2, "IQ_CASH_OPER",J$6,$F$2,,,Ccy,Conv)</f>
        <v>18197</v>
      </c>
      <c r="I212" s="23">
        <f>_xll.ciqfunctions.udf.CIQ($C$2, "IQ_CASH_OPER",K$6,$F$2,,,Ccy,Conv)</f>
        <v>12796</v>
      </c>
      <c r="J212" s="23">
        <f>_xll.ciqfunctions.udf.CIQ($C$2, "IQ_CASH_OPER",L$6,$F$2,,,Ccy,Conv)</f>
        <v>10435</v>
      </c>
      <c r="K212" s="23">
        <f>_xll.ciqfunctions.udf.CIQ($C$2, "IQ_CASH_OPER",M$6,$F$2,,,Ccy,Conv)</f>
        <v>13931</v>
      </c>
      <c r="L212" s="23">
        <f>_xll.ciqfunctions.udf.CIQ($C$2, "IQ_CASH_OPER",N$6,$F$2,,,Ccy,Conv)</f>
        <v>13445</v>
      </c>
      <c r="M212" s="21"/>
      <c r="N212" s="23">
        <f>_xll.ciqfunctions.udf.CIQ($C$2, "IQ_CASH_OPER",P$6,$F$2,,,Ccy,Conv)</f>
        <v>13445</v>
      </c>
      <c r="O212" s="198"/>
      <c r="P212" s="198"/>
      <c r="Q212" s="198"/>
      <c r="R212" s="198"/>
      <c r="S212" s="198"/>
      <c r="T212" s="205"/>
      <c r="U212" s="205"/>
      <c r="V212" s="205"/>
      <c r="W212" s="198"/>
      <c r="X212" s="198"/>
      <c r="Y212" s="198"/>
      <c r="Z212" s="198"/>
      <c r="AA212" s="198"/>
      <c r="AB212" s="198"/>
      <c r="AC212" s="198"/>
      <c r="AD212" s="198"/>
      <c r="AE212" s="198"/>
      <c r="AF212" s="198"/>
      <c r="AG212" s="198"/>
      <c r="AH212" s="198"/>
      <c r="AI212" s="198"/>
      <c r="AJ212" s="198"/>
      <c r="AK212" s="198"/>
      <c r="AL212" s="198"/>
      <c r="AM212" s="198"/>
      <c r="AN212" s="198"/>
      <c r="AO212" s="198"/>
      <c r="AP212" s="198"/>
      <c r="AQ212" s="198"/>
      <c r="AR212" s="198"/>
      <c r="AS212" s="198"/>
      <c r="AT212" s="198"/>
      <c r="AU212" s="198"/>
      <c r="AV212" s="198"/>
      <c r="AW212" s="198"/>
      <c r="AX212" s="198"/>
      <c r="AY212" s="198"/>
      <c r="AZ212" s="198"/>
      <c r="BA212" s="198"/>
      <c r="BB212" s="198"/>
      <c r="BC212" s="198"/>
      <c r="BD212" s="198"/>
      <c r="BE212" s="198"/>
      <c r="BF212" s="198"/>
      <c r="BG212" s="198"/>
      <c r="BH212" s="198"/>
      <c r="BI212" s="198"/>
      <c r="BJ212" s="198"/>
      <c r="BK212" s="198"/>
      <c r="BL212" s="198"/>
      <c r="BM212" s="198"/>
      <c r="BN212" s="198"/>
      <c r="BO212" s="198"/>
      <c r="BP212" s="198"/>
      <c r="BQ212" s="198"/>
      <c r="BR212" s="198"/>
      <c r="BS212" s="198"/>
      <c r="BT212" s="198"/>
      <c r="BU212" s="198"/>
      <c r="BV212" s="198"/>
      <c r="BW212" s="198"/>
      <c r="BX212" s="198"/>
    </row>
    <row r="213" spans="1:76" ht="13.8" thickTop="1" x14ac:dyDescent="0.25">
      <c r="A213" s="2" t="str">
        <f>'Language Index'!A235</f>
        <v>Capital Expenditure</v>
      </c>
      <c r="B213" s="18">
        <f>_xll.ciqfunctions.udf.CIQ($C$2, "IQ_CAPEX",D$6,$F$2,,,Ccy,Conv)</f>
        <v>-3740</v>
      </c>
      <c r="C213" s="18">
        <f>_xll.ciqfunctions.udf.CIQ($C$2, "IQ_CAPEX",E$6,$F$2,,,Ccy,Conv)</f>
        <v>-3579</v>
      </c>
      <c r="D213" s="18">
        <f>_xll.ciqfunctions.udf.CIQ($C$2, "IQ_CAPEX",F$6,$F$2,,,Ccy,Conv)</f>
        <v>-3567</v>
      </c>
      <c r="E213" s="18">
        <f>_xll.ciqfunctions.udf.CIQ($C$2, "IQ_CAPEX",G$6,$F$2,,,Ccy,Conv)</f>
        <v>-3229</v>
      </c>
      <c r="F213" s="18">
        <f>_xll.ciqfunctions.udf.CIQ($C$2, "IQ_CAPEX",H$6,$F$2,,,Ccy,Conv)</f>
        <v>-3395</v>
      </c>
      <c r="G213" s="18">
        <f>_xll.ciqfunctions.udf.CIQ($C$2, "IQ_CAPEX",I$6,$F$2,,,Ccy,Conv)</f>
        <v>-2286</v>
      </c>
      <c r="H213" s="18">
        <f>_xll.ciqfunctions.udf.CIQ($C$2, "IQ_CAPEX",J$6,$F$2,,,Ccy,Conv)</f>
        <v>-2618</v>
      </c>
      <c r="I213" s="18">
        <f>_xll.ciqfunctions.udf.CIQ($C$2, "IQ_CAPEX",K$6,$F$2,,,Ccy,Conv)</f>
        <v>-2062</v>
      </c>
      <c r="J213" s="18">
        <f>_xll.ciqfunctions.udf.CIQ($C$2, "IQ_CAPEX",L$6,$F$2,,,Ccy,Conv)</f>
        <v>-1346</v>
      </c>
      <c r="K213" s="18">
        <f>_xll.ciqfunctions.udf.CIQ($C$2, "IQ_CAPEX",M$6,$F$2,,,Ccy,Conv)</f>
        <v>-1245</v>
      </c>
      <c r="L213" s="18">
        <f>_xll.ciqfunctions.udf.CIQ($C$2, "IQ_CAPEX",N$6,$F$2,,,Ccy,Conv)</f>
        <v>-1048</v>
      </c>
      <c r="M213" s="18"/>
      <c r="N213" s="18">
        <f>_xll.ciqfunctions.udf.CIQ($C$2, "IQ_CAPEX",P$6,$F$2,,,Ccy,Conv)</f>
        <v>-1048</v>
      </c>
      <c r="O213" s="198"/>
      <c r="P213" s="198"/>
      <c r="Q213" s="198"/>
      <c r="R213" s="198"/>
      <c r="S213" s="198"/>
      <c r="T213" s="205"/>
      <c r="U213" s="205"/>
      <c r="V213" s="205"/>
      <c r="W213" s="198"/>
      <c r="X213" s="198"/>
      <c r="Y213" s="198"/>
      <c r="Z213" s="198"/>
      <c r="AA213" s="198"/>
      <c r="AB213" s="198"/>
      <c r="AC213" s="198"/>
      <c r="AD213" s="198"/>
      <c r="AE213" s="198"/>
      <c r="AF213" s="198"/>
      <c r="AG213" s="198"/>
      <c r="AH213" s="198"/>
      <c r="AI213" s="198"/>
      <c r="AJ213" s="198"/>
      <c r="AK213" s="198"/>
      <c r="AL213" s="198"/>
      <c r="AM213" s="198"/>
      <c r="AN213" s="198"/>
      <c r="AO213" s="198"/>
      <c r="AP213" s="198"/>
      <c r="AQ213" s="198"/>
      <c r="AR213" s="198"/>
      <c r="AS213" s="198"/>
      <c r="AT213" s="198"/>
      <c r="AU213" s="198"/>
      <c r="AV213" s="198"/>
      <c r="AW213" s="198"/>
      <c r="AX213" s="198"/>
      <c r="AY213" s="198"/>
      <c r="AZ213" s="198"/>
      <c r="BA213" s="198"/>
      <c r="BB213" s="198"/>
      <c r="BC213" s="198"/>
      <c r="BD213" s="198"/>
      <c r="BE213" s="198"/>
      <c r="BF213" s="198"/>
      <c r="BG213" s="198"/>
      <c r="BH213" s="198"/>
      <c r="BI213" s="198"/>
      <c r="BJ213" s="198"/>
      <c r="BK213" s="198"/>
      <c r="BL213" s="198"/>
      <c r="BM213" s="198"/>
      <c r="BN213" s="198"/>
      <c r="BO213" s="198"/>
      <c r="BP213" s="198"/>
      <c r="BQ213" s="198"/>
      <c r="BR213" s="198"/>
      <c r="BS213" s="198"/>
      <c r="BT213" s="198"/>
      <c r="BU213" s="198"/>
      <c r="BV213" s="198"/>
      <c r="BW213" s="198"/>
      <c r="BX213" s="198"/>
    </row>
    <row r="214" spans="1:76" x14ac:dyDescent="0.25">
      <c r="A214" s="2" t="str">
        <f>'Language Index'!A236</f>
        <v>Sale of Property, Plant, and Equipment</v>
      </c>
      <c r="B214" s="18">
        <f>_xll.ciqfunctions.udf.CIQ($C$2, "IQ_SALE_PPE_CF",D$6,$F$2,,,Ccy,Conv)</f>
        <v>404</v>
      </c>
      <c r="C214" s="18">
        <f>_xll.ciqfunctions.udf.CIQ($C$2, "IQ_SALE_PPE_CF",E$6,$F$2,,,Ccy,Conv)</f>
        <v>370</v>
      </c>
      <c r="D214" s="18">
        <f>_xll.ciqfunctions.udf.CIQ($C$2, "IQ_SALE_PPE_CF",F$6,$F$2,,,Ccy,Conv)</f>
        <v>424</v>
      </c>
      <c r="E214" s="18">
        <f>_xll.ciqfunctions.udf.CIQ($C$2, "IQ_SALE_PPE_CF",G$6,$F$2,,,Ccy,Conv)</f>
        <v>460</v>
      </c>
      <c r="F214" s="18">
        <f>_xll.ciqfunctions.udf.CIQ($C$2, "IQ_SALE_PPE_CF",H$6,$F$2,,,Ccy,Conv)</f>
        <v>248</v>
      </c>
      <c r="G214" s="18">
        <f>_xll.ciqfunctions.udf.CIQ($C$2, "IQ_SALE_PPE_CF",I$6,$F$2,,,Ccy,Conv)</f>
        <v>537</v>
      </c>
      <c r="H214" s="18">
        <f>_xll.ciqfunctions.udf.CIQ($C$2, "IQ_SALE_PPE_CF",J$6,$F$2,,,Ccy,Conv)</f>
        <v>188</v>
      </c>
      <c r="I214" s="18">
        <f>_xll.ciqfunctions.udf.CIQ($C$2, "IQ_SALE_PPE_CF",K$6,$F$2,,,Ccy,Conv)</f>
        <v>387</v>
      </c>
      <c r="J214" s="18">
        <f>_xll.ciqfunctions.udf.CIQ($C$2, "IQ_SALE_PPE_CF",L$6,$F$2,,,Ccy,Conv)</f>
        <v>111</v>
      </c>
      <c r="K214" s="18">
        <f>_xll.ciqfunctions.udf.CIQ($C$2, "IQ_SALE_PPE_CF",M$6,$F$2,,,Ccy,Conv)</f>
        <v>321</v>
      </c>
      <c r="L214" s="18">
        <f>_xll.ciqfunctions.udf.CIQ($C$2, "IQ_SALE_PPE_CF",N$6,$F$2,,,Ccy,Conv)</f>
        <v>557</v>
      </c>
      <c r="M214" s="18"/>
      <c r="N214" s="18">
        <f>_xll.ciqfunctions.udf.CIQ($C$2, "IQ_SALE_PPE_CF",P$6,$F$2,,,Ccy,Conv)</f>
        <v>557</v>
      </c>
      <c r="O214" s="198"/>
      <c r="P214" s="198"/>
      <c r="Q214" s="198"/>
      <c r="R214" s="198"/>
      <c r="S214" s="198"/>
      <c r="T214" s="205"/>
      <c r="U214" s="205"/>
      <c r="V214" s="205"/>
      <c r="W214" s="198"/>
      <c r="X214" s="198"/>
      <c r="Y214" s="198"/>
      <c r="Z214" s="198"/>
      <c r="AA214" s="198"/>
      <c r="AB214" s="198"/>
      <c r="AC214" s="198"/>
      <c r="AD214" s="198"/>
      <c r="AE214" s="198"/>
      <c r="AF214" s="198"/>
      <c r="AG214" s="198"/>
      <c r="AH214" s="198"/>
      <c r="AI214" s="198"/>
      <c r="AJ214" s="198"/>
      <c r="AK214" s="198"/>
      <c r="AL214" s="198"/>
      <c r="AM214" s="198"/>
      <c r="AN214" s="198"/>
      <c r="AO214" s="198"/>
      <c r="AP214" s="198"/>
      <c r="AQ214" s="198"/>
      <c r="AR214" s="198"/>
      <c r="AS214" s="198"/>
      <c r="AT214" s="198"/>
      <c r="AU214" s="198"/>
      <c r="AV214" s="198"/>
      <c r="AW214" s="198"/>
      <c r="AX214" s="198"/>
      <c r="AY214" s="198"/>
      <c r="AZ214" s="198"/>
      <c r="BA214" s="198"/>
      <c r="BB214" s="198"/>
      <c r="BC214" s="198"/>
      <c r="BD214" s="198"/>
      <c r="BE214" s="198"/>
      <c r="BF214" s="198"/>
      <c r="BG214" s="198"/>
      <c r="BH214" s="198"/>
      <c r="BI214" s="198"/>
      <c r="BJ214" s="198"/>
      <c r="BK214" s="198"/>
      <c r="BL214" s="198"/>
      <c r="BM214" s="198"/>
      <c r="BN214" s="198"/>
      <c r="BO214" s="198"/>
      <c r="BP214" s="198"/>
      <c r="BQ214" s="198"/>
      <c r="BR214" s="198"/>
      <c r="BS214" s="198"/>
      <c r="BT214" s="198"/>
      <c r="BU214" s="198"/>
      <c r="BV214" s="198"/>
      <c r="BW214" s="198"/>
      <c r="BX214" s="198"/>
    </row>
    <row r="215" spans="1:76" x14ac:dyDescent="0.25">
      <c r="A215" s="2" t="str">
        <f>'Language Index'!A237</f>
        <v>Cash Acquisitions</v>
      </c>
      <c r="B215" s="18">
        <f>_xll.ciqfunctions.udf.CIQ($C$2, "IQ_CASH_ACQUIRE_CF",D$6,$F$2,,,Ccy,Conv)</f>
        <v>-656</v>
      </c>
      <c r="C215" s="18">
        <f>_xll.ciqfunctions.udf.CIQ($C$2, "IQ_CASH_ACQUIRE_CF",E$6,$F$2,,,Ccy,Conv)</f>
        <v>-3349</v>
      </c>
      <c r="D215" s="18">
        <f>_xll.ciqfunctions.udf.CIQ($C$2, "IQ_CASH_ACQUIRE_CF",F$6,$F$2,,,Ccy,Conv)</f>
        <v>-5696</v>
      </c>
      <c r="E215" s="18">
        <f>_xll.ciqfunctions.udf.CIQ($C$2, "IQ_CASH_ACQUIRE_CF",G$6,$F$2,,,Ccy,Conv)</f>
        <v>-496</v>
      </c>
      <c r="F215" s="18">
        <f>_xll.ciqfunctions.udf.CIQ($C$2, "IQ_CASH_ACQUIRE_CF",H$6,$F$2,,,Ccy,Conv)</f>
        <v>-139</v>
      </c>
      <c r="G215" s="18">
        <f>_xll.ciqfunctions.udf.CIQ($C$2, "IQ_CASH_ACQUIRE_CF",I$6,$F$2,,,Ccy,Conv)</f>
        <v>-32630</v>
      </c>
      <c r="H215" s="18">
        <f>_xll.ciqfunctions.udf.CIQ($C$2, "IQ_CASH_ACQUIRE_CF",J$6,$F$2,,,Ccy,Conv)</f>
        <v>-336</v>
      </c>
      <c r="I215" s="18">
        <f>_xll.ciqfunctions.udf.CIQ($C$2, "IQ_CASH_ACQUIRE_CF",K$6,$F$2,,,Ccy,Conv)</f>
        <v>-3293</v>
      </c>
      <c r="J215" s="18">
        <f>_xll.ciqfunctions.udf.CIQ($C$2, "IQ_CASH_ACQUIRE_CF",L$6,$F$2,,,Ccy,Conv)</f>
        <v>-2348</v>
      </c>
      <c r="K215" s="18">
        <f>_xll.ciqfunctions.udf.CIQ($C$2, "IQ_CASH_ACQUIRE_CF",M$6,$F$2,,,Ccy,Conv)</f>
        <v>-5082</v>
      </c>
      <c r="L215" s="18">
        <f>_xll.ciqfunctions.udf.CIQ($C$2, "IQ_CASH_ACQUIRE_CF",N$6,$F$2,,,Ccy,Conv)</f>
        <v>-3289</v>
      </c>
      <c r="M215" s="18"/>
      <c r="N215" s="18">
        <f>_xll.ciqfunctions.udf.CIQ($C$2, "IQ_CASH_ACQUIRE_CF",P$6,$F$2,,,Ccy,Conv)</f>
        <v>-3289</v>
      </c>
      <c r="O215" s="198"/>
      <c r="P215" s="198"/>
      <c r="Q215" s="198"/>
      <c r="R215" s="198"/>
      <c r="S215" s="198"/>
      <c r="T215" s="205"/>
      <c r="U215" s="205"/>
      <c r="V215" s="205"/>
      <c r="W215" s="198"/>
      <c r="X215" s="198"/>
      <c r="Y215" s="198"/>
      <c r="Z215" s="198"/>
      <c r="AA215" s="198"/>
      <c r="AB215" s="198"/>
      <c r="AC215" s="198"/>
      <c r="AD215" s="198"/>
      <c r="AE215" s="198"/>
      <c r="AF215" s="198"/>
      <c r="AG215" s="198"/>
      <c r="AH215" s="198"/>
      <c r="AI215" s="198"/>
      <c r="AJ215" s="198"/>
      <c r="AK215" s="198"/>
      <c r="AL215" s="198"/>
      <c r="AM215" s="198"/>
      <c r="AN215" s="198"/>
      <c r="AO215" s="198"/>
      <c r="AP215" s="198"/>
      <c r="AQ215" s="198"/>
      <c r="AR215" s="198"/>
      <c r="AS215" s="198"/>
      <c r="AT215" s="198"/>
      <c r="AU215" s="198"/>
      <c r="AV215" s="198"/>
      <c r="AW215" s="198"/>
      <c r="AX215" s="198"/>
      <c r="AY215" s="198"/>
      <c r="AZ215" s="198"/>
      <c r="BA215" s="198"/>
      <c r="BB215" s="198"/>
      <c r="BC215" s="198"/>
      <c r="BD215" s="198"/>
      <c r="BE215" s="198"/>
      <c r="BF215" s="198"/>
      <c r="BG215" s="198"/>
      <c r="BH215" s="198"/>
      <c r="BI215" s="198"/>
      <c r="BJ215" s="198"/>
      <c r="BK215" s="198"/>
      <c r="BL215" s="198"/>
      <c r="BM215" s="198"/>
      <c r="BN215" s="198"/>
      <c r="BO215" s="198"/>
      <c r="BP215" s="198"/>
      <c r="BQ215" s="198"/>
      <c r="BR215" s="198"/>
      <c r="BS215" s="198"/>
      <c r="BT215" s="198"/>
      <c r="BU215" s="198"/>
      <c r="BV215" s="198"/>
      <c r="BW215" s="198"/>
      <c r="BX215" s="198"/>
    </row>
    <row r="216" spans="1:76" x14ac:dyDescent="0.25">
      <c r="A216" s="2" t="str">
        <f>'Language Index'!A238</f>
        <v>Divestitures</v>
      </c>
      <c r="B216" s="18">
        <f>_xll.ciqfunctions.udf.CIQ($C$2, "IQ_DIVEST_CF",D$6,$F$2,,,Ccy,Conv)</f>
        <v>2357</v>
      </c>
      <c r="C216" s="18">
        <f>_xll.ciqfunctions.udf.CIQ($C$2, "IQ_DIVEST_CF",E$6,$F$2,,,Ccy,Conv)</f>
        <v>-401</v>
      </c>
      <c r="D216" s="18">
        <f>_xll.ciqfunctions.udf.CIQ($C$2, "IQ_DIVEST_CF",F$6,$F$2,,,Ccy,Conv)</f>
        <v>-454</v>
      </c>
      <c r="E216" s="18">
        <f>_xll.ciqfunctions.udf.CIQ($C$2, "IQ_DIVEST_CF",G$6,$F$2,,,Ccy,Conv)</f>
        <v>-205</v>
      </c>
      <c r="F216" s="18">
        <f>_xll.ciqfunctions.udf.CIQ($C$2, "IQ_DIVEST_CF",H$6,$F$2,,,Ccy,Conv)</f>
        <v>0</v>
      </c>
      <c r="G216" s="18">
        <f>_xll.ciqfunctions.udf.CIQ($C$2, "IQ_DIVEST_CF",I$6,$F$2,,,Ccy,Conv)</f>
        <v>1076</v>
      </c>
      <c r="H216" s="18">
        <f>_xll.ciqfunctions.udf.CIQ($C$2, "IQ_DIVEST_CF",J$6,$F$2,,,Ccy,Conv)</f>
        <v>503</v>
      </c>
      <c r="I216" s="18">
        <f>_xll.ciqfunctions.udf.CIQ($C$2, "IQ_DIVEST_CF",K$6,$F$2,,,Ccy,Conv)</f>
        <v>114</v>
      </c>
      <c r="J216" s="18">
        <f>_xll.ciqfunctions.udf.CIQ($C$2, "IQ_DIVEST_CF",L$6,$F$2,,,Ccy,Conv)</f>
        <v>1272</v>
      </c>
      <c r="K216" s="18">
        <f>_xll.ciqfunctions.udf.CIQ($C$2, "IQ_DIVEST_CF",M$6,$F$2,,,Ccy,Conv)</f>
        <v>-4</v>
      </c>
      <c r="L216" s="18">
        <f>_xll.ciqfunctions.udf.CIQ($C$2, "IQ_DIVEST_CF",N$6,$F$2,,,Ccy,Conv)</f>
        <v>698</v>
      </c>
      <c r="M216" s="18"/>
      <c r="N216" s="18">
        <f>_xll.ciqfunctions.udf.CIQ($C$2, "IQ_DIVEST_CF",P$6,$F$2,,,Ccy,Conv)</f>
        <v>698</v>
      </c>
      <c r="O216" s="198"/>
      <c r="P216" s="198"/>
      <c r="Q216" s="198"/>
      <c r="R216" s="198"/>
      <c r="S216" s="198"/>
      <c r="T216" s="205"/>
      <c r="U216" s="205"/>
      <c r="V216" s="205"/>
      <c r="W216" s="198"/>
      <c r="X216" s="198"/>
      <c r="Y216" s="198"/>
      <c r="Z216" s="198"/>
      <c r="AA216" s="198"/>
      <c r="AB216" s="198"/>
      <c r="AC216" s="198"/>
      <c r="AD216" s="198"/>
      <c r="AE216" s="198"/>
      <c r="AF216" s="198"/>
      <c r="AG216" s="198"/>
      <c r="AH216" s="198"/>
      <c r="AI216" s="198"/>
      <c r="AJ216" s="198"/>
      <c r="AK216" s="198"/>
      <c r="AL216" s="198"/>
      <c r="AM216" s="198"/>
      <c r="AN216" s="198"/>
      <c r="AO216" s="198"/>
      <c r="AP216" s="198"/>
      <c r="AQ216" s="198"/>
      <c r="AR216" s="198"/>
      <c r="AS216" s="198"/>
      <c r="AT216" s="198"/>
      <c r="AU216" s="198"/>
      <c r="AV216" s="198"/>
      <c r="AW216" s="198"/>
      <c r="AX216" s="198"/>
      <c r="AY216" s="198"/>
      <c r="AZ216" s="198"/>
      <c r="BA216" s="198"/>
      <c r="BB216" s="198"/>
      <c r="BC216" s="198"/>
      <c r="BD216" s="198"/>
      <c r="BE216" s="198"/>
      <c r="BF216" s="198"/>
      <c r="BG216" s="198"/>
      <c r="BH216" s="198"/>
      <c r="BI216" s="198"/>
      <c r="BJ216" s="198"/>
      <c r="BK216" s="198"/>
      <c r="BL216" s="198"/>
      <c r="BM216" s="198"/>
      <c r="BN216" s="198"/>
      <c r="BO216" s="198"/>
      <c r="BP216" s="198"/>
      <c r="BQ216" s="198"/>
      <c r="BR216" s="198"/>
      <c r="BS216" s="198"/>
      <c r="BT216" s="198"/>
      <c r="BU216" s="198"/>
      <c r="BV216" s="198"/>
      <c r="BW216" s="198"/>
      <c r="BX216" s="198"/>
    </row>
    <row r="217" spans="1:76" x14ac:dyDescent="0.25">
      <c r="A217" s="2" t="str">
        <f>'Language Index'!A239</f>
        <v>Sale/(Purchase) of Real Estate Properties</v>
      </c>
      <c r="B217" s="18">
        <f>_xll.ciqfunctions.udf.CIQ($C$2, "IQ_SALE_REAL_ESTATE_CF",D$6,$F$2,,,Ccy,Conv)</f>
        <v>0</v>
      </c>
      <c r="C217" s="18">
        <f>_xll.ciqfunctions.udf.CIQ($C$2, "IQ_SALE_REAL_ESTATE_CF",E$6,$F$2,,,Ccy,Conv)</f>
        <v>0</v>
      </c>
      <c r="D217" s="18">
        <f>_xll.ciqfunctions.udf.CIQ($C$2, "IQ_SALE_REAL_ESTATE_CF",F$6,$F$2,,,Ccy,Conv)</f>
        <v>0</v>
      </c>
      <c r="E217" s="18">
        <f>_xll.ciqfunctions.udf.CIQ($C$2, "IQ_SALE_REAL_ESTATE_CF",G$6,$F$2,,,Ccy,Conv)</f>
        <v>0</v>
      </c>
      <c r="F217" s="18">
        <f>_xll.ciqfunctions.udf.CIQ($C$2, "IQ_SALE_REAL_ESTATE_CF",H$6,$F$2,,,Ccy,Conv)</f>
        <v>0</v>
      </c>
      <c r="G217" s="18">
        <f>_xll.ciqfunctions.udf.CIQ($C$2, "IQ_SALE_REAL_ESTATE_CF",I$6,$F$2,,,Ccy,Conv)</f>
        <v>0</v>
      </c>
      <c r="H217" s="18">
        <f>_xll.ciqfunctions.udf.CIQ($C$2, "IQ_SALE_REAL_ESTATE_CF",J$6,$F$2,,,Ccy,Conv)</f>
        <v>0</v>
      </c>
      <c r="I217" s="18">
        <f>_xll.ciqfunctions.udf.CIQ($C$2, "IQ_SALE_REAL_ESTATE_CF",K$6,$F$2,,,Ccy,Conv)</f>
        <v>0</v>
      </c>
      <c r="J217" s="18">
        <f>_xll.ciqfunctions.udf.CIQ($C$2, "IQ_SALE_REAL_ESTATE_CF",L$6,$F$2,,,Ccy,Conv)</f>
        <v>0</v>
      </c>
      <c r="K217" s="18">
        <f>_xll.ciqfunctions.udf.CIQ($C$2, "IQ_SALE_REAL_ESTATE_CF",M$6,$F$2,,,Ccy,Conv)</f>
        <v>0</v>
      </c>
      <c r="L217" s="18">
        <f>_xll.ciqfunctions.udf.CIQ($C$2, "IQ_SALE_REAL_ESTATE_CF",N$6,$F$2,,,Ccy,Conv)</f>
        <v>0</v>
      </c>
      <c r="M217" s="18"/>
      <c r="N217" s="18">
        <f>_xll.ciqfunctions.udf.CIQ($C$2, "IQ_SALE_REAL_ESTATE_CF",P$6,$F$2,,,Ccy,Conv)</f>
        <v>0</v>
      </c>
      <c r="O217" s="198"/>
      <c r="P217" s="198"/>
      <c r="Q217" s="198"/>
      <c r="R217" s="198"/>
      <c r="S217" s="198"/>
      <c r="T217" s="205"/>
      <c r="U217" s="205"/>
      <c r="V217" s="205"/>
      <c r="W217" s="198"/>
      <c r="X217" s="198"/>
      <c r="Y217" s="198"/>
      <c r="Z217" s="198"/>
      <c r="AA217" s="198"/>
      <c r="AB217" s="198"/>
      <c r="AC217" s="198"/>
      <c r="AD217" s="198"/>
      <c r="AE217" s="198"/>
      <c r="AF217" s="198"/>
      <c r="AG217" s="198"/>
      <c r="AH217" s="198"/>
      <c r="AI217" s="198"/>
      <c r="AJ217" s="198"/>
      <c r="AK217" s="198"/>
      <c r="AL217" s="198"/>
      <c r="AM217" s="198"/>
      <c r="AN217" s="198"/>
      <c r="AO217" s="198"/>
      <c r="AP217" s="198"/>
      <c r="AQ217" s="198"/>
      <c r="AR217" s="198"/>
      <c r="AS217" s="198"/>
      <c r="AT217" s="198"/>
      <c r="AU217" s="198"/>
      <c r="AV217" s="198"/>
      <c r="AW217" s="198"/>
      <c r="AX217" s="198"/>
      <c r="AY217" s="198"/>
      <c r="AZ217" s="198"/>
      <c r="BA217" s="198"/>
      <c r="BB217" s="198"/>
      <c r="BC217" s="198"/>
      <c r="BD217" s="198"/>
      <c r="BE217" s="198"/>
      <c r="BF217" s="198"/>
      <c r="BG217" s="198"/>
      <c r="BH217" s="198"/>
      <c r="BI217" s="198"/>
      <c r="BJ217" s="198"/>
      <c r="BK217" s="198"/>
      <c r="BL217" s="198"/>
      <c r="BM217" s="198"/>
      <c r="BN217" s="198"/>
      <c r="BO217" s="198"/>
      <c r="BP217" s="198"/>
      <c r="BQ217" s="198"/>
      <c r="BR217" s="198"/>
      <c r="BS217" s="198"/>
      <c r="BT217" s="198"/>
      <c r="BU217" s="198"/>
      <c r="BV217" s="198"/>
      <c r="BW217" s="198"/>
      <c r="BX217" s="198"/>
    </row>
    <row r="218" spans="1:76" x14ac:dyDescent="0.25">
      <c r="A218" s="2" t="str">
        <f>'Language Index'!A240</f>
        <v>Sale/(Purchase) of Intangible Assets</v>
      </c>
      <c r="B218" s="18">
        <f>_xll.ciqfunctions.udf.CIQ($C$2, "IQ_SALE_INTAN_CF",D$6,$F$2,,,Ccy,Conv)</f>
        <v>-443</v>
      </c>
      <c r="C218" s="18">
        <f>_xll.ciqfunctions.udf.CIQ($C$2, "IQ_SALE_INTAN_CF",E$6,$F$2,,,Ccy,Conv)</f>
        <v>-572</v>
      </c>
      <c r="D218" s="18">
        <f>_xll.ciqfunctions.udf.CIQ($C$2, "IQ_SALE_INTAN_CF",F$6,$F$2,,,Ccy,Conv)</f>
        <v>-583</v>
      </c>
      <c r="E218" s="18">
        <f>_xll.ciqfunctions.udf.CIQ($C$2, "IQ_SALE_INTAN_CF",G$6,$F$2,,,Ccy,Conv)</f>
        <v>-544</v>
      </c>
      <c r="F218" s="18">
        <f>_xll.ciqfunctions.udf.CIQ($C$2, "IQ_SALE_INTAN_CF",H$6,$F$2,,,Ccy,Conv)</f>
        <v>-569</v>
      </c>
      <c r="G218" s="18">
        <f>_xll.ciqfunctions.udf.CIQ($C$2, "IQ_SALE_INTAN_CF",I$6,$F$2,,,Ccy,Conv)</f>
        <v>-621</v>
      </c>
      <c r="H218" s="18">
        <f>_xll.ciqfunctions.udf.CIQ($C$2, "IQ_SALE_INTAN_CF",J$6,$F$2,,,Ccy,Conv)</f>
        <v>-612</v>
      </c>
      <c r="I218" s="18">
        <f>_xll.ciqfunctions.udf.CIQ($C$2, "IQ_SALE_INTAN_CF",K$6,$F$2,,,Ccy,Conv)</f>
        <v>-706</v>
      </c>
      <c r="J218" s="18">
        <f>_xll.ciqfunctions.udf.CIQ($C$2, "IQ_SALE_INTAN_CF",L$6,$F$2,,,Ccy,Conv)</f>
        <v>-626</v>
      </c>
      <c r="K218" s="18">
        <f>_xll.ciqfunctions.udf.CIQ($C$2, "IQ_SALE_INTAN_CF",M$6,$F$2,,,Ccy,Conv)</f>
        <v>-565</v>
      </c>
      <c r="L218" s="18">
        <f>_xll.ciqfunctions.udf.CIQ($C$2, "IQ_SALE_INTAN_CF",N$6,$F$2,,,Ccy,Conv)</f>
        <v>-637</v>
      </c>
      <c r="M218" s="18"/>
      <c r="N218" s="18">
        <f>_xll.ciqfunctions.udf.CIQ($C$2, "IQ_SALE_INTAN_CF",P$6,$F$2,,,Ccy,Conv)</f>
        <v>-637</v>
      </c>
      <c r="O218" s="198"/>
      <c r="P218" s="198"/>
      <c r="Q218" s="198"/>
      <c r="R218" s="198"/>
      <c r="S218" s="198"/>
      <c r="T218" s="205"/>
      <c r="U218" s="205"/>
      <c r="V218" s="205"/>
      <c r="W218" s="198"/>
      <c r="X218" s="198"/>
      <c r="Y218" s="198"/>
      <c r="Z218" s="198"/>
      <c r="AA218" s="198"/>
      <c r="AB218" s="198"/>
      <c r="AC218" s="198"/>
      <c r="AD218" s="198"/>
      <c r="AE218" s="198"/>
      <c r="AF218" s="198"/>
      <c r="AG218" s="198"/>
      <c r="AH218" s="198"/>
      <c r="AI218" s="198"/>
      <c r="AJ218" s="198"/>
      <c r="AK218" s="198"/>
      <c r="AL218" s="198"/>
      <c r="AM218" s="198"/>
      <c r="AN218" s="198"/>
      <c r="AO218" s="198"/>
      <c r="AP218" s="198"/>
      <c r="AQ218" s="198"/>
      <c r="AR218" s="198"/>
      <c r="AS218" s="198"/>
      <c r="AT218" s="198"/>
      <c r="AU218" s="198"/>
      <c r="AV218" s="198"/>
      <c r="AW218" s="198"/>
      <c r="AX218" s="198"/>
      <c r="AY218" s="198"/>
      <c r="AZ218" s="198"/>
      <c r="BA218" s="198"/>
      <c r="BB218" s="198"/>
      <c r="BC218" s="198"/>
      <c r="BD218" s="198"/>
      <c r="BE218" s="198"/>
      <c r="BF218" s="198"/>
      <c r="BG218" s="198"/>
      <c r="BH218" s="198"/>
      <c r="BI218" s="198"/>
      <c r="BJ218" s="198"/>
      <c r="BK218" s="198"/>
      <c r="BL218" s="198"/>
      <c r="BM218" s="198"/>
      <c r="BN218" s="198"/>
      <c r="BO218" s="198"/>
      <c r="BP218" s="198"/>
      <c r="BQ218" s="198"/>
      <c r="BR218" s="198"/>
      <c r="BS218" s="198"/>
      <c r="BT218" s="198"/>
      <c r="BU218" s="198"/>
      <c r="BV218" s="198"/>
      <c r="BW218" s="198"/>
      <c r="BX218" s="198"/>
    </row>
    <row r="219" spans="1:76" x14ac:dyDescent="0.25">
      <c r="A219" s="2" t="str">
        <f>'Language Index'!A241</f>
        <v>Invest. in Marketable &amp; Equity Sec.</v>
      </c>
      <c r="B219" s="18">
        <f>_xll.ciqfunctions.udf.CIQ($C$2, "IQ_INVEST_SECURITY_CF",D$6,$F$2,,,Ccy,Conv)</f>
        <v>155</v>
      </c>
      <c r="C219" s="18">
        <f>_xll.ciqfunctions.udf.CIQ($C$2, "IQ_INVEST_SECURITY_CF",E$6,$F$2,,,Ccy,Conv)</f>
        <v>-231</v>
      </c>
      <c r="D219" s="18">
        <f>_xll.ciqfunctions.udf.CIQ($C$2, "IQ_INVEST_SECURITY_CF",F$6,$F$2,,,Ccy,Conv)</f>
        <v>-161</v>
      </c>
      <c r="E219" s="18">
        <f>_xll.ciqfunctions.udf.CIQ($C$2, "IQ_INVEST_SECURITY_CF",G$6,$F$2,,,Ccy,Conv)</f>
        <v>-1039</v>
      </c>
      <c r="F219" s="18">
        <f>_xll.ciqfunctions.udf.CIQ($C$2, "IQ_INVEST_SECURITY_CF",H$6,$F$2,,,Ccy,Conv)</f>
        <v>-554</v>
      </c>
      <c r="G219" s="18">
        <f>_xll.ciqfunctions.udf.CIQ($C$2, "IQ_INVEST_SECURITY_CF",I$6,$F$2,,,Ccy,Conv)</f>
        <v>268</v>
      </c>
      <c r="H219" s="18">
        <f>_xll.ciqfunctions.udf.CIQ($C$2, "IQ_INVEST_SECURITY_CF",J$6,$F$2,,,Ccy,Conv)</f>
        <v>-628</v>
      </c>
      <c r="I219" s="18">
        <f>_xll.ciqfunctions.udf.CIQ($C$2, "IQ_INVEST_SECURITY_CF",K$6,$F$2,,,Ccy,Conv)</f>
        <v>-414</v>
      </c>
      <c r="J219" s="18">
        <f>_xll.ciqfunctions.udf.CIQ($C$2, "IQ_INVEST_SECURITY_CF",L$6,$F$2,,,Ccy,Conv)</f>
        <v>-1265</v>
      </c>
      <c r="K219" s="18">
        <f>_xll.ciqfunctions.udf.CIQ($C$2, "IQ_INVEST_SECURITY_CF",M$6,$F$2,,,Ccy,Conv)</f>
        <v>-496</v>
      </c>
      <c r="L219" s="18">
        <f>_xll.ciqfunctions.udf.CIQ($C$2, "IQ_INVEST_SECURITY_CF",N$6,$F$2,,,Ccy,Conv)</f>
        <v>-1218</v>
      </c>
      <c r="M219" s="18"/>
      <c r="N219" s="18">
        <f>_xll.ciqfunctions.udf.CIQ($C$2, "IQ_INVEST_SECURITY_CF",P$6,$F$2,,,Ccy,Conv)</f>
        <v>-1218</v>
      </c>
      <c r="O219" s="198"/>
      <c r="P219" s="198"/>
      <c r="Q219" s="198"/>
      <c r="R219" s="198"/>
      <c r="S219" s="198"/>
      <c r="T219" s="205"/>
      <c r="U219" s="205"/>
      <c r="V219" s="205"/>
      <c r="W219" s="198"/>
      <c r="X219" s="198"/>
      <c r="Y219" s="198"/>
      <c r="Z219" s="198"/>
      <c r="AA219" s="198"/>
      <c r="AB219" s="198"/>
      <c r="AC219" s="198"/>
      <c r="AD219" s="198"/>
      <c r="AE219" s="198"/>
      <c r="AF219" s="198"/>
      <c r="AG219" s="198"/>
      <c r="AH219" s="198"/>
      <c r="AI219" s="198"/>
      <c r="AJ219" s="198"/>
      <c r="AK219" s="198"/>
      <c r="AL219" s="198"/>
      <c r="AM219" s="198"/>
      <c r="AN219" s="198"/>
      <c r="AO219" s="198"/>
      <c r="AP219" s="198"/>
      <c r="AQ219" s="198"/>
      <c r="AR219" s="198"/>
      <c r="AS219" s="198"/>
      <c r="AT219" s="198"/>
      <c r="AU219" s="198"/>
      <c r="AV219" s="198"/>
      <c r="AW219" s="198"/>
      <c r="AX219" s="198"/>
      <c r="AY219" s="198"/>
      <c r="AZ219" s="198"/>
      <c r="BA219" s="198"/>
      <c r="BB219" s="198"/>
      <c r="BC219" s="198"/>
      <c r="BD219" s="198"/>
      <c r="BE219" s="198"/>
      <c r="BF219" s="198"/>
      <c r="BG219" s="198"/>
      <c r="BH219" s="198"/>
      <c r="BI219" s="198"/>
      <c r="BJ219" s="198"/>
      <c r="BK219" s="198"/>
      <c r="BL219" s="198"/>
      <c r="BM219" s="198"/>
      <c r="BN219" s="198"/>
      <c r="BO219" s="198"/>
      <c r="BP219" s="198"/>
      <c r="BQ219" s="198"/>
      <c r="BR219" s="198"/>
      <c r="BS219" s="198"/>
      <c r="BT219" s="198"/>
      <c r="BU219" s="198"/>
      <c r="BV219" s="198"/>
      <c r="BW219" s="198"/>
      <c r="BX219" s="198"/>
    </row>
    <row r="220" spans="1:76" x14ac:dyDescent="0.25">
      <c r="A220" s="2" t="str">
        <f>'Language Index'!A242</f>
        <v>Net (Inc.) Dec. in Loans Originated/Sold</v>
      </c>
      <c r="B220" s="18">
        <f>_xll.ciqfunctions.udf.CIQ($C$2, "IQ_INVEST_LOANS_CF",D$6,$F$2,,,Ccy,Conv)</f>
        <v>-1078</v>
      </c>
      <c r="C220" s="18">
        <f>_xll.ciqfunctions.udf.CIQ($C$2, "IQ_INVEST_LOANS_CF",E$6,$F$2,,,Ccy,Conv)</f>
        <v>-398</v>
      </c>
      <c r="D220" s="18">
        <f>_xll.ciqfunctions.udf.CIQ($C$2, "IQ_INVEST_LOANS_CF",F$6,$F$2,,,Ccy,Conv)</f>
        <v>-891</v>
      </c>
      <c r="E220" s="18">
        <f>_xll.ciqfunctions.udf.CIQ($C$2, "IQ_INVEST_LOANS_CF",G$6,$F$2,,,Ccy,Conv)</f>
        <v>-2028</v>
      </c>
      <c r="F220" s="18">
        <f>_xll.ciqfunctions.udf.CIQ($C$2, "IQ_INVEST_LOANS_CF",H$6,$F$2,,,Ccy,Conv)</f>
        <v>-503</v>
      </c>
      <c r="G220" s="18">
        <f>_xll.ciqfunctions.udf.CIQ($C$2, "IQ_INVEST_LOANS_CF",I$6,$F$2,,,Ccy,Conv)</f>
        <v>6720</v>
      </c>
      <c r="H220" s="18">
        <f>_xll.ciqfunctions.udf.CIQ($C$2, "IQ_INVEST_LOANS_CF",J$6,$F$2,,,Ccy,Conv)</f>
        <v>475</v>
      </c>
      <c r="I220" s="18">
        <f>_xll.ciqfunctions.udf.CIQ($C$2, "IQ_INVEST_LOANS_CF",K$6,$F$2,,,Ccy,Conv)</f>
        <v>0</v>
      </c>
      <c r="J220" s="18">
        <f>_xll.ciqfunctions.udf.CIQ($C$2, "IQ_INVEST_LOANS_CF",L$6,$F$2,,,Ccy,Conv)</f>
        <v>0</v>
      </c>
      <c r="K220" s="18">
        <f>_xll.ciqfunctions.udf.CIQ($C$2, "IQ_INVEST_LOANS_CF",M$6,$F$2,,,Ccy,Conv)</f>
        <v>0</v>
      </c>
      <c r="L220" s="18">
        <f>_xll.ciqfunctions.udf.CIQ($C$2, "IQ_INVEST_LOANS_CF",N$6,$F$2,,,Ccy,Conv)</f>
        <v>0</v>
      </c>
      <c r="M220" s="18"/>
      <c r="N220" s="18">
        <f>_xll.ciqfunctions.udf.CIQ($C$2, "IQ_INVEST_LOANS_CF",P$6,$F$2,,,Ccy,Conv)</f>
        <v>0</v>
      </c>
      <c r="O220" s="198"/>
      <c r="P220" s="198"/>
      <c r="Q220" s="198"/>
      <c r="R220" s="198"/>
      <c r="S220" s="198"/>
      <c r="T220" s="205"/>
      <c r="U220" s="205"/>
      <c r="V220" s="205"/>
      <c r="W220" s="198"/>
      <c r="X220" s="198"/>
      <c r="Y220" s="198"/>
      <c r="Z220" s="198"/>
      <c r="AA220" s="198"/>
      <c r="AB220" s="198"/>
      <c r="AC220" s="198"/>
      <c r="AD220" s="198"/>
      <c r="AE220" s="198"/>
      <c r="AF220" s="198"/>
      <c r="AG220" s="198"/>
      <c r="AH220" s="198"/>
      <c r="AI220" s="198"/>
      <c r="AJ220" s="198"/>
      <c r="AK220" s="198"/>
      <c r="AL220" s="198"/>
      <c r="AM220" s="198"/>
      <c r="AN220" s="198"/>
      <c r="AO220" s="198"/>
      <c r="AP220" s="198"/>
      <c r="AQ220" s="198"/>
      <c r="AR220" s="198"/>
      <c r="AS220" s="198"/>
      <c r="AT220" s="198"/>
      <c r="AU220" s="198"/>
      <c r="AV220" s="198"/>
      <c r="AW220" s="198"/>
      <c r="AX220" s="198"/>
      <c r="AY220" s="198"/>
      <c r="AZ220" s="198"/>
      <c r="BA220" s="198"/>
      <c r="BB220" s="198"/>
      <c r="BC220" s="198"/>
      <c r="BD220" s="198"/>
      <c r="BE220" s="198"/>
      <c r="BF220" s="198"/>
      <c r="BG220" s="198"/>
      <c r="BH220" s="198"/>
      <c r="BI220" s="198"/>
      <c r="BJ220" s="198"/>
      <c r="BK220" s="198"/>
      <c r="BL220" s="198"/>
      <c r="BM220" s="198"/>
      <c r="BN220" s="198"/>
      <c r="BO220" s="198"/>
      <c r="BP220" s="198"/>
      <c r="BQ220" s="198"/>
      <c r="BR220" s="198"/>
      <c r="BS220" s="198"/>
      <c r="BT220" s="198"/>
      <c r="BU220" s="198"/>
      <c r="BV220" s="198"/>
      <c r="BW220" s="198"/>
      <c r="BX220" s="198"/>
    </row>
    <row r="221" spans="1:76" x14ac:dyDescent="0.25">
      <c r="A221" s="2" t="str">
        <f>'Language Index'!A243</f>
        <v>Other Investing Activities</v>
      </c>
      <c r="B221" s="18">
        <f>_xll.ciqfunctions.udf.CIQ($C$2, "IQ_OTHER_INVEST_ACT_SUPPL",D$6,$F$2,,,Ccy,Conv)</f>
        <v>0</v>
      </c>
      <c r="C221" s="18">
        <f>_xll.ciqfunctions.udf.CIQ($C$2, "IQ_OTHER_INVEST_ACT_SUPPL",E$6,$F$2,,,Ccy,Conv)</f>
        <v>1</v>
      </c>
      <c r="D221" s="18">
        <f>_xll.ciqfunctions.udf.CIQ($C$2, "IQ_OTHER_INVEST_ACT_SUPPL",F$6,$F$2,,,Ccy,Conv)</f>
        <v>0</v>
      </c>
      <c r="E221" s="18">
        <f>_xll.ciqfunctions.udf.CIQ($C$2, "IQ_OTHER_INVEST_ACT_SUPPL",G$6,$F$2,,,Ccy,Conv)</f>
        <v>0</v>
      </c>
      <c r="F221" s="18">
        <f>_xll.ciqfunctions.udf.CIQ($C$2, "IQ_OTHER_INVEST_ACT_SUPPL",H$6,$F$2,,,Ccy,Conv)</f>
        <v>-1</v>
      </c>
      <c r="G221" s="18">
        <f>_xll.ciqfunctions.udf.CIQ($C$2, "IQ_OTHER_INVEST_ACT_SUPPL",I$6,$F$2,,,Ccy,Conv)</f>
        <v>0</v>
      </c>
      <c r="H221" s="18">
        <f>_xll.ciqfunctions.udf.CIQ($C$2, "IQ_OTHER_INVEST_ACT_SUPPL",J$6,$F$2,,,Ccy,Conv)</f>
        <v>0</v>
      </c>
      <c r="I221" s="18">
        <f>_xll.ciqfunctions.udf.CIQ($C$2, "IQ_OTHER_INVEST_ACT_SUPPL",K$6,$F$2,,,Ccy,Conv)</f>
        <v>-1</v>
      </c>
      <c r="J221" s="18">
        <f>_xll.ciqfunctions.udf.CIQ($C$2, "IQ_OTHER_INVEST_ACT_SUPPL",L$6,$F$2,,,Ccy,Conv)</f>
        <v>0</v>
      </c>
      <c r="K221" s="18">
        <f>_xll.ciqfunctions.udf.CIQ($C$2, "IQ_OTHER_INVEST_ACT_SUPPL",M$6,$F$2,,,Ccy,Conv)</f>
        <v>1</v>
      </c>
      <c r="L221" s="18">
        <f>_xll.ciqfunctions.udf.CIQ($C$2, "IQ_OTHER_INVEST_ACT_SUPPL",N$6,$F$2,,,Ccy,Conv)</f>
        <v>0</v>
      </c>
      <c r="M221" s="18"/>
      <c r="N221" s="18">
        <f>_xll.ciqfunctions.udf.CIQ($C$2, "IQ_OTHER_INVEST_ACT_SUPPL",P$6,$F$2,,,Ccy,Conv)</f>
        <v>0</v>
      </c>
      <c r="O221" s="198"/>
      <c r="P221" s="198"/>
      <c r="Q221" s="198"/>
      <c r="R221" s="198"/>
      <c r="S221" s="198"/>
      <c r="T221" s="205"/>
      <c r="U221" s="205"/>
      <c r="V221" s="205"/>
      <c r="W221" s="198"/>
      <c r="X221" s="198"/>
      <c r="Y221" s="198"/>
      <c r="Z221" s="198"/>
      <c r="AA221" s="198"/>
      <c r="AB221" s="198"/>
      <c r="AC221" s="198"/>
      <c r="AD221" s="198"/>
      <c r="AE221" s="198"/>
      <c r="AF221" s="198"/>
      <c r="AG221" s="198"/>
      <c r="AH221" s="198"/>
      <c r="AI221" s="198"/>
      <c r="AJ221" s="198"/>
      <c r="AK221" s="198"/>
      <c r="AL221" s="198"/>
      <c r="AM221" s="198"/>
      <c r="AN221" s="198"/>
      <c r="AO221" s="198"/>
      <c r="AP221" s="198"/>
      <c r="AQ221" s="198"/>
      <c r="AR221" s="198"/>
      <c r="AS221" s="198"/>
      <c r="AT221" s="198"/>
      <c r="AU221" s="198"/>
      <c r="AV221" s="198"/>
      <c r="AW221" s="198"/>
      <c r="AX221" s="198"/>
      <c r="AY221" s="198"/>
      <c r="AZ221" s="198"/>
      <c r="BA221" s="198"/>
      <c r="BB221" s="198"/>
      <c r="BC221" s="198"/>
      <c r="BD221" s="198"/>
      <c r="BE221" s="198"/>
      <c r="BF221" s="198"/>
      <c r="BG221" s="198"/>
      <c r="BH221" s="198"/>
      <c r="BI221" s="198"/>
      <c r="BJ221" s="198"/>
      <c r="BK221" s="198"/>
      <c r="BL221" s="198"/>
      <c r="BM221" s="198"/>
      <c r="BN221" s="198"/>
      <c r="BO221" s="198"/>
      <c r="BP221" s="198"/>
      <c r="BQ221" s="198"/>
      <c r="BR221" s="198"/>
      <c r="BS221" s="198"/>
      <c r="BT221" s="198"/>
      <c r="BU221" s="198"/>
      <c r="BV221" s="198"/>
      <c r="BW221" s="198"/>
      <c r="BX221" s="198"/>
    </row>
    <row r="222" spans="1:76" ht="13.8" thickBot="1" x14ac:dyDescent="0.3">
      <c r="A222" s="19" t="str">
        <f>'Language Index'!A244</f>
        <v>Cash from Investing</v>
      </c>
      <c r="B222" s="23">
        <f>_xll.ciqfunctions.udf.CIQ($C$2, "IQ_CASH_INVEST",D$6,$F$2,,,Ccy,Conv)</f>
        <v>-3001</v>
      </c>
      <c r="C222" s="23">
        <f>_xll.ciqfunctions.udf.CIQ($C$2, "IQ_CASH_INVEST",E$6,$F$2,,,Ccy,Conv)</f>
        <v>-8159</v>
      </c>
      <c r="D222" s="23">
        <f>_xll.ciqfunctions.udf.CIQ($C$2, "IQ_CASH_INVEST",F$6,$F$2,,,Ccy,Conv)</f>
        <v>-10928</v>
      </c>
      <c r="E222" s="23">
        <f>_xll.ciqfunctions.udf.CIQ($C$2, "IQ_CASH_INVEST",G$6,$F$2,,,Ccy,Conv)</f>
        <v>-7081</v>
      </c>
      <c r="F222" s="23">
        <f>_xll.ciqfunctions.udf.CIQ($C$2, "IQ_CASH_INVEST",H$6,$F$2,,,Ccy,Conv)</f>
        <v>-4913</v>
      </c>
      <c r="G222" s="23">
        <f>_xll.ciqfunctions.udf.CIQ($C$2, "IQ_CASH_INVEST",I$6,$F$2,,,Ccy,Conv)</f>
        <v>-26936</v>
      </c>
      <c r="H222" s="23">
        <f>_xll.ciqfunctions.udf.CIQ($C$2, "IQ_CASH_INVEST",J$6,$F$2,,,Ccy,Conv)</f>
        <v>-3028</v>
      </c>
      <c r="I222" s="23">
        <f>_xll.ciqfunctions.udf.CIQ($C$2, "IQ_CASH_INVEST",K$6,$F$2,,,Ccy,Conv)</f>
        <v>-5975</v>
      </c>
      <c r="J222" s="23">
        <f>_xll.ciqfunctions.udf.CIQ($C$2, "IQ_CASH_INVEST",L$6,$F$2,,,Ccy,Conv)</f>
        <v>-4202</v>
      </c>
      <c r="K222" s="23">
        <f>_xll.ciqfunctions.udf.CIQ($C$2, "IQ_CASH_INVEST",M$6,$F$2,,,Ccy,Conv)</f>
        <v>-7070</v>
      </c>
      <c r="L222" s="23">
        <f>_xll.ciqfunctions.udf.CIQ($C$2, "IQ_CASH_INVEST",N$6,$F$2,,,Ccy,Conv)</f>
        <v>-4937</v>
      </c>
      <c r="M222" s="21"/>
      <c r="N222" s="23">
        <f>_xll.ciqfunctions.udf.CIQ($C$2, "IQ_CASH_INVEST",P$6,$F$2,,,Ccy,Conv)</f>
        <v>-4937</v>
      </c>
      <c r="O222" s="198"/>
      <c r="P222" s="198"/>
      <c r="Q222" s="198"/>
      <c r="R222" s="198"/>
      <c r="S222" s="198"/>
      <c r="T222" s="205"/>
      <c r="U222" s="205"/>
      <c r="V222" s="205"/>
      <c r="W222" s="198"/>
      <c r="X222" s="198"/>
      <c r="Y222" s="198"/>
      <c r="Z222" s="198"/>
      <c r="AA222" s="198"/>
      <c r="AB222" s="198"/>
      <c r="AC222" s="198"/>
      <c r="AD222" s="198"/>
      <c r="AE222" s="198"/>
      <c r="AF222" s="198"/>
      <c r="AG222" s="198"/>
      <c r="AH222" s="198"/>
      <c r="AI222" s="198"/>
      <c r="AJ222" s="198"/>
      <c r="AK222" s="198"/>
      <c r="AL222" s="198"/>
      <c r="AM222" s="198"/>
      <c r="AN222" s="198"/>
      <c r="AO222" s="198"/>
      <c r="AP222" s="198"/>
      <c r="AQ222" s="198"/>
      <c r="AR222" s="198"/>
      <c r="AS222" s="198"/>
      <c r="AT222" s="198"/>
      <c r="AU222" s="198"/>
      <c r="AV222" s="198"/>
      <c r="AW222" s="198"/>
      <c r="AX222" s="198"/>
      <c r="AY222" s="198"/>
      <c r="AZ222" s="198"/>
      <c r="BA222" s="198"/>
      <c r="BB222" s="198"/>
      <c r="BC222" s="198"/>
      <c r="BD222" s="198"/>
      <c r="BE222" s="198"/>
      <c r="BF222" s="198"/>
      <c r="BG222" s="198"/>
      <c r="BH222" s="198"/>
      <c r="BI222" s="198"/>
      <c r="BJ222" s="198"/>
      <c r="BK222" s="198"/>
      <c r="BL222" s="198"/>
      <c r="BM222" s="198"/>
      <c r="BN222" s="198"/>
      <c r="BO222" s="198"/>
      <c r="BP222" s="198"/>
      <c r="BQ222" s="198"/>
      <c r="BR222" s="198"/>
      <c r="BS222" s="198"/>
      <c r="BT222" s="198"/>
      <c r="BU222" s="198"/>
      <c r="BV222" s="198"/>
      <c r="BW222" s="198"/>
      <c r="BX222" s="198"/>
    </row>
    <row r="223" spans="1:76" ht="13.8" thickTop="1" x14ac:dyDescent="0.25">
      <c r="A223" s="2" t="str">
        <f>'Language Index'!A245</f>
        <v>Short Term Debt Issued</v>
      </c>
      <c r="B223" s="18">
        <f>_xll.ciqfunctions.udf.CIQ($C$2, "IQ_ST_DEBT_ISSUED",D$6,$F$2,,,Ccy,Conv)</f>
        <v>0</v>
      </c>
      <c r="C223" s="18">
        <f>_xll.ciqfunctions.udf.CIQ($C$2, "IQ_ST_DEBT_ISSUED",E$6,$F$2,,,Ccy,Conv)</f>
        <v>101</v>
      </c>
      <c r="D223" s="18">
        <f>_xll.ciqfunctions.udf.CIQ($C$2, "IQ_ST_DEBT_ISSUED",F$6,$F$2,,,Ccy,Conv)</f>
        <v>26</v>
      </c>
      <c r="E223" s="18">
        <f>_xll.ciqfunctions.udf.CIQ($C$2, "IQ_ST_DEBT_ISSUED",G$6,$F$2,,,Ccy,Conv)</f>
        <v>620</v>
      </c>
      <c r="F223" s="18">
        <f>_xll.ciqfunctions.udf.CIQ($C$2, "IQ_ST_DEBT_ISSUED",H$6,$F$2,,,Ccy,Conv)</f>
        <v>1341</v>
      </c>
      <c r="G223" s="18">
        <f>_xll.ciqfunctions.udf.CIQ($C$2, "IQ_ST_DEBT_ISSUED",I$6,$F$2,,,Ccy,Conv)</f>
        <v>0</v>
      </c>
      <c r="H223" s="18">
        <f>_xll.ciqfunctions.udf.CIQ($C$2, "IQ_ST_DEBT_ISSUED",J$6,$F$2,,,Ccy,Conv)</f>
        <v>0</v>
      </c>
      <c r="I223" s="18">
        <f>_xll.ciqfunctions.udf.CIQ($C$2, "IQ_ST_DEBT_ISSUED",K$6,$F$2,,,Ccy,Conv)</f>
        <v>0</v>
      </c>
      <c r="J223" s="18">
        <f>_xll.ciqfunctions.udf.CIQ($C$2, "IQ_ST_DEBT_ISSUED",L$6,$F$2,,,Ccy,Conv)</f>
        <v>217</v>
      </c>
      <c r="K223" s="18">
        <f>_xll.ciqfunctions.udf.CIQ($C$2, "IQ_ST_DEBT_ISSUED",M$6,$F$2,,,Ccy,Conv)</f>
        <v>0</v>
      </c>
      <c r="L223" s="18">
        <f>_xll.ciqfunctions.udf.CIQ($C$2, "IQ_ST_DEBT_ISSUED",N$6,$F$2,,,Ccy,Conv)</f>
        <v>30</v>
      </c>
      <c r="M223" s="18"/>
      <c r="N223" s="18">
        <f>_xll.ciqfunctions.udf.CIQ($C$2, "IQ_ST_DEBT_ISSUED",P$6,$F$2,,,Ccy,Conv)</f>
        <v>30</v>
      </c>
      <c r="O223" s="198"/>
      <c r="P223" s="198"/>
      <c r="Q223" s="198"/>
      <c r="R223" s="198"/>
      <c r="S223" s="198"/>
      <c r="T223" s="205"/>
      <c r="U223" s="205"/>
      <c r="V223" s="205"/>
      <c r="W223" s="198"/>
      <c r="X223" s="198"/>
      <c r="Y223" s="198"/>
      <c r="Z223" s="198"/>
      <c r="AA223" s="198"/>
      <c r="AB223" s="198"/>
      <c r="AC223" s="198"/>
      <c r="AD223" s="198"/>
      <c r="AE223" s="198"/>
      <c r="AF223" s="198"/>
      <c r="AG223" s="198"/>
      <c r="AH223" s="198"/>
      <c r="AI223" s="198"/>
      <c r="AJ223" s="198"/>
      <c r="AK223" s="198"/>
      <c r="AL223" s="198"/>
      <c r="AM223" s="198"/>
      <c r="AN223" s="198"/>
      <c r="AO223" s="198"/>
      <c r="AP223" s="198"/>
      <c r="AQ223" s="198"/>
      <c r="AR223" s="198"/>
      <c r="AS223" s="198"/>
      <c r="AT223" s="198"/>
      <c r="AU223" s="198"/>
      <c r="AV223" s="198"/>
      <c r="AW223" s="198"/>
      <c r="AX223" s="198"/>
      <c r="AY223" s="198"/>
      <c r="AZ223" s="198"/>
      <c r="BA223" s="198"/>
      <c r="BB223" s="198"/>
      <c r="BC223" s="198"/>
      <c r="BD223" s="198"/>
      <c r="BE223" s="198"/>
      <c r="BF223" s="198"/>
      <c r="BG223" s="198"/>
      <c r="BH223" s="198"/>
      <c r="BI223" s="198"/>
      <c r="BJ223" s="198"/>
      <c r="BK223" s="198"/>
      <c r="BL223" s="198"/>
      <c r="BM223" s="198"/>
      <c r="BN223" s="198"/>
      <c r="BO223" s="198"/>
      <c r="BP223" s="198"/>
      <c r="BQ223" s="198"/>
      <c r="BR223" s="198"/>
      <c r="BS223" s="198"/>
      <c r="BT223" s="198"/>
      <c r="BU223" s="198"/>
      <c r="BV223" s="198"/>
      <c r="BW223" s="198"/>
      <c r="BX223" s="198"/>
    </row>
    <row r="224" spans="1:76" x14ac:dyDescent="0.25">
      <c r="A224" s="2" t="str">
        <f>'Language Index'!A246</f>
        <v>Long-Term Debt Issued</v>
      </c>
      <c r="B224" s="18">
        <f>_xll.ciqfunctions.udf.CIQ($C$2, "IQ_LT_DEBT_ISSUED",D$6,$F$2,,,Ccy,Conv)</f>
        <v>8180</v>
      </c>
      <c r="C224" s="18">
        <f>_xll.ciqfunctions.udf.CIQ($C$2, "IQ_LT_DEBT_ISSUED",E$6,$F$2,,,Ccy,Conv)</f>
        <v>5540</v>
      </c>
      <c r="D224" s="18">
        <f>_xll.ciqfunctions.udf.CIQ($C$2, "IQ_LT_DEBT_ISSUED",F$6,$F$2,,,Ccy,Conv)</f>
        <v>9132</v>
      </c>
      <c r="E224" s="18">
        <f>_xll.ciqfunctions.udf.CIQ($C$2, "IQ_LT_DEBT_ISSUED",G$6,$F$2,,,Ccy,Conv)</f>
        <v>9643</v>
      </c>
      <c r="F224" s="18">
        <f>_xll.ciqfunctions.udf.CIQ($C$2, "IQ_LT_DEBT_ISSUED",H$6,$F$2,,,Ccy,Conv)</f>
        <v>6891</v>
      </c>
      <c r="G224" s="18">
        <f>_xll.ciqfunctions.udf.CIQ($C$2, "IQ_LT_DEBT_ISSUED",I$6,$F$2,,,Ccy,Conv)</f>
        <v>31825</v>
      </c>
      <c r="H224" s="18">
        <f>_xll.ciqfunctions.udf.CIQ($C$2, "IQ_LT_DEBT_ISSUED",J$6,$F$2,,,Ccy,Conv)</f>
        <v>10504</v>
      </c>
      <c r="I224" s="18">
        <f>_xll.ciqfunctions.udf.CIQ($C$2, "IQ_LT_DEBT_ISSUED",K$6,$F$2,,,Ccy,Conv)</f>
        <v>522</v>
      </c>
      <c r="J224" s="18">
        <f>_xll.ciqfunctions.udf.CIQ($C$2, "IQ_LT_DEBT_ISSUED",L$6,$F$2,,,Ccy,Conv)</f>
        <v>7804</v>
      </c>
      <c r="K224" s="18">
        <f>_xll.ciqfunctions.udf.CIQ($C$2, "IQ_LT_DEBT_ISSUED",M$6,$F$2,,,Ccy,Conv)</f>
        <v>9586</v>
      </c>
      <c r="L224" s="18">
        <f>_xll.ciqfunctions.udf.CIQ($C$2, "IQ_LT_DEBT_ISSUED",N$6,$F$2,,,Ccy,Conv)</f>
        <v>5705</v>
      </c>
      <c r="M224" s="18"/>
      <c r="N224" s="18">
        <f>_xll.ciqfunctions.udf.CIQ($C$2, "IQ_LT_DEBT_ISSUED",P$6,$F$2,,,Ccy,Conv)</f>
        <v>5705</v>
      </c>
      <c r="O224" s="198"/>
      <c r="P224" s="198"/>
      <c r="Q224" s="198"/>
      <c r="R224" s="198"/>
      <c r="S224" s="198"/>
      <c r="T224" s="205"/>
      <c r="U224" s="205"/>
      <c r="V224" s="205"/>
      <c r="W224" s="198"/>
      <c r="X224" s="198"/>
      <c r="Y224" s="198"/>
      <c r="Z224" s="198"/>
      <c r="AA224" s="198"/>
      <c r="AB224" s="198"/>
      <c r="AC224" s="198"/>
      <c r="AD224" s="198"/>
      <c r="AE224" s="198"/>
      <c r="AF224" s="198"/>
      <c r="AG224" s="198"/>
      <c r="AH224" s="198"/>
      <c r="AI224" s="198"/>
      <c r="AJ224" s="198"/>
      <c r="AK224" s="198"/>
      <c r="AL224" s="198"/>
      <c r="AM224" s="198"/>
      <c r="AN224" s="198"/>
      <c r="AO224" s="198"/>
      <c r="AP224" s="198"/>
      <c r="AQ224" s="198"/>
      <c r="AR224" s="198"/>
      <c r="AS224" s="198"/>
      <c r="AT224" s="198"/>
      <c r="AU224" s="198"/>
      <c r="AV224" s="198"/>
      <c r="AW224" s="198"/>
      <c r="AX224" s="198"/>
      <c r="AY224" s="198"/>
      <c r="AZ224" s="198"/>
      <c r="BA224" s="198"/>
      <c r="BB224" s="198"/>
      <c r="BC224" s="198"/>
      <c r="BD224" s="198"/>
      <c r="BE224" s="198"/>
      <c r="BF224" s="198"/>
      <c r="BG224" s="198"/>
      <c r="BH224" s="198"/>
      <c r="BI224" s="198"/>
      <c r="BJ224" s="198"/>
      <c r="BK224" s="198"/>
      <c r="BL224" s="198"/>
      <c r="BM224" s="198"/>
      <c r="BN224" s="198"/>
      <c r="BO224" s="198"/>
      <c r="BP224" s="198"/>
      <c r="BQ224" s="198"/>
      <c r="BR224" s="198"/>
      <c r="BS224" s="198"/>
      <c r="BT224" s="198"/>
      <c r="BU224" s="198"/>
      <c r="BV224" s="198"/>
      <c r="BW224" s="198"/>
      <c r="BX224" s="198"/>
    </row>
    <row r="225" spans="1:76" x14ac:dyDescent="0.25">
      <c r="A225" s="19" t="str">
        <f>'Language Index'!A247</f>
        <v>Total Debt Issued</v>
      </c>
      <c r="B225" s="20">
        <f>_xll.ciqfunctions.udf.CIQ($C$2, "IQ_TOTAL_DEBT_ISSUED",D$6,$F$2,,,Ccy,Conv)</f>
        <v>8180</v>
      </c>
      <c r="C225" s="20">
        <f>_xll.ciqfunctions.udf.CIQ($C$2, "IQ_TOTAL_DEBT_ISSUED",E$6,$F$2,,,Ccy,Conv)</f>
        <v>5641</v>
      </c>
      <c r="D225" s="20">
        <f>_xll.ciqfunctions.udf.CIQ($C$2, "IQ_TOTAL_DEBT_ISSUED",F$6,$F$2,,,Ccy,Conv)</f>
        <v>9158</v>
      </c>
      <c r="E225" s="20">
        <f>_xll.ciqfunctions.udf.CIQ($C$2, "IQ_TOTAL_DEBT_ISSUED",G$6,$F$2,,,Ccy,Conv)</f>
        <v>10263</v>
      </c>
      <c r="F225" s="20">
        <f>_xll.ciqfunctions.udf.CIQ($C$2, "IQ_TOTAL_DEBT_ISSUED",H$6,$F$2,,,Ccy,Conv)</f>
        <v>8232</v>
      </c>
      <c r="G225" s="20">
        <f>_xll.ciqfunctions.udf.CIQ($C$2, "IQ_TOTAL_DEBT_ISSUED",I$6,$F$2,,,Ccy,Conv)</f>
        <v>31825</v>
      </c>
      <c r="H225" s="20">
        <f>_xll.ciqfunctions.udf.CIQ($C$2, "IQ_TOTAL_DEBT_ISSUED",J$6,$F$2,,,Ccy,Conv)</f>
        <v>10504</v>
      </c>
      <c r="I225" s="20">
        <f>_xll.ciqfunctions.udf.CIQ($C$2, "IQ_TOTAL_DEBT_ISSUED",K$6,$F$2,,,Ccy,Conv)</f>
        <v>522</v>
      </c>
      <c r="J225" s="20">
        <f>_xll.ciqfunctions.udf.CIQ($C$2, "IQ_TOTAL_DEBT_ISSUED",L$6,$F$2,,,Ccy,Conv)</f>
        <v>8021</v>
      </c>
      <c r="K225" s="20">
        <f>_xll.ciqfunctions.udf.CIQ($C$2, "IQ_TOTAL_DEBT_ISSUED",M$6,$F$2,,,Ccy,Conv)</f>
        <v>9586</v>
      </c>
      <c r="L225" s="20">
        <f>_xll.ciqfunctions.udf.CIQ($C$2, "IQ_TOTAL_DEBT_ISSUED",N$6,$F$2,,,Ccy,Conv)</f>
        <v>5735</v>
      </c>
      <c r="M225" s="21"/>
      <c r="N225" s="20">
        <f>_xll.ciqfunctions.udf.CIQ($C$2, "IQ_TOTAL_DEBT_ISSUED",P$6,$F$2,,,Ccy,Conv)</f>
        <v>5735</v>
      </c>
      <c r="O225" s="198"/>
      <c r="P225" s="198"/>
      <c r="Q225" s="198"/>
      <c r="R225" s="198"/>
      <c r="S225" s="198"/>
      <c r="T225" s="205"/>
      <c r="U225" s="205"/>
      <c r="V225" s="205"/>
      <c r="W225" s="198"/>
      <c r="X225" s="198"/>
      <c r="Y225" s="198"/>
      <c r="Z225" s="198"/>
      <c r="AA225" s="198"/>
      <c r="AB225" s="198"/>
      <c r="AC225" s="198"/>
      <c r="AD225" s="198"/>
      <c r="AE225" s="198"/>
      <c r="AF225" s="198"/>
      <c r="AG225" s="198"/>
      <c r="AH225" s="198"/>
      <c r="AI225" s="198"/>
      <c r="AJ225" s="198"/>
      <c r="AK225" s="198"/>
      <c r="AL225" s="198"/>
      <c r="AM225" s="198"/>
      <c r="AN225" s="198"/>
      <c r="AO225" s="198"/>
      <c r="AP225" s="198"/>
      <c r="AQ225" s="198"/>
      <c r="AR225" s="198"/>
      <c r="AS225" s="198"/>
      <c r="AT225" s="198"/>
      <c r="AU225" s="198"/>
      <c r="AV225" s="198"/>
      <c r="AW225" s="198"/>
      <c r="AX225" s="198"/>
      <c r="AY225" s="198"/>
      <c r="AZ225" s="198"/>
      <c r="BA225" s="198"/>
      <c r="BB225" s="198"/>
      <c r="BC225" s="198"/>
      <c r="BD225" s="198"/>
      <c r="BE225" s="198"/>
      <c r="BF225" s="198"/>
      <c r="BG225" s="198"/>
      <c r="BH225" s="198"/>
      <c r="BI225" s="198"/>
      <c r="BJ225" s="198"/>
      <c r="BK225" s="198"/>
      <c r="BL225" s="198"/>
      <c r="BM225" s="198"/>
      <c r="BN225" s="198"/>
      <c r="BO225" s="198"/>
      <c r="BP225" s="198"/>
      <c r="BQ225" s="198"/>
      <c r="BR225" s="198"/>
      <c r="BS225" s="198"/>
      <c r="BT225" s="198"/>
      <c r="BU225" s="198"/>
      <c r="BV225" s="198"/>
      <c r="BW225" s="198"/>
      <c r="BX225" s="198"/>
    </row>
    <row r="226" spans="1:76" x14ac:dyDescent="0.25">
      <c r="A226" s="2" t="str">
        <f>'Language Index'!A248</f>
        <v>Short Term Debt Repaid</v>
      </c>
      <c r="B226" s="18">
        <f>_xll.ciqfunctions.udf.CIQ($C$2, "IQ_ST_DEBT_REPAID",D$6,$F$2,,,Ccy,Conv)</f>
        <v>-1753</v>
      </c>
      <c r="C226" s="18">
        <f>_xll.ciqfunctions.udf.CIQ($C$2, "IQ_ST_DEBT_REPAID",E$6,$F$2,,,Ccy,Conv)</f>
        <v>0</v>
      </c>
      <c r="D226" s="18">
        <f>_xll.ciqfunctions.udf.CIQ($C$2, "IQ_ST_DEBT_REPAID",F$6,$F$2,,,Ccy,Conv)</f>
        <v>0</v>
      </c>
      <c r="E226" s="18">
        <f>_xll.ciqfunctions.udf.CIQ($C$2, "IQ_ST_DEBT_REPAID",G$6,$F$2,,,Ccy,Conv)</f>
        <v>0</v>
      </c>
      <c r="F226" s="18">
        <f>_xll.ciqfunctions.udf.CIQ($C$2, "IQ_ST_DEBT_REPAID",H$6,$F$2,,,Ccy,Conv)</f>
        <v>0</v>
      </c>
      <c r="G226" s="18">
        <f>_xll.ciqfunctions.udf.CIQ($C$2, "IQ_ST_DEBT_REPAID",I$6,$F$2,,,Ccy,Conv)</f>
        <v>-2597</v>
      </c>
      <c r="H226" s="18">
        <f>_xll.ciqfunctions.udf.CIQ($C$2, "IQ_ST_DEBT_REPAID",J$6,$F$2,,,Ccy,Conv)</f>
        <v>-853</v>
      </c>
      <c r="I226" s="18">
        <f>_xll.ciqfunctions.udf.CIQ($C$2, "IQ_ST_DEBT_REPAID",K$6,$F$2,,,Ccy,Conv)</f>
        <v>-40</v>
      </c>
      <c r="J226" s="18">
        <f>_xll.ciqfunctions.udf.CIQ($C$2, "IQ_ST_DEBT_REPAID",L$6,$F$2,,,Ccy,Conv)</f>
        <v>0</v>
      </c>
      <c r="K226" s="18">
        <f>_xll.ciqfunctions.udf.CIQ($C$2, "IQ_ST_DEBT_REPAID",M$6,$F$2,,,Ccy,Conv)</f>
        <v>-7</v>
      </c>
      <c r="L226" s="18">
        <f>_xll.ciqfunctions.udf.CIQ($C$2, "IQ_ST_DEBT_REPAID",N$6,$F$2,,,Ccy,Conv)</f>
        <v>0</v>
      </c>
      <c r="M226" s="18"/>
      <c r="N226" s="18">
        <f>_xll.ciqfunctions.udf.CIQ($C$2, "IQ_ST_DEBT_REPAID",P$6,$F$2,,,Ccy,Conv)</f>
        <v>0</v>
      </c>
      <c r="O226" s="198"/>
      <c r="P226" s="198"/>
      <c r="Q226" s="198"/>
      <c r="R226" s="198"/>
      <c r="S226" s="198"/>
      <c r="T226" s="205"/>
      <c r="U226" s="205"/>
      <c r="V226" s="205"/>
      <c r="W226" s="198"/>
      <c r="X226" s="198"/>
      <c r="Y226" s="198"/>
      <c r="Z226" s="198"/>
      <c r="AA226" s="198"/>
      <c r="AB226" s="198"/>
      <c r="AC226" s="198"/>
      <c r="AD226" s="198"/>
      <c r="AE226" s="198"/>
      <c r="AF226" s="198"/>
      <c r="AG226" s="198"/>
      <c r="AH226" s="198"/>
      <c r="AI226" s="198"/>
      <c r="AJ226" s="198"/>
      <c r="AK226" s="198"/>
      <c r="AL226" s="198"/>
      <c r="AM226" s="198"/>
      <c r="AN226" s="198"/>
      <c r="AO226" s="198"/>
      <c r="AP226" s="198"/>
      <c r="AQ226" s="198"/>
      <c r="AR226" s="198"/>
      <c r="AS226" s="198"/>
      <c r="AT226" s="198"/>
      <c r="AU226" s="198"/>
      <c r="AV226" s="198"/>
      <c r="AW226" s="198"/>
      <c r="AX226" s="198"/>
      <c r="AY226" s="198"/>
      <c r="AZ226" s="198"/>
      <c r="BA226" s="198"/>
      <c r="BB226" s="198"/>
      <c r="BC226" s="198"/>
      <c r="BD226" s="198"/>
      <c r="BE226" s="198"/>
      <c r="BF226" s="198"/>
      <c r="BG226" s="198"/>
      <c r="BH226" s="198"/>
      <c r="BI226" s="198"/>
      <c r="BJ226" s="198"/>
      <c r="BK226" s="198"/>
      <c r="BL226" s="198"/>
      <c r="BM226" s="198"/>
      <c r="BN226" s="198"/>
      <c r="BO226" s="198"/>
      <c r="BP226" s="198"/>
      <c r="BQ226" s="198"/>
      <c r="BR226" s="198"/>
      <c r="BS226" s="198"/>
      <c r="BT226" s="198"/>
      <c r="BU226" s="198"/>
      <c r="BV226" s="198"/>
      <c r="BW226" s="198"/>
      <c r="BX226" s="198"/>
    </row>
    <row r="227" spans="1:76" x14ac:dyDescent="0.25">
      <c r="A227" s="2" t="str">
        <f>'Language Index'!A249</f>
        <v>Long-Term Debt Repaid</v>
      </c>
      <c r="B227" s="18">
        <f>_xll.ciqfunctions.udf.CIQ($C$2, "IQ_LT_DEBT_REPAID",D$6,$F$2,,,Ccy,Conv)</f>
        <v>-4644</v>
      </c>
      <c r="C227" s="18">
        <f>_xll.ciqfunctions.udf.CIQ($C$2, "IQ_LT_DEBT_REPAID",E$6,$F$2,,,Ccy,Conv)</f>
        <v>-5622</v>
      </c>
      <c r="D227" s="18">
        <f>_xll.ciqfunctions.udf.CIQ($C$2, "IQ_LT_DEBT_REPAID",F$6,$F$2,,,Ccy,Conv)</f>
        <v>-6395</v>
      </c>
      <c r="E227" s="18">
        <f>_xll.ciqfunctions.udf.CIQ($C$2, "IQ_LT_DEBT_REPAID",G$6,$F$2,,,Ccy,Conv)</f>
        <v>-6816</v>
      </c>
      <c r="F227" s="18">
        <f>_xll.ciqfunctions.udf.CIQ($C$2, "IQ_LT_DEBT_REPAID",H$6,$F$2,,,Ccy,Conv)</f>
        <v>-8533</v>
      </c>
      <c r="G227" s="18">
        <f>_xll.ciqfunctions.udf.CIQ($C$2, "IQ_LT_DEBT_REPAID",I$6,$F$2,,,Ccy,Conv)</f>
        <v>-12944</v>
      </c>
      <c r="H227" s="18">
        <f>_xll.ciqfunctions.udf.CIQ($C$2, "IQ_LT_DEBT_REPAID",J$6,$F$2,,,Ccy,Conv)</f>
        <v>-13365</v>
      </c>
      <c r="I227" s="18">
        <f>_xll.ciqfunctions.udf.CIQ($C$2, "IQ_LT_DEBT_REPAID",K$6,$F$2,,,Ccy,Conv)</f>
        <v>-8597</v>
      </c>
      <c r="J227" s="18">
        <f>_xll.ciqfunctions.udf.CIQ($C$2, "IQ_LT_DEBT_REPAID",L$6,$F$2,,,Ccy,Conv)</f>
        <v>-6800</v>
      </c>
      <c r="K227" s="18">
        <f>_xll.ciqfunctions.udf.CIQ($C$2, "IQ_LT_DEBT_REPAID",M$6,$F$2,,,Ccy,Conv)</f>
        <v>-5082</v>
      </c>
      <c r="L227" s="18">
        <f>_xll.ciqfunctions.udf.CIQ($C$2, "IQ_LT_DEBT_REPAID",N$6,$F$2,,,Ccy,Conv)</f>
        <v>-6615</v>
      </c>
      <c r="M227" s="18"/>
      <c r="N227" s="18">
        <f>_xll.ciqfunctions.udf.CIQ($C$2, "IQ_LT_DEBT_REPAID",P$6,$F$2,,,Ccy,Conv)</f>
        <v>-6615</v>
      </c>
      <c r="O227" s="198"/>
      <c r="P227" s="198"/>
      <c r="Q227" s="198"/>
      <c r="R227" s="198"/>
      <c r="S227" s="198"/>
      <c r="T227" s="205"/>
      <c r="U227" s="205"/>
      <c r="V227" s="205"/>
      <c r="W227" s="198"/>
      <c r="X227" s="198"/>
      <c r="Y227" s="198"/>
      <c r="Z227" s="198"/>
      <c r="AA227" s="198"/>
      <c r="AB227" s="198"/>
      <c r="AC227" s="198"/>
      <c r="AD227" s="198"/>
      <c r="AE227" s="198"/>
      <c r="AF227" s="198"/>
      <c r="AG227" s="198"/>
      <c r="AH227" s="198"/>
      <c r="AI227" s="198"/>
      <c r="AJ227" s="198"/>
      <c r="AK227" s="198"/>
      <c r="AL227" s="198"/>
      <c r="AM227" s="198"/>
      <c r="AN227" s="198"/>
      <c r="AO227" s="198"/>
      <c r="AP227" s="198"/>
      <c r="AQ227" s="198"/>
      <c r="AR227" s="198"/>
      <c r="AS227" s="198"/>
      <c r="AT227" s="198"/>
      <c r="AU227" s="198"/>
      <c r="AV227" s="198"/>
      <c r="AW227" s="198"/>
      <c r="AX227" s="198"/>
      <c r="AY227" s="198"/>
      <c r="AZ227" s="198"/>
      <c r="BA227" s="198"/>
      <c r="BB227" s="198"/>
      <c r="BC227" s="198"/>
      <c r="BD227" s="198"/>
      <c r="BE227" s="198"/>
      <c r="BF227" s="198"/>
      <c r="BG227" s="198"/>
      <c r="BH227" s="198"/>
      <c r="BI227" s="198"/>
      <c r="BJ227" s="198"/>
      <c r="BK227" s="198"/>
      <c r="BL227" s="198"/>
      <c r="BM227" s="198"/>
      <c r="BN227" s="198"/>
      <c r="BO227" s="198"/>
      <c r="BP227" s="198"/>
      <c r="BQ227" s="198"/>
      <c r="BR227" s="198"/>
      <c r="BS227" s="198"/>
      <c r="BT227" s="198"/>
      <c r="BU227" s="198"/>
      <c r="BV227" s="198"/>
      <c r="BW227" s="198"/>
      <c r="BX227" s="198"/>
    </row>
    <row r="228" spans="1:76" x14ac:dyDescent="0.25">
      <c r="A228" s="19" t="str">
        <f>'Language Index'!A250</f>
        <v>Total Debt Repaid</v>
      </c>
      <c r="B228" s="20">
        <f>_xll.ciqfunctions.udf.CIQ($C$2, "IQ_TOTAL_DEBT_REPAID",D$6,$F$2,,,Ccy,Conv)</f>
        <v>-6397</v>
      </c>
      <c r="C228" s="20">
        <f>_xll.ciqfunctions.udf.CIQ($C$2, "IQ_TOTAL_DEBT_REPAID",E$6,$F$2,,,Ccy,Conv)</f>
        <v>-5622</v>
      </c>
      <c r="D228" s="20">
        <f>_xll.ciqfunctions.udf.CIQ($C$2, "IQ_TOTAL_DEBT_REPAID",F$6,$F$2,,,Ccy,Conv)</f>
        <v>-6395</v>
      </c>
      <c r="E228" s="20">
        <f>_xll.ciqfunctions.udf.CIQ($C$2, "IQ_TOTAL_DEBT_REPAID",G$6,$F$2,,,Ccy,Conv)</f>
        <v>-6816</v>
      </c>
      <c r="F228" s="20">
        <f>_xll.ciqfunctions.udf.CIQ($C$2, "IQ_TOTAL_DEBT_REPAID",H$6,$F$2,,,Ccy,Conv)</f>
        <v>-8533</v>
      </c>
      <c r="G228" s="20">
        <f>_xll.ciqfunctions.udf.CIQ($C$2, "IQ_TOTAL_DEBT_REPAID",I$6,$F$2,,,Ccy,Conv)</f>
        <v>-15541</v>
      </c>
      <c r="H228" s="20">
        <f>_xll.ciqfunctions.udf.CIQ($C$2, "IQ_TOTAL_DEBT_REPAID",J$6,$F$2,,,Ccy,Conv)</f>
        <v>-14218</v>
      </c>
      <c r="I228" s="20">
        <f>_xll.ciqfunctions.udf.CIQ($C$2, "IQ_TOTAL_DEBT_REPAID",K$6,$F$2,,,Ccy,Conv)</f>
        <v>-8637</v>
      </c>
      <c r="J228" s="20">
        <f>_xll.ciqfunctions.udf.CIQ($C$2, "IQ_TOTAL_DEBT_REPAID",L$6,$F$2,,,Ccy,Conv)</f>
        <v>-6800</v>
      </c>
      <c r="K228" s="20">
        <f>_xll.ciqfunctions.udf.CIQ($C$2, "IQ_TOTAL_DEBT_REPAID",M$6,$F$2,,,Ccy,Conv)</f>
        <v>-5089</v>
      </c>
      <c r="L228" s="20">
        <f>_xll.ciqfunctions.udf.CIQ($C$2, "IQ_TOTAL_DEBT_REPAID",N$6,$F$2,,,Ccy,Conv)</f>
        <v>-6615</v>
      </c>
      <c r="M228" s="21"/>
      <c r="N228" s="20">
        <f>_xll.ciqfunctions.udf.CIQ($C$2, "IQ_TOTAL_DEBT_REPAID",P$6,$F$2,,,Ccy,Conv)</f>
        <v>-6615</v>
      </c>
      <c r="O228" s="198"/>
      <c r="P228" s="198"/>
      <c r="Q228" s="198"/>
      <c r="R228" s="198"/>
      <c r="S228" s="198"/>
      <c r="T228" s="205"/>
      <c r="U228" s="205"/>
      <c r="V228" s="205"/>
      <c r="W228" s="198"/>
      <c r="X228" s="198"/>
      <c r="Y228" s="198"/>
      <c r="Z228" s="198"/>
      <c r="AA228" s="198"/>
      <c r="AB228" s="198"/>
      <c r="AC228" s="198"/>
      <c r="AD228" s="198"/>
      <c r="AE228" s="198"/>
      <c r="AF228" s="198"/>
      <c r="AG228" s="198"/>
      <c r="AH228" s="198"/>
      <c r="AI228" s="198"/>
      <c r="AJ228" s="198"/>
      <c r="AK228" s="198"/>
      <c r="AL228" s="198"/>
      <c r="AM228" s="198"/>
      <c r="AN228" s="198"/>
      <c r="AO228" s="198"/>
      <c r="AP228" s="198"/>
      <c r="AQ228" s="198"/>
      <c r="AR228" s="198"/>
      <c r="AS228" s="198"/>
      <c r="AT228" s="198"/>
      <c r="AU228" s="198"/>
      <c r="AV228" s="198"/>
      <c r="AW228" s="198"/>
      <c r="AX228" s="198"/>
      <c r="AY228" s="198"/>
      <c r="AZ228" s="198"/>
      <c r="BA228" s="198"/>
      <c r="BB228" s="198"/>
      <c r="BC228" s="198"/>
      <c r="BD228" s="198"/>
      <c r="BE228" s="198"/>
      <c r="BF228" s="198"/>
      <c r="BG228" s="198"/>
      <c r="BH228" s="198"/>
      <c r="BI228" s="198"/>
      <c r="BJ228" s="198"/>
      <c r="BK228" s="198"/>
      <c r="BL228" s="198"/>
      <c r="BM228" s="198"/>
      <c r="BN228" s="198"/>
      <c r="BO228" s="198"/>
      <c r="BP228" s="198"/>
      <c r="BQ228" s="198"/>
      <c r="BR228" s="198"/>
      <c r="BS228" s="198"/>
      <c r="BT228" s="198"/>
      <c r="BU228" s="198"/>
      <c r="BV228" s="198"/>
      <c r="BW228" s="198"/>
      <c r="BX228" s="198"/>
    </row>
    <row r="229" spans="1:76" x14ac:dyDescent="0.25">
      <c r="A229" s="2" t="str">
        <f>'Language Index'!A251</f>
        <v>Issuance of Common Stock</v>
      </c>
      <c r="B229" s="18">
        <f>_xll.ciqfunctions.udf.CIQ($C$2, "IQ_COMMON_ISSUED",D$6,$F$2,,,Ccy,Conv)</f>
        <v>709</v>
      </c>
      <c r="C229" s="18">
        <f>_xll.ciqfunctions.udf.CIQ($C$2, "IQ_COMMON_ISSUED",E$6,$F$2,,,Ccy,Conv)</f>
        <v>322</v>
      </c>
      <c r="D229" s="18">
        <f>_xll.ciqfunctions.udf.CIQ($C$2, "IQ_COMMON_ISSUED",F$6,$F$2,,,Ccy,Conv)</f>
        <v>0</v>
      </c>
      <c r="E229" s="18">
        <f>_xll.ciqfunctions.udf.CIQ($C$2, "IQ_COMMON_ISSUED",G$6,$F$2,,,Ccy,Conv)</f>
        <v>0</v>
      </c>
      <c r="F229" s="18">
        <f>_xll.ciqfunctions.udf.CIQ($C$2, "IQ_COMMON_ISSUED",H$6,$F$2,,,Ccy,Conv)</f>
        <v>0</v>
      </c>
      <c r="G229" s="18">
        <f>_xll.ciqfunctions.udf.CIQ($C$2, "IQ_COMMON_ISSUED",I$6,$F$2,,,Ccy,Conv)</f>
        <v>0</v>
      </c>
      <c r="H229" s="18">
        <f>_xll.ciqfunctions.udf.CIQ($C$2, "IQ_COMMON_ISSUED",J$6,$F$2,,,Ccy,Conv)</f>
        <v>0</v>
      </c>
      <c r="I229" s="18">
        <f>_xll.ciqfunctions.udf.CIQ($C$2, "IQ_COMMON_ISSUED",K$6,$F$2,,,Ccy,Conv)</f>
        <v>0</v>
      </c>
      <c r="J229" s="18">
        <f>_xll.ciqfunctions.udf.CIQ($C$2, "IQ_COMMON_ISSUED",L$6,$F$2,,,Ccy,Conv)</f>
        <v>279</v>
      </c>
      <c r="K229" s="18">
        <f>_xll.ciqfunctions.udf.CIQ($C$2, "IQ_COMMON_ISSUED",M$6,$F$2,,,Ccy,Conv)</f>
        <v>414</v>
      </c>
      <c r="L229" s="18">
        <f>_xll.ciqfunctions.udf.CIQ($C$2, "IQ_COMMON_ISSUED",N$6,$F$2,,,Ccy,Conv)</f>
        <v>745</v>
      </c>
      <c r="M229" s="18"/>
      <c r="N229" s="18">
        <f>_xll.ciqfunctions.udf.CIQ($C$2, "IQ_COMMON_ISSUED",P$6,$F$2,,,Ccy,Conv)</f>
        <v>745</v>
      </c>
      <c r="O229" s="198"/>
      <c r="P229" s="198"/>
      <c r="Q229" s="198"/>
      <c r="R229" s="198"/>
      <c r="S229" s="198"/>
      <c r="T229" s="205"/>
      <c r="U229" s="205"/>
      <c r="V229" s="205"/>
      <c r="W229" s="198"/>
      <c r="X229" s="198"/>
      <c r="Y229" s="198"/>
      <c r="Z229" s="198"/>
      <c r="AA229" s="198"/>
      <c r="AB229" s="198"/>
      <c r="AC229" s="198"/>
      <c r="AD229" s="198"/>
      <c r="AE229" s="198"/>
      <c r="AF229" s="198"/>
      <c r="AG229" s="198"/>
      <c r="AH229" s="198"/>
      <c r="AI229" s="198"/>
      <c r="AJ229" s="198"/>
      <c r="AK229" s="198"/>
      <c r="AL229" s="198"/>
      <c r="AM229" s="198"/>
      <c r="AN229" s="198"/>
      <c r="AO229" s="198"/>
      <c r="AP229" s="198"/>
      <c r="AQ229" s="198"/>
      <c r="AR229" s="198"/>
      <c r="AS229" s="198"/>
      <c r="AT229" s="198"/>
      <c r="AU229" s="198"/>
      <c r="AV229" s="198"/>
      <c r="AW229" s="198"/>
      <c r="AX229" s="198"/>
      <c r="AY229" s="198"/>
      <c r="AZ229" s="198"/>
      <c r="BA229" s="198"/>
      <c r="BB229" s="198"/>
      <c r="BC229" s="198"/>
      <c r="BD229" s="198"/>
      <c r="BE229" s="198"/>
      <c r="BF229" s="198"/>
      <c r="BG229" s="198"/>
      <c r="BH229" s="198"/>
      <c r="BI229" s="198"/>
      <c r="BJ229" s="198"/>
      <c r="BK229" s="198"/>
      <c r="BL229" s="198"/>
      <c r="BM229" s="198"/>
      <c r="BN229" s="198"/>
      <c r="BO229" s="198"/>
      <c r="BP229" s="198"/>
      <c r="BQ229" s="198"/>
      <c r="BR229" s="198"/>
      <c r="BS229" s="198"/>
      <c r="BT229" s="198"/>
      <c r="BU229" s="198"/>
      <c r="BV229" s="198"/>
      <c r="BW229" s="198"/>
      <c r="BX229" s="198"/>
    </row>
    <row r="230" spans="1:76" x14ac:dyDescent="0.25">
      <c r="A230" s="2" t="str">
        <f>'Language Index'!A252</f>
        <v>Repurchase of Common</v>
      </c>
      <c r="B230" s="18">
        <f>_xll.ciqfunctions.udf.CIQ($C$2, "IQ_COMMON_REP",D$6,$F$2,,,Ccy,Conv)</f>
        <v>-13679</v>
      </c>
      <c r="C230" s="18">
        <f>_xll.ciqfunctions.udf.CIQ($C$2, "IQ_COMMON_REP",E$6,$F$2,,,Ccy,Conv)</f>
        <v>-4857</v>
      </c>
      <c r="D230" s="18">
        <f>_xll.ciqfunctions.udf.CIQ($C$2, "IQ_COMMON_REP",F$6,$F$2,,,Ccy,Conv)</f>
        <v>-3628</v>
      </c>
      <c r="E230" s="18">
        <f>_xll.ciqfunctions.udf.CIQ($C$2, "IQ_COMMON_REP",G$6,$F$2,,,Ccy,Conv)</f>
        <v>-4533</v>
      </c>
      <c r="F230" s="18">
        <f>_xll.ciqfunctions.udf.CIQ($C$2, "IQ_COMMON_REP",H$6,$F$2,,,Ccy,Conv)</f>
        <v>-4614</v>
      </c>
      <c r="G230" s="18">
        <f>_xll.ciqfunctions.udf.CIQ($C$2, "IQ_COMMON_REP",I$6,$F$2,,,Ccy,Conv)</f>
        <v>-1633</v>
      </c>
      <c r="H230" s="18">
        <f>_xll.ciqfunctions.udf.CIQ($C$2, "IQ_COMMON_REP",J$6,$F$2,,,Ccy,Conv)</f>
        <v>-302</v>
      </c>
      <c r="I230" s="18">
        <f>_xll.ciqfunctions.udf.CIQ($C$2, "IQ_COMMON_REP",K$6,$F$2,,,Ccy,Conv)</f>
        <v>-319</v>
      </c>
      <c r="J230" s="18">
        <f>_xll.ciqfunctions.udf.CIQ($C$2, "IQ_COMMON_REP",L$6,$F$2,,,Ccy,Conv)</f>
        <v>-407</v>
      </c>
      <c r="K230" s="18">
        <f>_xll.ciqfunctions.udf.CIQ($C$2, "IQ_COMMON_REP",M$6,$F$2,,,Ccy,Conv)</f>
        <v>-402</v>
      </c>
      <c r="L230" s="18">
        <f>_xll.ciqfunctions.udf.CIQ($C$2, "IQ_COMMON_REP",N$6,$F$2,,,Ccy,Conv)</f>
        <v>-651</v>
      </c>
      <c r="M230" s="18"/>
      <c r="N230" s="18">
        <f>_xll.ciqfunctions.udf.CIQ($C$2, "IQ_COMMON_REP",P$6,$F$2,,,Ccy,Conv)</f>
        <v>-651</v>
      </c>
      <c r="O230" s="198"/>
      <c r="P230" s="198"/>
      <c r="Q230" s="198"/>
      <c r="R230" s="198"/>
      <c r="S230" s="198"/>
      <c r="T230" s="205"/>
      <c r="U230" s="205"/>
      <c r="V230" s="205"/>
      <c r="W230" s="198"/>
      <c r="X230" s="198"/>
      <c r="Y230" s="198"/>
      <c r="Z230" s="198"/>
      <c r="AA230" s="198"/>
      <c r="AB230" s="198"/>
      <c r="AC230" s="198"/>
      <c r="AD230" s="198"/>
      <c r="AE230" s="198"/>
      <c r="AF230" s="198"/>
      <c r="AG230" s="198"/>
      <c r="AH230" s="198"/>
      <c r="AI230" s="198"/>
      <c r="AJ230" s="198"/>
      <c r="AK230" s="198"/>
      <c r="AL230" s="198"/>
      <c r="AM230" s="198"/>
      <c r="AN230" s="198"/>
      <c r="AO230" s="198"/>
      <c r="AP230" s="198"/>
      <c r="AQ230" s="198"/>
      <c r="AR230" s="198"/>
      <c r="AS230" s="198"/>
      <c r="AT230" s="198"/>
      <c r="AU230" s="198"/>
      <c r="AV230" s="198"/>
      <c r="AW230" s="198"/>
      <c r="AX230" s="198"/>
      <c r="AY230" s="198"/>
      <c r="AZ230" s="198"/>
      <c r="BA230" s="198"/>
      <c r="BB230" s="198"/>
      <c r="BC230" s="198"/>
      <c r="BD230" s="198"/>
      <c r="BE230" s="198"/>
      <c r="BF230" s="198"/>
      <c r="BG230" s="198"/>
      <c r="BH230" s="198"/>
      <c r="BI230" s="198"/>
      <c r="BJ230" s="198"/>
      <c r="BK230" s="198"/>
      <c r="BL230" s="198"/>
      <c r="BM230" s="198"/>
      <c r="BN230" s="198"/>
      <c r="BO230" s="198"/>
      <c r="BP230" s="198"/>
      <c r="BQ230" s="198"/>
      <c r="BR230" s="198"/>
      <c r="BS230" s="198"/>
      <c r="BT230" s="198"/>
      <c r="BU230" s="198"/>
      <c r="BV230" s="198"/>
      <c r="BW230" s="198"/>
      <c r="BX230" s="198"/>
    </row>
    <row r="231" spans="1:76" x14ac:dyDescent="0.25">
      <c r="A231" s="2" t="str">
        <f>'Language Index'!A253</f>
        <v>Issuance of Pref. Stock</v>
      </c>
      <c r="B231" s="18">
        <f>_xll.ciqfunctions.udf.CIQ($C$2, "IQ_PREF_ISSUED",D$6,$F$2,,,Ccy,Conv)</f>
        <v>0</v>
      </c>
      <c r="C231" s="18">
        <f>_xll.ciqfunctions.udf.CIQ($C$2, "IQ_PREF_ISSUED",E$6,$F$2,,,Ccy,Conv)</f>
        <v>0</v>
      </c>
      <c r="D231" s="18">
        <f>_xll.ciqfunctions.udf.CIQ($C$2, "IQ_PREF_ISSUED",F$6,$F$2,,,Ccy,Conv)</f>
        <v>0</v>
      </c>
      <c r="E231" s="18">
        <f>_xll.ciqfunctions.udf.CIQ($C$2, "IQ_PREF_ISSUED",G$6,$F$2,,,Ccy,Conv)</f>
        <v>0</v>
      </c>
      <c r="F231" s="18">
        <f>_xll.ciqfunctions.udf.CIQ($C$2, "IQ_PREF_ISSUED",H$6,$F$2,,,Ccy,Conv)</f>
        <v>0</v>
      </c>
      <c r="G231" s="18">
        <f>_xll.ciqfunctions.udf.CIQ($C$2, "IQ_PREF_ISSUED",I$6,$F$2,,,Ccy,Conv)</f>
        <v>0</v>
      </c>
      <c r="H231" s="18">
        <f>_xll.ciqfunctions.udf.CIQ($C$2, "IQ_PREF_ISSUED",J$6,$F$2,,,Ccy,Conv)</f>
        <v>0</v>
      </c>
      <c r="I231" s="18">
        <f>_xll.ciqfunctions.udf.CIQ($C$2, "IQ_PREF_ISSUED",K$6,$F$2,,,Ccy,Conv)</f>
        <v>0</v>
      </c>
      <c r="J231" s="18">
        <f>_xll.ciqfunctions.udf.CIQ($C$2, "IQ_PREF_ISSUED",L$6,$F$2,,,Ccy,Conv)</f>
        <v>0</v>
      </c>
      <c r="K231" s="18">
        <f>_xll.ciqfunctions.udf.CIQ($C$2, "IQ_PREF_ISSUED",M$6,$F$2,,,Ccy,Conv)</f>
        <v>0</v>
      </c>
      <c r="L231" s="18">
        <f>_xll.ciqfunctions.udf.CIQ($C$2, "IQ_PREF_ISSUED",N$6,$F$2,,,Ccy,Conv)</f>
        <v>0</v>
      </c>
      <c r="M231" s="18"/>
      <c r="N231" s="18">
        <f>_xll.ciqfunctions.udf.CIQ($C$2, "IQ_PREF_ISSUED",P$6,$F$2,,,Ccy,Conv)</f>
        <v>0</v>
      </c>
      <c r="O231" s="198"/>
      <c r="P231" s="198"/>
      <c r="Q231" s="198"/>
      <c r="R231" s="198"/>
      <c r="S231" s="198"/>
      <c r="T231" s="205"/>
      <c r="U231" s="205"/>
      <c r="V231" s="205"/>
      <c r="W231" s="198"/>
      <c r="X231" s="198"/>
      <c r="Y231" s="198"/>
      <c r="Z231" s="198"/>
      <c r="AA231" s="198"/>
      <c r="AB231" s="198"/>
      <c r="AC231" s="198"/>
      <c r="AD231" s="198"/>
      <c r="AE231" s="198"/>
      <c r="AF231" s="198"/>
      <c r="AG231" s="198"/>
      <c r="AH231" s="198"/>
      <c r="AI231" s="198"/>
      <c r="AJ231" s="198"/>
      <c r="AK231" s="198"/>
      <c r="AL231" s="198"/>
      <c r="AM231" s="198"/>
      <c r="AN231" s="198"/>
      <c r="AO231" s="198"/>
      <c r="AP231" s="198"/>
      <c r="AQ231" s="198"/>
      <c r="AR231" s="198"/>
      <c r="AS231" s="198"/>
      <c r="AT231" s="198"/>
      <c r="AU231" s="198"/>
      <c r="AV231" s="198"/>
      <c r="AW231" s="198"/>
      <c r="AX231" s="198"/>
      <c r="AY231" s="198"/>
      <c r="AZ231" s="198"/>
      <c r="BA231" s="198"/>
      <c r="BB231" s="198"/>
      <c r="BC231" s="198"/>
      <c r="BD231" s="198"/>
      <c r="BE231" s="198"/>
      <c r="BF231" s="198"/>
      <c r="BG231" s="198"/>
      <c r="BH231" s="198"/>
      <c r="BI231" s="198"/>
      <c r="BJ231" s="198"/>
      <c r="BK231" s="198"/>
      <c r="BL231" s="198"/>
      <c r="BM231" s="198"/>
      <c r="BN231" s="198"/>
      <c r="BO231" s="198"/>
      <c r="BP231" s="198"/>
      <c r="BQ231" s="198"/>
      <c r="BR231" s="198"/>
      <c r="BS231" s="198"/>
      <c r="BT231" s="198"/>
      <c r="BU231" s="198"/>
      <c r="BV231" s="198"/>
      <c r="BW231" s="198"/>
      <c r="BX231" s="198"/>
    </row>
    <row r="232" spans="1:76" x14ac:dyDescent="0.25">
      <c r="A232" s="2" t="str">
        <f>'Language Index'!A254</f>
        <v>Repurchase of Preferred</v>
      </c>
      <c r="B232" s="18">
        <f>_xll.ciqfunctions.udf.CIQ($C$2, "IQ_PREF_REP",D$6,$F$2,,,Ccy,Conv)</f>
        <v>0</v>
      </c>
      <c r="C232" s="18">
        <f>_xll.ciqfunctions.udf.CIQ($C$2, "IQ_PREF_REP",E$6,$F$2,,,Ccy,Conv)</f>
        <v>0</v>
      </c>
      <c r="D232" s="18">
        <f>_xll.ciqfunctions.udf.CIQ($C$2, "IQ_PREF_REP",F$6,$F$2,,,Ccy,Conv)</f>
        <v>0</v>
      </c>
      <c r="E232" s="18">
        <f>_xll.ciqfunctions.udf.CIQ($C$2, "IQ_PREF_REP",G$6,$F$2,,,Ccy,Conv)</f>
        <v>0</v>
      </c>
      <c r="F232" s="18">
        <f>_xll.ciqfunctions.udf.CIQ($C$2, "IQ_PREF_REP",H$6,$F$2,,,Ccy,Conv)</f>
        <v>0</v>
      </c>
      <c r="G232" s="18">
        <f>_xll.ciqfunctions.udf.CIQ($C$2, "IQ_PREF_REP",I$6,$F$2,,,Ccy,Conv)</f>
        <v>0</v>
      </c>
      <c r="H232" s="18">
        <f>_xll.ciqfunctions.udf.CIQ($C$2, "IQ_PREF_REP",J$6,$F$2,,,Ccy,Conv)</f>
        <v>0</v>
      </c>
      <c r="I232" s="18">
        <f>_xll.ciqfunctions.udf.CIQ($C$2, "IQ_PREF_REP",K$6,$F$2,,,Ccy,Conv)</f>
        <v>0</v>
      </c>
      <c r="J232" s="18">
        <f>_xll.ciqfunctions.udf.CIQ($C$2, "IQ_PREF_REP",L$6,$F$2,,,Ccy,Conv)</f>
        <v>0</v>
      </c>
      <c r="K232" s="18">
        <f>_xll.ciqfunctions.udf.CIQ($C$2, "IQ_PREF_REP",M$6,$F$2,,,Ccy,Conv)</f>
        <v>0</v>
      </c>
      <c r="L232" s="18">
        <f>_xll.ciqfunctions.udf.CIQ($C$2, "IQ_PREF_REP",N$6,$F$2,,,Ccy,Conv)</f>
        <v>0</v>
      </c>
      <c r="M232" s="18"/>
      <c r="N232" s="18">
        <f>_xll.ciqfunctions.udf.CIQ($C$2, "IQ_PREF_REP",P$6,$F$2,,,Ccy,Conv)</f>
        <v>0</v>
      </c>
      <c r="O232" s="198"/>
      <c r="P232" s="198"/>
      <c r="Q232" s="198"/>
      <c r="R232" s="198"/>
      <c r="S232" s="198"/>
      <c r="T232" s="205"/>
      <c r="U232" s="205"/>
      <c r="V232" s="205"/>
      <c r="W232" s="198"/>
      <c r="X232" s="198"/>
      <c r="Y232" s="198"/>
      <c r="Z232" s="198"/>
      <c r="AA232" s="198"/>
      <c r="AB232" s="198"/>
      <c r="AC232" s="198"/>
      <c r="AD232" s="198"/>
      <c r="AE232" s="198"/>
      <c r="AF232" s="198"/>
      <c r="AG232" s="198"/>
      <c r="AH232" s="198"/>
      <c r="AI232" s="198"/>
      <c r="AJ232" s="198"/>
      <c r="AK232" s="198"/>
      <c r="AL232" s="198"/>
      <c r="AM232" s="198"/>
      <c r="AN232" s="198"/>
      <c r="AO232" s="198"/>
      <c r="AP232" s="198"/>
      <c r="AQ232" s="198"/>
      <c r="AR232" s="198"/>
      <c r="AS232" s="198"/>
      <c r="AT232" s="198"/>
      <c r="AU232" s="198"/>
      <c r="AV232" s="198"/>
      <c r="AW232" s="198"/>
      <c r="AX232" s="198"/>
      <c r="AY232" s="198"/>
      <c r="AZ232" s="198"/>
      <c r="BA232" s="198"/>
      <c r="BB232" s="198"/>
      <c r="BC232" s="198"/>
      <c r="BD232" s="198"/>
      <c r="BE232" s="198"/>
      <c r="BF232" s="198"/>
      <c r="BG232" s="198"/>
      <c r="BH232" s="198"/>
      <c r="BI232" s="198"/>
      <c r="BJ232" s="198"/>
      <c r="BK232" s="198"/>
      <c r="BL232" s="198"/>
      <c r="BM232" s="198"/>
      <c r="BN232" s="198"/>
      <c r="BO232" s="198"/>
      <c r="BP232" s="198"/>
      <c r="BQ232" s="198"/>
      <c r="BR232" s="198"/>
      <c r="BS232" s="198"/>
      <c r="BT232" s="198"/>
      <c r="BU232" s="198"/>
      <c r="BV232" s="198"/>
      <c r="BW232" s="198"/>
      <c r="BX232" s="198"/>
    </row>
    <row r="233" spans="1:76" x14ac:dyDescent="0.25">
      <c r="A233" s="2" t="str">
        <f>'Language Index'!A255</f>
        <v>Common Dividends Paid</v>
      </c>
      <c r="B233" s="18">
        <f>_xll.ciqfunctions.udf.CIQ($C$2, "IQ_COMMON_DIV_CF",D$6,$F$2,,,Ccy,Conv)</f>
        <v>-4265</v>
      </c>
      <c r="C233" s="18">
        <f>_xll.ciqfunctions.udf.CIQ($C$2, "IQ_COMMON_DIV_CF",E$6,$F$2,,,Ccy,Conv)</f>
        <v>-4897</v>
      </c>
      <c r="D233" s="18">
        <f>_xll.ciqfunctions.udf.CIQ($C$2, "IQ_COMMON_DIV_CF",F$6,$F$2,,,Ccy,Conv)</f>
        <v>-5256</v>
      </c>
      <c r="E233" s="18">
        <f>_xll.ciqfunctions.udf.CIQ($C$2, "IQ_COMMON_DIV_CF",G$6,$F$2,,,Ccy,Conv)</f>
        <v>-5506</v>
      </c>
      <c r="F233" s="18">
        <f>_xll.ciqfunctions.udf.CIQ($C$2, "IQ_COMMON_DIV_CF",H$6,$F$2,,,Ccy,Conv)</f>
        <v>-5666</v>
      </c>
      <c r="G233" s="18">
        <f>_xll.ciqfunctions.udf.CIQ($C$2, "IQ_COMMON_DIV_CF",I$6,$F$2,,,Ccy,Conv)</f>
        <v>-5707</v>
      </c>
      <c r="H233" s="18">
        <f>_xll.ciqfunctions.udf.CIQ($C$2, "IQ_COMMON_DIV_CF",J$6,$F$2,,,Ccy,Conv)</f>
        <v>-5797</v>
      </c>
      <c r="I233" s="18">
        <f>_xll.ciqfunctions.udf.CIQ($C$2, "IQ_COMMON_DIV_CF",K$6,$F$2,,,Ccy,Conv)</f>
        <v>-5869</v>
      </c>
      <c r="J233" s="18">
        <f>_xll.ciqfunctions.udf.CIQ($C$2, "IQ_COMMON_DIV_CF",L$6,$F$2,,,Ccy,Conv)</f>
        <v>-5948</v>
      </c>
      <c r="K233" s="18">
        <f>_xll.ciqfunctions.udf.CIQ($C$2, "IQ_COMMON_DIV_CF",M$6,$F$2,,,Ccy,Conv)</f>
        <v>-6040</v>
      </c>
      <c r="L233" s="18">
        <f>_xll.ciqfunctions.udf.CIQ($C$2, "IQ_COMMON_DIV_CF",N$6,$F$2,,,Ccy,Conv)</f>
        <v>-6147</v>
      </c>
      <c r="M233" s="18"/>
      <c r="N233" s="18">
        <f>_xll.ciqfunctions.udf.CIQ($C$2, "IQ_COMMON_DIV_CF",P$6,$F$2,,,Ccy,Conv)</f>
        <v>-6147</v>
      </c>
      <c r="O233" s="198"/>
      <c r="P233" s="198"/>
      <c r="Q233" s="198"/>
      <c r="R233" s="198"/>
      <c r="S233" s="198"/>
      <c r="T233" s="205"/>
      <c r="U233" s="205"/>
      <c r="V233" s="205"/>
      <c r="W233" s="198"/>
      <c r="X233" s="198"/>
      <c r="Y233" s="198"/>
      <c r="Z233" s="198"/>
      <c r="AA233" s="198"/>
      <c r="AB233" s="198"/>
      <c r="AC233" s="198"/>
      <c r="AD233" s="198"/>
      <c r="AE233" s="198"/>
      <c r="AF233" s="198"/>
      <c r="AG233" s="198"/>
      <c r="AH233" s="198"/>
      <c r="AI233" s="198"/>
      <c r="AJ233" s="198"/>
      <c r="AK233" s="198"/>
      <c r="AL233" s="198"/>
      <c r="AM233" s="198"/>
      <c r="AN233" s="198"/>
      <c r="AO233" s="198"/>
      <c r="AP233" s="198"/>
      <c r="AQ233" s="198"/>
      <c r="AR233" s="198"/>
      <c r="AS233" s="198"/>
      <c r="AT233" s="198"/>
      <c r="AU233" s="198"/>
      <c r="AV233" s="198"/>
      <c r="AW233" s="198"/>
      <c r="AX233" s="198"/>
      <c r="AY233" s="198"/>
      <c r="AZ233" s="198"/>
      <c r="BA233" s="198"/>
      <c r="BB233" s="198"/>
      <c r="BC233" s="198"/>
      <c r="BD233" s="198"/>
      <c r="BE233" s="198"/>
      <c r="BF233" s="198"/>
      <c r="BG233" s="198"/>
      <c r="BH233" s="198"/>
      <c r="BI233" s="198"/>
      <c r="BJ233" s="198"/>
      <c r="BK233" s="198"/>
      <c r="BL233" s="198"/>
      <c r="BM233" s="198"/>
      <c r="BN233" s="198"/>
      <c r="BO233" s="198"/>
      <c r="BP233" s="198"/>
      <c r="BQ233" s="198"/>
      <c r="BR233" s="198"/>
      <c r="BS233" s="198"/>
      <c r="BT233" s="198"/>
      <c r="BU233" s="198"/>
      <c r="BV233" s="198"/>
      <c r="BW233" s="198"/>
      <c r="BX233" s="198"/>
    </row>
    <row r="234" spans="1:76" x14ac:dyDescent="0.25">
      <c r="A234" s="2" t="str">
        <f>'Language Index'!A256</f>
        <v>Pref. Dividends Paid</v>
      </c>
      <c r="B234" s="18">
        <f>_xll.ciqfunctions.udf.CIQ($C$2, "IQ_PREF_DIV_CF",D$6,$F$2,,,Ccy,Conv)</f>
        <v>0</v>
      </c>
      <c r="C234" s="18">
        <f>_xll.ciqfunctions.udf.CIQ($C$2, "IQ_PREF_DIV_CF",E$6,$F$2,,,Ccy,Conv)</f>
        <v>0</v>
      </c>
      <c r="D234" s="18">
        <f>_xll.ciqfunctions.udf.CIQ($C$2, "IQ_PREF_DIV_CF",F$6,$F$2,,,Ccy,Conv)</f>
        <v>0</v>
      </c>
      <c r="E234" s="18">
        <f>_xll.ciqfunctions.udf.CIQ($C$2, "IQ_PREF_DIV_CF",G$6,$F$2,,,Ccy,Conv)</f>
        <v>0</v>
      </c>
      <c r="F234" s="18">
        <f>_xll.ciqfunctions.udf.CIQ($C$2, "IQ_PREF_DIV_CF",H$6,$F$2,,,Ccy,Conv)</f>
        <v>0</v>
      </c>
      <c r="G234" s="18">
        <f>_xll.ciqfunctions.udf.CIQ($C$2, "IQ_PREF_DIV_CF",I$6,$F$2,,,Ccy,Conv)</f>
        <v>0</v>
      </c>
      <c r="H234" s="18">
        <f>_xll.ciqfunctions.udf.CIQ($C$2, "IQ_PREF_DIV_CF",J$6,$F$2,,,Ccy,Conv)</f>
        <v>0</v>
      </c>
      <c r="I234" s="18">
        <f>_xll.ciqfunctions.udf.CIQ($C$2, "IQ_PREF_DIV_CF",K$6,$F$2,,,Ccy,Conv)</f>
        <v>0</v>
      </c>
      <c r="J234" s="18">
        <f>_xll.ciqfunctions.udf.CIQ($C$2, "IQ_PREF_DIV_CF",L$6,$F$2,,,Ccy,Conv)</f>
        <v>0</v>
      </c>
      <c r="K234" s="18">
        <f>_xll.ciqfunctions.udf.CIQ($C$2, "IQ_PREF_DIV_CF",M$6,$F$2,,,Ccy,Conv)</f>
        <v>0</v>
      </c>
      <c r="L234" s="18">
        <f>_xll.ciqfunctions.udf.CIQ($C$2, "IQ_PREF_DIV_CF",N$6,$F$2,,,Ccy,Conv)</f>
        <v>0</v>
      </c>
      <c r="M234" s="18"/>
      <c r="N234" s="18">
        <f>_xll.ciqfunctions.udf.CIQ($C$2, "IQ_PREF_DIV_CF",P$6,$F$2,,,Ccy,Conv)</f>
        <v>0</v>
      </c>
      <c r="O234" s="198"/>
      <c r="P234" s="198"/>
      <c r="Q234" s="198"/>
      <c r="R234" s="198"/>
      <c r="S234" s="198"/>
      <c r="T234" s="205"/>
      <c r="U234" s="205"/>
      <c r="V234" s="205"/>
      <c r="W234" s="198"/>
      <c r="X234" s="198"/>
      <c r="Y234" s="198"/>
      <c r="Z234" s="198"/>
      <c r="AA234" s="198"/>
      <c r="AB234" s="198"/>
      <c r="AC234" s="198"/>
      <c r="AD234" s="198"/>
      <c r="AE234" s="198"/>
      <c r="AF234" s="198"/>
      <c r="AG234" s="198"/>
      <c r="AH234" s="198"/>
      <c r="AI234" s="198"/>
      <c r="AJ234" s="198"/>
      <c r="AK234" s="198"/>
      <c r="AL234" s="198"/>
      <c r="AM234" s="198"/>
      <c r="AN234" s="198"/>
      <c r="AO234" s="198"/>
      <c r="AP234" s="198"/>
      <c r="AQ234" s="198"/>
      <c r="AR234" s="198"/>
      <c r="AS234" s="198"/>
      <c r="AT234" s="198"/>
      <c r="AU234" s="198"/>
      <c r="AV234" s="198"/>
      <c r="AW234" s="198"/>
      <c r="AX234" s="198"/>
      <c r="AY234" s="198"/>
      <c r="AZ234" s="198"/>
      <c r="BA234" s="198"/>
      <c r="BB234" s="198"/>
      <c r="BC234" s="198"/>
      <c r="BD234" s="198"/>
      <c r="BE234" s="198"/>
      <c r="BF234" s="198"/>
      <c r="BG234" s="198"/>
      <c r="BH234" s="198"/>
      <c r="BI234" s="198"/>
      <c r="BJ234" s="198"/>
      <c r="BK234" s="198"/>
      <c r="BL234" s="198"/>
      <c r="BM234" s="198"/>
      <c r="BN234" s="198"/>
      <c r="BO234" s="198"/>
      <c r="BP234" s="198"/>
      <c r="BQ234" s="198"/>
      <c r="BR234" s="198"/>
      <c r="BS234" s="198"/>
      <c r="BT234" s="198"/>
      <c r="BU234" s="198"/>
      <c r="BV234" s="198"/>
      <c r="BW234" s="198"/>
      <c r="BX234" s="198"/>
    </row>
    <row r="235" spans="1:76" x14ac:dyDescent="0.25">
      <c r="A235" s="2" t="str">
        <f>'Language Index'!A257</f>
        <v>Common and/or Pref. Dividends Paid</v>
      </c>
      <c r="B235" s="18">
        <f>_xll.ciqfunctions.udf.CIQ($C$2, "IQ_COMMON_PREF_DIV_CF",D$6,$F$2,,,Ccy,Conv)</f>
        <v>0</v>
      </c>
      <c r="C235" s="18">
        <f>_xll.ciqfunctions.udf.CIQ($C$2, "IQ_COMMON_PREF_DIV_CF",E$6,$F$2,,,Ccy,Conv)</f>
        <v>0</v>
      </c>
      <c r="D235" s="18">
        <f>_xll.ciqfunctions.udf.CIQ($C$2, "IQ_COMMON_PREF_DIV_CF",F$6,$F$2,,,Ccy,Conv)</f>
        <v>0</v>
      </c>
      <c r="E235" s="18">
        <f>_xll.ciqfunctions.udf.CIQ($C$2, "IQ_COMMON_PREF_DIV_CF",G$6,$F$2,,,Ccy,Conv)</f>
        <v>0</v>
      </c>
      <c r="F235" s="18">
        <f>_xll.ciqfunctions.udf.CIQ($C$2, "IQ_COMMON_PREF_DIV_CF",H$6,$F$2,,,Ccy,Conv)</f>
        <v>0</v>
      </c>
      <c r="G235" s="18">
        <f>_xll.ciqfunctions.udf.CIQ($C$2, "IQ_COMMON_PREF_DIV_CF",I$6,$F$2,,,Ccy,Conv)</f>
        <v>0</v>
      </c>
      <c r="H235" s="18">
        <f>_xll.ciqfunctions.udf.CIQ($C$2, "IQ_COMMON_PREF_DIV_CF",J$6,$F$2,,,Ccy,Conv)</f>
        <v>0</v>
      </c>
      <c r="I235" s="18">
        <f>_xll.ciqfunctions.udf.CIQ($C$2, "IQ_COMMON_PREF_DIV_CF",K$6,$F$2,,,Ccy,Conv)</f>
        <v>0</v>
      </c>
      <c r="J235" s="18">
        <f>_xll.ciqfunctions.udf.CIQ($C$2, "IQ_COMMON_PREF_DIV_CF",L$6,$F$2,,,Ccy,Conv)</f>
        <v>0</v>
      </c>
      <c r="K235" s="18">
        <f>_xll.ciqfunctions.udf.CIQ($C$2, "IQ_COMMON_PREF_DIV_CF",M$6,$F$2,,,Ccy,Conv)</f>
        <v>0</v>
      </c>
      <c r="L235" s="18">
        <f>_xll.ciqfunctions.udf.CIQ($C$2, "IQ_COMMON_PREF_DIV_CF",N$6,$F$2,,,Ccy,Conv)</f>
        <v>0</v>
      </c>
      <c r="M235" s="18"/>
      <c r="N235" s="18">
        <f>_xll.ciqfunctions.udf.CIQ($C$2, "IQ_COMMON_PREF_DIV_CF",P$6,$F$2,,,Ccy,Conv)</f>
        <v>0</v>
      </c>
      <c r="O235" s="198"/>
      <c r="P235" s="198"/>
      <c r="Q235" s="198"/>
      <c r="R235" s="198"/>
      <c r="S235" s="198"/>
      <c r="T235" s="205"/>
      <c r="U235" s="205"/>
      <c r="V235" s="205"/>
      <c r="W235" s="198"/>
      <c r="X235" s="198"/>
      <c r="Y235" s="198"/>
      <c r="Z235" s="198"/>
      <c r="AA235" s="198"/>
      <c r="AB235" s="198"/>
      <c r="AC235" s="198"/>
      <c r="AD235" s="198"/>
      <c r="AE235" s="198"/>
      <c r="AF235" s="198"/>
      <c r="AG235" s="198"/>
      <c r="AH235" s="198"/>
      <c r="AI235" s="198"/>
      <c r="AJ235" s="198"/>
      <c r="AK235" s="198"/>
      <c r="AL235" s="198"/>
      <c r="AM235" s="198"/>
      <c r="AN235" s="198"/>
      <c r="AO235" s="198"/>
      <c r="AP235" s="198"/>
      <c r="AQ235" s="198"/>
      <c r="AR235" s="198"/>
      <c r="AS235" s="198"/>
      <c r="AT235" s="198"/>
      <c r="AU235" s="198"/>
      <c r="AV235" s="198"/>
      <c r="AW235" s="198"/>
      <c r="AX235" s="198"/>
      <c r="AY235" s="198"/>
      <c r="AZ235" s="198"/>
      <c r="BA235" s="198"/>
      <c r="BB235" s="198"/>
      <c r="BC235" s="198"/>
      <c r="BD235" s="198"/>
      <c r="BE235" s="198"/>
      <c r="BF235" s="198"/>
      <c r="BG235" s="198"/>
      <c r="BH235" s="198"/>
      <c r="BI235" s="198"/>
      <c r="BJ235" s="198"/>
      <c r="BK235" s="198"/>
      <c r="BL235" s="198"/>
      <c r="BM235" s="198"/>
      <c r="BN235" s="198"/>
      <c r="BO235" s="198"/>
      <c r="BP235" s="198"/>
      <c r="BQ235" s="198"/>
      <c r="BR235" s="198"/>
      <c r="BS235" s="198"/>
      <c r="BT235" s="198"/>
      <c r="BU235" s="198"/>
      <c r="BV235" s="198"/>
      <c r="BW235" s="198"/>
      <c r="BX235" s="198"/>
    </row>
    <row r="236" spans="1:76" x14ac:dyDescent="0.25">
      <c r="A236" s="2" t="str">
        <f>'Language Index'!A258</f>
        <v>Total Dividends Paid</v>
      </c>
      <c r="B236" s="20">
        <f>_xll.ciqfunctions.udf.CIQ($C$2, "IQ_TOTAL_DIV_PAID_CF",D$6,$F$2,,,Ccy,Conv)</f>
        <v>-4265</v>
      </c>
      <c r="C236" s="20">
        <f>_xll.ciqfunctions.udf.CIQ($C$2, "IQ_TOTAL_DIV_PAID_CF",E$6,$F$2,,,Ccy,Conv)</f>
        <v>-4897</v>
      </c>
      <c r="D236" s="20">
        <f>_xll.ciqfunctions.udf.CIQ($C$2, "IQ_TOTAL_DIV_PAID_CF",F$6,$F$2,,,Ccy,Conv)</f>
        <v>-5256</v>
      </c>
      <c r="E236" s="20">
        <f>_xll.ciqfunctions.udf.CIQ($C$2, "IQ_TOTAL_DIV_PAID_CF",G$6,$F$2,,,Ccy,Conv)</f>
        <v>-5506</v>
      </c>
      <c r="F236" s="20">
        <f>_xll.ciqfunctions.udf.CIQ($C$2, "IQ_TOTAL_DIV_PAID_CF",H$6,$F$2,,,Ccy,Conv)</f>
        <v>-5666</v>
      </c>
      <c r="G236" s="20">
        <f>_xll.ciqfunctions.udf.CIQ($C$2, "IQ_TOTAL_DIV_PAID_CF",I$6,$F$2,,,Ccy,Conv)</f>
        <v>-5707</v>
      </c>
      <c r="H236" s="20">
        <f>_xll.ciqfunctions.udf.CIQ($C$2, "IQ_TOTAL_DIV_PAID_CF",J$6,$F$2,,,Ccy,Conv)</f>
        <v>-5797</v>
      </c>
      <c r="I236" s="20">
        <f>_xll.ciqfunctions.udf.CIQ($C$2, "IQ_TOTAL_DIV_PAID_CF",K$6,$F$2,,,Ccy,Conv)</f>
        <v>-5869</v>
      </c>
      <c r="J236" s="20">
        <f>_xll.ciqfunctions.udf.CIQ($C$2, "IQ_TOTAL_DIV_PAID_CF",L$6,$F$2,,,Ccy,Conv)</f>
        <v>-5948</v>
      </c>
      <c r="K236" s="20">
        <f>_xll.ciqfunctions.udf.CIQ($C$2, "IQ_TOTAL_DIV_PAID_CF",M$6,$F$2,,,Ccy,Conv)</f>
        <v>-6040</v>
      </c>
      <c r="L236" s="20">
        <f>_xll.ciqfunctions.udf.CIQ($C$2, "IQ_TOTAL_DIV_PAID_CF",N$6,$F$2,,,Ccy,Conv)</f>
        <v>-6147</v>
      </c>
      <c r="M236" s="21"/>
      <c r="N236" s="20">
        <f>_xll.ciqfunctions.udf.CIQ($C$2, "IQ_TOTAL_DIV_PAID_CF",P$6,$F$2,,,Ccy,Conv)</f>
        <v>-6147</v>
      </c>
      <c r="O236" s="198"/>
      <c r="P236" s="198"/>
      <c r="Q236" s="198"/>
      <c r="R236" s="198"/>
      <c r="S236" s="198"/>
      <c r="T236" s="205"/>
      <c r="U236" s="205"/>
      <c r="V236" s="205"/>
      <c r="W236" s="198"/>
      <c r="X236" s="198"/>
      <c r="Y236" s="198"/>
      <c r="Z236" s="198"/>
      <c r="AA236" s="198"/>
      <c r="AB236" s="198"/>
      <c r="AC236" s="198"/>
      <c r="AD236" s="198"/>
      <c r="AE236" s="198"/>
      <c r="AF236" s="198"/>
      <c r="AG236" s="198"/>
      <c r="AH236" s="198"/>
      <c r="AI236" s="198"/>
      <c r="AJ236" s="198"/>
      <c r="AK236" s="198"/>
      <c r="AL236" s="198"/>
      <c r="AM236" s="198"/>
      <c r="AN236" s="198"/>
      <c r="AO236" s="198"/>
      <c r="AP236" s="198"/>
      <c r="AQ236" s="198"/>
      <c r="AR236" s="198"/>
      <c r="AS236" s="198"/>
      <c r="AT236" s="198"/>
      <c r="AU236" s="198"/>
      <c r="AV236" s="198"/>
      <c r="AW236" s="198"/>
      <c r="AX236" s="198"/>
      <c r="AY236" s="198"/>
      <c r="AZ236" s="198"/>
      <c r="BA236" s="198"/>
      <c r="BB236" s="198"/>
      <c r="BC236" s="198"/>
      <c r="BD236" s="198"/>
      <c r="BE236" s="198"/>
      <c r="BF236" s="198"/>
      <c r="BG236" s="198"/>
      <c r="BH236" s="198"/>
      <c r="BI236" s="198"/>
      <c r="BJ236" s="198"/>
      <c r="BK236" s="198"/>
      <c r="BL236" s="198"/>
      <c r="BM236" s="198"/>
      <c r="BN236" s="198"/>
      <c r="BO236" s="198"/>
      <c r="BP236" s="198"/>
      <c r="BQ236" s="198"/>
      <c r="BR236" s="198"/>
      <c r="BS236" s="198"/>
      <c r="BT236" s="198"/>
      <c r="BU236" s="198"/>
      <c r="BV236" s="198"/>
      <c r="BW236" s="198"/>
      <c r="BX236" s="198"/>
    </row>
    <row r="237" spans="1:76" x14ac:dyDescent="0.25">
      <c r="A237" s="2" t="str">
        <f>'Language Index'!A259</f>
        <v>Special Dividend Paid</v>
      </c>
      <c r="B237" s="18">
        <f>_xll.ciqfunctions.udf.CIQ($C$2, "IQ_SPECIAL_DIV_CF",D$6,$F$2,,,Ccy,Conv)</f>
        <v>0</v>
      </c>
      <c r="C237" s="18">
        <f>_xll.ciqfunctions.udf.CIQ($C$2, "IQ_SPECIAL_DIV_CF",E$6,$F$2,,,Ccy,Conv)</f>
        <v>0</v>
      </c>
      <c r="D237" s="18">
        <f>_xll.ciqfunctions.udf.CIQ($C$2, "IQ_SPECIAL_DIV_CF",F$6,$F$2,,,Ccy,Conv)</f>
        <v>0</v>
      </c>
      <c r="E237" s="18">
        <f>_xll.ciqfunctions.udf.CIQ($C$2, "IQ_SPECIAL_DIV_CF",G$6,$F$2,,,Ccy,Conv)</f>
        <v>0</v>
      </c>
      <c r="F237" s="18">
        <f>_xll.ciqfunctions.udf.CIQ($C$2, "IQ_SPECIAL_DIV_CF",H$6,$F$2,,,Ccy,Conv)</f>
        <v>0</v>
      </c>
      <c r="G237" s="18">
        <f>_xll.ciqfunctions.udf.CIQ($C$2, "IQ_SPECIAL_DIV_CF",I$6,$F$2,,,Ccy,Conv)</f>
        <v>0</v>
      </c>
      <c r="H237" s="18">
        <f>_xll.ciqfunctions.udf.CIQ($C$2, "IQ_SPECIAL_DIV_CF",J$6,$F$2,,,Ccy,Conv)</f>
        <v>0</v>
      </c>
      <c r="I237" s="18">
        <f>_xll.ciqfunctions.udf.CIQ($C$2, "IQ_SPECIAL_DIV_CF",K$6,$F$2,,,Ccy,Conv)</f>
        <v>0</v>
      </c>
      <c r="J237" s="18">
        <f>_xll.ciqfunctions.udf.CIQ($C$2, "IQ_SPECIAL_DIV_CF",L$6,$F$2,,,Ccy,Conv)</f>
        <v>0</v>
      </c>
      <c r="K237" s="18">
        <f>_xll.ciqfunctions.udf.CIQ($C$2, "IQ_SPECIAL_DIV_CF",M$6,$F$2,,,Ccy,Conv)</f>
        <v>0</v>
      </c>
      <c r="L237" s="18">
        <f>_xll.ciqfunctions.udf.CIQ($C$2, "IQ_SPECIAL_DIV_CF",N$6,$F$2,,,Ccy,Conv)</f>
        <v>0</v>
      </c>
      <c r="M237" s="18"/>
      <c r="N237" s="18">
        <f>_xll.ciqfunctions.udf.CIQ($C$2, "IQ_SPECIAL_DIV_CF",P$6,$F$2,,,Ccy,Conv)</f>
        <v>0</v>
      </c>
      <c r="O237" s="198"/>
      <c r="P237" s="198"/>
      <c r="Q237" s="198"/>
      <c r="R237" s="198"/>
      <c r="S237" s="198"/>
      <c r="T237" s="223"/>
      <c r="U237" s="223"/>
      <c r="V237" s="205"/>
      <c r="W237" s="198"/>
      <c r="X237" s="198"/>
      <c r="Y237" s="198"/>
      <c r="Z237" s="198"/>
      <c r="AA237" s="198"/>
      <c r="AB237" s="198"/>
      <c r="AC237" s="198"/>
      <c r="AD237" s="198"/>
      <c r="AE237" s="198"/>
      <c r="AF237" s="198"/>
      <c r="AG237" s="198"/>
      <c r="AH237" s="198"/>
      <c r="AI237" s="198"/>
      <c r="AJ237" s="198"/>
      <c r="AK237" s="198"/>
      <c r="AL237" s="198"/>
      <c r="AM237" s="198"/>
      <c r="AN237" s="198"/>
      <c r="AO237" s="198"/>
      <c r="AP237" s="198"/>
      <c r="AQ237" s="198"/>
      <c r="AR237" s="198"/>
      <c r="AS237" s="198"/>
      <c r="AT237" s="198"/>
      <c r="AU237" s="198"/>
      <c r="AV237" s="198"/>
      <c r="AW237" s="198"/>
      <c r="AX237" s="198"/>
      <c r="AY237" s="198"/>
      <c r="AZ237" s="198"/>
      <c r="BA237" s="198"/>
      <c r="BB237" s="198"/>
      <c r="BC237" s="198"/>
      <c r="BD237" s="198"/>
      <c r="BE237" s="198"/>
      <c r="BF237" s="198"/>
      <c r="BG237" s="198"/>
      <c r="BH237" s="198"/>
      <c r="BI237" s="198"/>
      <c r="BJ237" s="198"/>
      <c r="BK237" s="198"/>
      <c r="BL237" s="198"/>
      <c r="BM237" s="198"/>
      <c r="BN237" s="198"/>
      <c r="BO237" s="198"/>
      <c r="BP237" s="198"/>
      <c r="BQ237" s="198"/>
      <c r="BR237" s="198"/>
      <c r="BS237" s="198"/>
      <c r="BT237" s="198"/>
      <c r="BU237" s="198"/>
      <c r="BV237" s="198"/>
      <c r="BW237" s="198"/>
      <c r="BX237" s="198"/>
    </row>
    <row r="238" spans="1:76" x14ac:dyDescent="0.25">
      <c r="A238" s="2" t="str">
        <f>'Language Index'!A260</f>
        <v>Other Financing Activities</v>
      </c>
      <c r="B238" s="18">
        <f>_xll.ciqfunctions.udf.CIQ($C$2, "IQ_OTHER_FINANCE_ACT_SUPPL",D$6,$F$2,,,Ccy,Conv)</f>
        <v>0</v>
      </c>
      <c r="C238" s="18">
        <f>_xll.ciqfunctions.udf.CIQ($C$2, "IQ_OTHER_FINANCE_ACT_SUPPL",E$6,$F$2,,,Ccy,Conv)</f>
        <v>0</v>
      </c>
      <c r="D238" s="18">
        <f>_xll.ciqfunctions.udf.CIQ($C$2, "IQ_OTHER_FINANCE_ACT_SUPPL",F$6,$F$2,,,Ccy,Conv)</f>
        <v>204</v>
      </c>
      <c r="E238" s="18">
        <f>_xll.ciqfunctions.udf.CIQ($C$2, "IQ_OTHER_FINANCE_ACT_SUPPL",G$6,$F$2,,,Ccy,Conv)</f>
        <v>174</v>
      </c>
      <c r="F238" s="18">
        <f>_xll.ciqfunctions.udf.CIQ($C$2, "IQ_OTHER_FINANCE_ACT_SUPPL",H$6,$F$2,,,Ccy,Conv)</f>
        <v>112</v>
      </c>
      <c r="G238" s="18">
        <f>_xll.ciqfunctions.udf.CIQ($C$2, "IQ_OTHER_FINANCE_ACT_SUPPL",I$6,$F$2,,,Ccy,Conv)</f>
        <v>98</v>
      </c>
      <c r="H238" s="18">
        <f>_xll.ciqfunctions.udf.CIQ($C$2, "IQ_OTHER_FINANCE_ACT_SUPPL",J$6,$F$2,,,Ccy,Conv)</f>
        <v>92</v>
      </c>
      <c r="I238" s="18">
        <f>_xll.ciqfunctions.udf.CIQ($C$2, "IQ_OTHER_FINANCE_ACT_SUPPL",K$6,$F$2,,,Ccy,Conv)</f>
        <v>949</v>
      </c>
      <c r="J238" s="18">
        <f>_xll.ciqfunctions.udf.CIQ($C$2, "IQ_OTHER_FINANCE_ACT_SUPPL",L$6,$F$2,,,Ccy,Conv)</f>
        <v>-103</v>
      </c>
      <c r="K238" s="18">
        <f>_xll.ciqfunctions.udf.CIQ($C$2, "IQ_OTHER_FINANCE_ACT_SUPPL",M$6,$F$2,,,Ccy,Conv)</f>
        <v>-238</v>
      </c>
      <c r="L238" s="18">
        <f>_xll.ciqfunctions.udf.CIQ($C$2, "IQ_OTHER_FINANCE_ACT_SUPPL",N$6,$F$2,,,Ccy,Conv)</f>
        <v>-146</v>
      </c>
      <c r="M238" s="18"/>
      <c r="N238" s="18">
        <f>_xll.ciqfunctions.udf.CIQ($C$2, "IQ_OTHER_FINANCE_ACT_SUPPL",P$6,$F$2,,,Ccy,Conv)</f>
        <v>-146</v>
      </c>
      <c r="O238" s="198"/>
      <c r="P238" s="198"/>
      <c r="Q238" s="198"/>
      <c r="R238" s="198"/>
      <c r="S238" s="198"/>
      <c r="T238" s="205"/>
      <c r="U238" s="205"/>
      <c r="V238" s="205"/>
      <c r="W238" s="198"/>
      <c r="X238" s="198"/>
      <c r="Y238" s="198"/>
      <c r="Z238" s="198"/>
      <c r="AA238" s="198"/>
      <c r="AB238" s="198"/>
      <c r="AC238" s="198"/>
      <c r="AD238" s="198"/>
      <c r="AE238" s="198"/>
      <c r="AF238" s="198"/>
      <c r="AG238" s="198"/>
      <c r="AH238" s="198"/>
      <c r="AI238" s="198"/>
      <c r="AJ238" s="198"/>
      <c r="AK238" s="198"/>
      <c r="AL238" s="198"/>
      <c r="AM238" s="198"/>
      <c r="AN238" s="198"/>
      <c r="AO238" s="198"/>
      <c r="AP238" s="198"/>
      <c r="AQ238" s="198"/>
      <c r="AR238" s="198"/>
      <c r="AS238" s="198"/>
      <c r="AT238" s="198"/>
      <c r="AU238" s="198"/>
      <c r="AV238" s="198"/>
      <c r="AW238" s="198"/>
      <c r="AX238" s="198"/>
      <c r="AY238" s="198"/>
      <c r="AZ238" s="198"/>
      <c r="BA238" s="198"/>
      <c r="BB238" s="198"/>
      <c r="BC238" s="198"/>
      <c r="BD238" s="198"/>
      <c r="BE238" s="198"/>
      <c r="BF238" s="198"/>
      <c r="BG238" s="198"/>
      <c r="BH238" s="198"/>
      <c r="BI238" s="198"/>
      <c r="BJ238" s="198"/>
      <c r="BK238" s="198"/>
      <c r="BL238" s="198"/>
      <c r="BM238" s="198"/>
      <c r="BN238" s="198"/>
      <c r="BO238" s="198"/>
      <c r="BP238" s="198"/>
      <c r="BQ238" s="198"/>
      <c r="BR238" s="198"/>
      <c r="BS238" s="198"/>
      <c r="BT238" s="198"/>
      <c r="BU238" s="198"/>
      <c r="BV238" s="198"/>
      <c r="BW238" s="198"/>
      <c r="BX238" s="198"/>
    </row>
    <row r="239" spans="1:76" ht="13.8" thickBot="1" x14ac:dyDescent="0.3">
      <c r="A239" s="19" t="str">
        <f>'Language Index'!A261</f>
        <v>Cash from Financing</v>
      </c>
      <c r="B239" s="23">
        <f>_xll.ciqfunctions.udf.CIQ($C$2, "IQ_CASH_FINAN",D$6,$F$2,,,Ccy,Conv)</f>
        <v>-15452</v>
      </c>
      <c r="C239" s="23">
        <f>_xll.ciqfunctions.udf.CIQ($C$2, "IQ_CASH_FINAN",E$6,$F$2,,,Ccy,Conv)</f>
        <v>-9413</v>
      </c>
      <c r="D239" s="23">
        <f>_xll.ciqfunctions.udf.CIQ($C$2, "IQ_CASH_FINAN",F$6,$F$2,,,Ccy,Conv)</f>
        <v>-5917</v>
      </c>
      <c r="E239" s="23">
        <f>_xll.ciqfunctions.udf.CIQ($C$2, "IQ_CASH_FINAN",G$6,$F$2,,,Ccy,Conv)</f>
        <v>-6418</v>
      </c>
      <c r="F239" s="23">
        <f>_xll.ciqfunctions.udf.CIQ($C$2, "IQ_CASH_FINAN",H$6,$F$2,,,Ccy,Conv)</f>
        <v>-10469</v>
      </c>
      <c r="G239" s="23">
        <f>_xll.ciqfunctions.udf.CIQ($C$2, "IQ_CASH_FINAN",I$6,$F$2,,,Ccy,Conv)</f>
        <v>9042</v>
      </c>
      <c r="H239" s="23">
        <f>_xll.ciqfunctions.udf.CIQ($C$2, "IQ_CASH_FINAN",J$6,$F$2,,,Ccy,Conv)</f>
        <v>-9721</v>
      </c>
      <c r="I239" s="23">
        <f>_xll.ciqfunctions.udf.CIQ($C$2, "IQ_CASH_FINAN",K$6,$F$2,,,Ccy,Conv)</f>
        <v>-13354</v>
      </c>
      <c r="J239" s="23">
        <f>_xll.ciqfunctions.udf.CIQ($C$2, "IQ_CASH_FINAN",L$6,$F$2,,,Ccy,Conv)</f>
        <v>-4958</v>
      </c>
      <c r="K239" s="23">
        <f>_xll.ciqfunctions.udf.CIQ($C$2, "IQ_CASH_FINAN",M$6,$F$2,,,Ccy,Conv)</f>
        <v>-1769</v>
      </c>
      <c r="L239" s="23">
        <f>_xll.ciqfunctions.udf.CIQ($C$2, "IQ_CASH_FINAN",N$6,$F$2,,,Ccy,Conv)</f>
        <v>-7079</v>
      </c>
      <c r="M239" s="21"/>
      <c r="N239" s="23">
        <f>_xll.ciqfunctions.udf.CIQ($C$2, "IQ_CASH_FINAN",P$6,$F$2,,,Ccy,Conv)</f>
        <v>-7079</v>
      </c>
      <c r="O239" s="198"/>
      <c r="P239" s="198"/>
      <c r="Q239" s="198"/>
      <c r="R239" s="198"/>
      <c r="S239" s="198"/>
      <c r="T239" s="205"/>
      <c r="U239" s="205"/>
      <c r="V239" s="205"/>
      <c r="W239" s="198"/>
      <c r="X239" s="198"/>
      <c r="Y239" s="198"/>
      <c r="Z239" s="198"/>
      <c r="AA239" s="198"/>
      <c r="AB239" s="198"/>
      <c r="AC239" s="198"/>
      <c r="AD239" s="198"/>
      <c r="AE239" s="198"/>
      <c r="AF239" s="198"/>
      <c r="AG239" s="198"/>
      <c r="AH239" s="198"/>
      <c r="AI239" s="198"/>
      <c r="AJ239" s="198"/>
      <c r="AK239" s="198"/>
      <c r="AL239" s="198"/>
      <c r="AM239" s="198"/>
      <c r="AN239" s="198"/>
      <c r="AO239" s="198"/>
      <c r="AP239" s="198"/>
      <c r="AQ239" s="198"/>
      <c r="AR239" s="198"/>
      <c r="AS239" s="198"/>
      <c r="AT239" s="198"/>
      <c r="AU239" s="198"/>
      <c r="AV239" s="198"/>
      <c r="AW239" s="198"/>
      <c r="AX239" s="198"/>
      <c r="AY239" s="198"/>
      <c r="AZ239" s="198"/>
      <c r="BA239" s="198"/>
      <c r="BB239" s="198"/>
      <c r="BC239" s="198"/>
      <c r="BD239" s="198"/>
      <c r="BE239" s="198"/>
      <c r="BF239" s="198"/>
      <c r="BG239" s="198"/>
      <c r="BH239" s="198"/>
      <c r="BI239" s="198"/>
      <c r="BJ239" s="198"/>
      <c r="BK239" s="198"/>
      <c r="BL239" s="198"/>
      <c r="BM239" s="198"/>
      <c r="BN239" s="198"/>
      <c r="BO239" s="198"/>
      <c r="BP239" s="198"/>
      <c r="BQ239" s="198"/>
      <c r="BR239" s="198"/>
      <c r="BS239" s="198"/>
      <c r="BT239" s="198"/>
      <c r="BU239" s="198"/>
      <c r="BV239" s="198"/>
      <c r="BW239" s="198"/>
      <c r="BX239" s="198"/>
    </row>
    <row r="240" spans="1:76" ht="13.8" thickTop="1" x14ac:dyDescent="0.25">
      <c r="A240" s="2" t="str">
        <f>'Language Index'!A262</f>
        <v>Foreign Exchange Rate Adj.</v>
      </c>
      <c r="B240" s="18">
        <f>_xll.ciqfunctions.udf.CIQ($C$2, "IQ_FX",D$6,$F$2,,,Ccy,Conv)</f>
        <v>-655</v>
      </c>
      <c r="C240" s="18">
        <f>_xll.ciqfunctions.udf.CIQ($C$2, "IQ_FX",E$6,$F$2,,,Ccy,Conv)</f>
        <v>-473</v>
      </c>
      <c r="D240" s="18">
        <f>_xll.ciqfunctions.udf.CIQ($C$2, "IQ_FX",F$6,$F$2,,,Ccy,Conv)</f>
        <v>-51</v>
      </c>
      <c r="E240" s="18">
        <f>_xll.ciqfunctions.udf.CIQ($C$2, "IQ_FX",G$6,$F$2,,,Ccy,Conv)</f>
        <v>937</v>
      </c>
      <c r="F240" s="18">
        <f>_xll.ciqfunctions.udf.CIQ($C$2, "IQ_FX",H$6,$F$2,,,Ccy,Conv)</f>
        <v>-495</v>
      </c>
      <c r="G240" s="18">
        <f>_xll.ciqfunctions.udf.CIQ($C$2, "IQ_FX",I$6,$F$2,,,Ccy,Conv)</f>
        <v>-167</v>
      </c>
      <c r="H240" s="18">
        <f>_xll.ciqfunctions.udf.CIQ($C$2, "IQ_FX",J$6,$F$2,,,Ccy,Conv)</f>
        <v>-87</v>
      </c>
      <c r="I240" s="18">
        <f>_xll.ciqfunctions.udf.CIQ($C$2, "IQ_FX",K$6,$F$2,,,Ccy,Conv)</f>
        <v>-185</v>
      </c>
      <c r="J240" s="18">
        <f>_xll.ciqfunctions.udf.CIQ($C$2, "IQ_FX",L$6,$F$2,,,Ccy,Conv)</f>
        <v>-244</v>
      </c>
      <c r="K240" s="18">
        <f>_xll.ciqfunctions.udf.CIQ($C$2, "IQ_FX",M$6,$F$2,,,Ccy,Conv)</f>
        <v>9</v>
      </c>
      <c r="L240" s="18">
        <f>_xll.ciqfunctions.udf.CIQ($C$2, "IQ_FX",N$6,$F$2,,,Ccy,Conv)</f>
        <v>-359</v>
      </c>
      <c r="M240" s="18"/>
      <c r="N240" s="18">
        <f>_xll.ciqfunctions.udf.CIQ($C$2, "IQ_FX",P$6,$F$2,,,Ccy,Conv)</f>
        <v>-359</v>
      </c>
      <c r="O240" s="198"/>
      <c r="P240" s="198"/>
      <c r="Q240" s="198"/>
      <c r="R240" s="198"/>
      <c r="S240" s="198"/>
      <c r="T240" s="205"/>
      <c r="U240" s="205"/>
      <c r="V240" s="205"/>
      <c r="W240" s="198"/>
      <c r="X240" s="198"/>
      <c r="Y240" s="198"/>
      <c r="Z240" s="198"/>
      <c r="AA240" s="198"/>
      <c r="AB240" s="198"/>
      <c r="AC240" s="198"/>
      <c r="AD240" s="198"/>
      <c r="AE240" s="198"/>
      <c r="AF240" s="198"/>
      <c r="AG240" s="198"/>
      <c r="AH240" s="198"/>
      <c r="AI240" s="198"/>
      <c r="AJ240" s="198"/>
      <c r="AK240" s="198"/>
      <c r="AL240" s="198"/>
      <c r="AM240" s="198"/>
      <c r="AN240" s="198"/>
      <c r="AO240" s="198"/>
      <c r="AP240" s="198"/>
      <c r="AQ240" s="198"/>
      <c r="AR240" s="198"/>
      <c r="AS240" s="198"/>
      <c r="AT240" s="198"/>
      <c r="AU240" s="198"/>
      <c r="AV240" s="198"/>
      <c r="AW240" s="198"/>
      <c r="AX240" s="198"/>
      <c r="AY240" s="198"/>
      <c r="AZ240" s="198"/>
      <c r="BA240" s="198"/>
      <c r="BB240" s="198"/>
      <c r="BC240" s="198"/>
      <c r="BD240" s="198"/>
      <c r="BE240" s="198"/>
      <c r="BF240" s="198"/>
      <c r="BG240" s="198"/>
      <c r="BH240" s="198"/>
      <c r="BI240" s="198"/>
      <c r="BJ240" s="198"/>
      <c r="BK240" s="198"/>
      <c r="BL240" s="198"/>
      <c r="BM240" s="198"/>
      <c r="BN240" s="198"/>
      <c r="BO240" s="198"/>
      <c r="BP240" s="198"/>
      <c r="BQ240" s="198"/>
      <c r="BR240" s="198"/>
      <c r="BS240" s="198"/>
      <c r="BT240" s="198"/>
      <c r="BU240" s="198"/>
      <c r="BV240" s="198"/>
      <c r="BW240" s="198"/>
      <c r="BX240" s="198"/>
    </row>
    <row r="241" spans="1:76" x14ac:dyDescent="0.25">
      <c r="A241" s="2" t="str">
        <f>'Language Index'!A263</f>
        <v>Misc. Cash Flow Adj.</v>
      </c>
      <c r="B241" s="18">
        <f>_xll.ciqfunctions.udf.CIQ($C$2, "IQ_MISC_ADJUST_CF",D$6,$F$2,,,Ccy,Conv)</f>
        <v>0</v>
      </c>
      <c r="C241" s="18">
        <f>_xll.ciqfunctions.udf.CIQ($C$2, "IQ_MISC_ADJUST_CF",E$6,$F$2,,,Ccy,Conv)</f>
        <v>0</v>
      </c>
      <c r="D241" s="18">
        <f>_xll.ciqfunctions.udf.CIQ($C$2, "IQ_MISC_ADJUST_CF",F$6,$F$2,,,Ccy,Conv)</f>
        <v>0</v>
      </c>
      <c r="E241" s="18">
        <f>_xll.ciqfunctions.udf.CIQ($C$2, "IQ_MISC_ADJUST_CF",G$6,$F$2,,,Ccy,Conv)</f>
        <v>-1</v>
      </c>
      <c r="F241" s="18">
        <f>_xll.ciqfunctions.udf.CIQ($C$2, "IQ_MISC_ADJUST_CF",H$6,$F$2,,,Ccy,Conv)</f>
        <v>0</v>
      </c>
      <c r="G241" s="18">
        <f>_xll.ciqfunctions.udf.CIQ($C$2, "IQ_MISC_ADJUST_CF",I$6,$F$2,,,Ccy,Conv)</f>
        <v>1</v>
      </c>
      <c r="H241" s="18">
        <f>_xll.ciqfunctions.udf.CIQ($C$2, "IQ_MISC_ADJUST_CF",J$6,$F$2,,,Ccy,Conv)</f>
        <v>0</v>
      </c>
      <c r="I241" s="18">
        <f>_xll.ciqfunctions.udf.CIQ($C$2, "IQ_MISC_ADJUST_CF",K$6,$F$2,,,Ccy,Conv)</f>
        <v>0</v>
      </c>
      <c r="J241" s="18">
        <f>_xll.ciqfunctions.udf.CIQ($C$2, "IQ_MISC_ADJUST_CF",L$6,$F$2,,,Ccy,Conv)</f>
        <v>0</v>
      </c>
      <c r="K241" s="18">
        <f>_xll.ciqfunctions.udf.CIQ($C$2, "IQ_MISC_ADJUST_CF",M$6,$F$2,,,Ccy,Conv)</f>
        <v>0</v>
      </c>
      <c r="L241" s="18">
        <f>_xll.ciqfunctions.udf.CIQ($C$2, "IQ_MISC_ADJUST_CF",N$6,$F$2,,,Ccy,Conv)</f>
        <v>1</v>
      </c>
      <c r="M241" s="18"/>
      <c r="N241" s="18">
        <f>_xll.ciqfunctions.udf.CIQ($C$2, "IQ_MISC_ADJUST_CF",P$6,$F$2,,,Ccy,Conv)</f>
        <v>1</v>
      </c>
      <c r="O241" s="198"/>
      <c r="P241" s="198"/>
      <c r="Q241" s="198"/>
      <c r="R241" s="198"/>
      <c r="S241" s="198"/>
      <c r="T241" s="205"/>
      <c r="U241" s="205"/>
      <c r="V241" s="205"/>
      <c r="W241" s="198"/>
      <c r="X241" s="198"/>
      <c r="Y241" s="198"/>
      <c r="Z241" s="198"/>
      <c r="AA241" s="198"/>
      <c r="AB241" s="198"/>
      <c r="AC241" s="198"/>
      <c r="AD241" s="198"/>
      <c r="AE241" s="198"/>
      <c r="AF241" s="198"/>
      <c r="AG241" s="198"/>
      <c r="AH241" s="198"/>
      <c r="AI241" s="198"/>
      <c r="AJ241" s="198"/>
      <c r="AK241" s="198"/>
      <c r="AL241" s="198"/>
      <c r="AM241" s="198"/>
      <c r="AN241" s="198"/>
      <c r="AO241" s="198"/>
      <c r="AP241" s="198"/>
      <c r="AQ241" s="198"/>
      <c r="AR241" s="198"/>
      <c r="AS241" s="198"/>
      <c r="AT241" s="198"/>
      <c r="AU241" s="198"/>
      <c r="AV241" s="198"/>
      <c r="AW241" s="198"/>
      <c r="AX241" s="198"/>
      <c r="AY241" s="198"/>
      <c r="AZ241" s="198"/>
      <c r="BA241" s="198"/>
      <c r="BB241" s="198"/>
      <c r="BC241" s="198"/>
      <c r="BD241" s="198"/>
      <c r="BE241" s="198"/>
      <c r="BF241" s="198"/>
      <c r="BG241" s="198"/>
      <c r="BH241" s="198"/>
      <c r="BI241" s="198"/>
      <c r="BJ241" s="198"/>
      <c r="BK241" s="198"/>
      <c r="BL241" s="198"/>
      <c r="BM241" s="198"/>
      <c r="BN241" s="198"/>
      <c r="BO241" s="198"/>
      <c r="BP241" s="198"/>
      <c r="BQ241" s="198"/>
      <c r="BR241" s="198"/>
      <c r="BS241" s="198"/>
      <c r="BT241" s="198"/>
      <c r="BU241" s="198"/>
      <c r="BV241" s="198"/>
      <c r="BW241" s="198"/>
      <c r="BX241" s="198"/>
    </row>
    <row r="242" spans="1:76" ht="13.8" thickBot="1" x14ac:dyDescent="0.3">
      <c r="A242" s="19" t="str">
        <f>'Language Index'!A264</f>
        <v>Net Change in Cash</v>
      </c>
      <c r="B242" s="23">
        <f>_xll.ciqfunctions.udf.CIQ($C$2, "IQ_NET_CHANGE",D$6,$F$2,,,Ccy,Conv)</f>
        <v>-2240</v>
      </c>
      <c r="C242" s="23">
        <f>_xll.ciqfunctions.udf.CIQ($C$2, "IQ_NET_CHANGE",E$6,$F$2,,,Ccy,Conv)</f>
        <v>-790</v>
      </c>
      <c r="D242" s="23">
        <f>_xll.ciqfunctions.udf.CIQ($C$2, "IQ_NET_CHANGE",F$6,$F$2,,,Ccy,Conv)</f>
        <v>188</v>
      </c>
      <c r="E242" s="23">
        <f>_xll.ciqfunctions.udf.CIQ($C$2, "IQ_NET_CHANGE",G$6,$F$2,,,Ccy,Conv)</f>
        <v>4161</v>
      </c>
      <c r="F242" s="23">
        <f>_xll.ciqfunctions.udf.CIQ($C$2, "IQ_NET_CHANGE",H$6,$F$2,,,Ccy,Conv)</f>
        <v>-630</v>
      </c>
      <c r="G242" s="23">
        <f>_xll.ciqfunctions.udf.CIQ($C$2, "IQ_NET_CHANGE",I$6,$F$2,,,Ccy,Conv)</f>
        <v>-3290</v>
      </c>
      <c r="H242" s="23">
        <f>_xll.ciqfunctions.udf.CIQ($C$2, "IQ_NET_CHANGE",J$6,$F$2,,,Ccy,Conv)</f>
        <v>5361</v>
      </c>
      <c r="I242" s="23">
        <f>_xll.ciqfunctions.udf.CIQ($C$2, "IQ_NET_CHANGE",K$6,$F$2,,,Ccy,Conv)</f>
        <v>-6718</v>
      </c>
      <c r="J242" s="23">
        <f>_xll.ciqfunctions.udf.CIQ($C$2, "IQ_NET_CHANGE",L$6,$F$2,,,Ccy,Conv)</f>
        <v>1031</v>
      </c>
      <c r="K242" s="23">
        <f>_xll.ciqfunctions.udf.CIQ($C$2, "IQ_NET_CHANGE",M$6,$F$2,,,Ccy,Conv)</f>
        <v>5101</v>
      </c>
      <c r="L242" s="23">
        <f>_xll.ciqfunctions.udf.CIQ($C$2, "IQ_NET_CHANGE",N$6,$F$2,,,Ccy,Conv)</f>
        <v>1071</v>
      </c>
      <c r="M242" s="21"/>
      <c r="N242" s="23">
        <f>_xll.ciqfunctions.udf.CIQ($C$2, "IQ_NET_CHANGE",P$6,$F$2,,,Ccy,Conv)</f>
        <v>1071</v>
      </c>
      <c r="O242" s="198"/>
      <c r="P242" s="198"/>
      <c r="Q242" s="198"/>
      <c r="R242" s="198"/>
      <c r="S242" s="198"/>
      <c r="T242" s="205"/>
      <c r="U242" s="205"/>
      <c r="V242" s="205"/>
      <c r="W242" s="198"/>
      <c r="X242" s="198"/>
      <c r="Y242" s="198"/>
      <c r="Z242" s="198"/>
      <c r="AA242" s="198"/>
      <c r="AB242" s="198"/>
      <c r="AC242" s="198"/>
      <c r="AD242" s="198"/>
      <c r="AE242" s="198"/>
      <c r="AF242" s="198"/>
      <c r="AG242" s="198"/>
      <c r="AH242" s="198"/>
      <c r="AI242" s="198"/>
      <c r="AJ242" s="198"/>
      <c r="AK242" s="198"/>
      <c r="AL242" s="198"/>
      <c r="AM242" s="198"/>
      <c r="AN242" s="198"/>
      <c r="AO242" s="198"/>
      <c r="AP242" s="198"/>
      <c r="AQ242" s="198"/>
      <c r="AR242" s="198"/>
      <c r="AS242" s="198"/>
      <c r="AT242" s="198"/>
      <c r="AU242" s="198"/>
      <c r="AV242" s="198"/>
      <c r="AW242" s="198"/>
      <c r="AX242" s="198"/>
      <c r="AY242" s="198"/>
      <c r="AZ242" s="198"/>
      <c r="BA242" s="198"/>
      <c r="BB242" s="198"/>
      <c r="BC242" s="198"/>
      <c r="BD242" s="198"/>
      <c r="BE242" s="198"/>
      <c r="BF242" s="198"/>
      <c r="BG242" s="198"/>
      <c r="BH242" s="198"/>
      <c r="BI242" s="198"/>
      <c r="BJ242" s="198"/>
      <c r="BK242" s="198"/>
      <c r="BL242" s="198"/>
      <c r="BM242" s="198"/>
      <c r="BN242" s="198"/>
      <c r="BO242" s="198"/>
      <c r="BP242" s="198"/>
      <c r="BQ242" s="198"/>
      <c r="BR242" s="198"/>
      <c r="BS242" s="198"/>
      <c r="BT242" s="198"/>
      <c r="BU242" s="198"/>
      <c r="BV242" s="198"/>
      <c r="BW242" s="198"/>
      <c r="BX242" s="198"/>
    </row>
    <row r="243" spans="1:76" ht="13.8" thickTop="1" x14ac:dyDescent="0.25">
      <c r="A243" s="2" t="str">
        <f>'Language Index'!A104</f>
        <v>Period Length in Months</v>
      </c>
      <c r="B243" s="39">
        <f>_xll.ciqfunctions.udf.CIQ($C$2,"IQ_PERIODLENGTH_CF", D$6,$F$2)</f>
        <v>12</v>
      </c>
      <c r="C243" s="39">
        <f>_xll.ciqfunctions.udf.CIQ($C$2,"IQ_PERIODLENGTH_CF", E$6,$F$2)</f>
        <v>12</v>
      </c>
      <c r="D243" s="39">
        <f>_xll.ciqfunctions.udf.CIQ($C$2,"IQ_PERIODLENGTH_CF", F$6,$F$2)</f>
        <v>12</v>
      </c>
      <c r="E243" s="39">
        <f>_xll.ciqfunctions.udf.CIQ($C$2,"IQ_PERIODLENGTH_CF", G$6,$F$2)</f>
        <v>12</v>
      </c>
      <c r="F243" s="39">
        <f>_xll.ciqfunctions.udf.CIQ($C$2,"IQ_PERIODLENGTH_CF", H$6,$F$2)</f>
        <v>12</v>
      </c>
      <c r="G243" s="39">
        <f>_xll.ciqfunctions.udf.CIQ($C$2,"IQ_PERIODLENGTH_CF", I$6,$F$2)</f>
        <v>12</v>
      </c>
      <c r="H243" s="39">
        <f>_xll.ciqfunctions.udf.CIQ($C$2,"IQ_PERIODLENGTH_CF", J$6,$F$2)</f>
        <v>12</v>
      </c>
      <c r="I243" s="39">
        <f>_xll.ciqfunctions.udf.CIQ($C$2,"IQ_PERIODLENGTH_CF", K$6,$F$2)</f>
        <v>12</v>
      </c>
      <c r="J243" s="39">
        <f>_xll.ciqfunctions.udf.CIQ($C$2,"IQ_PERIODLENGTH_CF", L$6,$F$2)</f>
        <v>12</v>
      </c>
      <c r="K243" s="39">
        <f>_xll.ciqfunctions.udf.CIQ($C$2,"IQ_PERIODLENGTH_CF", M$6,$F$2)</f>
        <v>12</v>
      </c>
      <c r="L243" s="39">
        <f>_xll.ciqfunctions.udf.CIQ($C$2,"IQ_PERIODLENGTH_CF", N$6,$F$2)</f>
        <v>12</v>
      </c>
      <c r="M243" s="39"/>
      <c r="N243" s="39">
        <f>_xll.ciqfunctions.udf.CIQ($C$2,"IQ_PERIODLENGTH_CF", P$6,$F$2)</f>
        <v>12</v>
      </c>
      <c r="O243" s="221"/>
      <c r="P243" s="198"/>
      <c r="Q243" s="198"/>
      <c r="R243" s="198"/>
      <c r="S243" s="198"/>
      <c r="T243" s="205"/>
      <c r="U243" s="205"/>
      <c r="V243" s="205"/>
      <c r="W243" s="198"/>
      <c r="X243" s="198"/>
      <c r="Y243" s="198"/>
      <c r="Z243" s="198"/>
      <c r="AA243" s="198"/>
      <c r="AB243" s="198"/>
      <c r="AC243" s="198"/>
      <c r="AD243" s="198"/>
      <c r="AE243" s="198"/>
      <c r="AF243" s="198"/>
      <c r="AG243" s="198"/>
      <c r="AH243" s="198"/>
      <c r="AI243" s="198"/>
      <c r="AJ243" s="198"/>
      <c r="AK243" s="198"/>
      <c r="AL243" s="198"/>
      <c r="AM243" s="198"/>
      <c r="AN243" s="198"/>
      <c r="AO243" s="198"/>
      <c r="AP243" s="198"/>
      <c r="AQ243" s="198"/>
      <c r="AR243" s="198"/>
      <c r="AS243" s="198"/>
      <c r="AT243" s="198"/>
      <c r="AU243" s="198"/>
      <c r="AV243" s="198"/>
      <c r="AW243" s="198"/>
      <c r="AX243" s="198"/>
      <c r="AY243" s="198"/>
      <c r="AZ243" s="198"/>
      <c r="BA243" s="198"/>
      <c r="BB243" s="198"/>
      <c r="BC243" s="198"/>
      <c r="BD243" s="198"/>
      <c r="BE243" s="198"/>
      <c r="BF243" s="198"/>
      <c r="BG243" s="198"/>
      <c r="BH243" s="198"/>
      <c r="BI243" s="198"/>
      <c r="BJ243" s="198"/>
      <c r="BK243" s="198"/>
      <c r="BL243" s="198"/>
      <c r="BM243" s="198"/>
      <c r="BN243" s="198"/>
      <c r="BO243" s="198"/>
      <c r="BP243" s="198"/>
      <c r="BQ243" s="198"/>
      <c r="BR243" s="198"/>
      <c r="BS243" s="198"/>
      <c r="BT243" s="198"/>
      <c r="BU243" s="198"/>
      <c r="BV243" s="198"/>
      <c r="BW243" s="198"/>
      <c r="BX243" s="198"/>
    </row>
    <row r="244" spans="1:76" x14ac:dyDescent="0.25">
      <c r="A244" s="2" t="str">
        <f>'Language Index'!A266</f>
        <v>Depreciation And Amortization Notes for Partial CF</v>
      </c>
      <c r="B244" s="18">
        <f>_xll.ciqfunctions.udf.CIQ($C$2, "IQ_DA_SUPPL_PARTIAL_CF", D$6,$F$2,,,Ccy,Conv)</f>
        <v>0</v>
      </c>
      <c r="C244" s="18">
        <f>_xll.ciqfunctions.udf.CIQ($C$2, "IQ_DA_SUPPL_PARTIAL_CF", E$6,$F$2,,,Ccy,Conv)</f>
        <v>0</v>
      </c>
      <c r="D244" s="18">
        <f>_xll.ciqfunctions.udf.CIQ($C$2, "IQ_DA_SUPPL_PARTIAL_CF", F$6,$F$2,,,Ccy,Conv)</f>
        <v>0</v>
      </c>
      <c r="E244" s="18">
        <f>_xll.ciqfunctions.udf.CIQ($C$2, "IQ_DA_SUPPL_PARTIAL_CF", G$6,$F$2,,,Ccy,Conv)</f>
        <v>0</v>
      </c>
      <c r="F244" s="18">
        <f>_xll.ciqfunctions.udf.CIQ($C$2, "IQ_DA_SUPPL_PARTIAL_CF", H$6,$F$2,,,Ccy,Conv)</f>
        <v>0</v>
      </c>
      <c r="G244" s="18">
        <f>_xll.ciqfunctions.udf.CIQ($C$2, "IQ_DA_SUPPL_PARTIAL_CF", I$6,$F$2,,,Ccy,Conv)</f>
        <v>0</v>
      </c>
      <c r="H244" s="18">
        <f>_xll.ciqfunctions.udf.CIQ($C$2, "IQ_DA_SUPPL_PARTIAL_CF", J$6,$F$2,,,Ccy,Conv)</f>
        <v>0</v>
      </c>
      <c r="I244" s="18">
        <f>_xll.ciqfunctions.udf.CIQ($C$2, "IQ_DA_SUPPL_PARTIAL_CF", K$6,$F$2,,,Ccy,Conv)</f>
        <v>0</v>
      </c>
      <c r="J244" s="18">
        <f>_xll.ciqfunctions.udf.CIQ($C$2, "IQ_DA_SUPPL_PARTIAL_CF", L$6,$F$2,,,Ccy,Conv)</f>
        <v>0</v>
      </c>
      <c r="K244" s="18">
        <f>_xll.ciqfunctions.udf.CIQ($C$2, "IQ_DA_SUPPL_PARTIAL_CF", M$6,$F$2,,,Ccy,Conv)</f>
        <v>0</v>
      </c>
      <c r="L244" s="18">
        <f>_xll.ciqfunctions.udf.CIQ($C$2, "IQ_DA_SUPPL_PARTIAL_CF", N$6,$F$2,,,Ccy,Conv)</f>
        <v>0</v>
      </c>
      <c r="M244" s="39"/>
      <c r="N244" s="18">
        <f>_xll.ciqfunctions.udf.CIQ($C$2, "IQ_DA_SUPPL_PARTIAL_CF", P$6,$F$2,,,Ccy,Conv)</f>
        <v>0</v>
      </c>
      <c r="O244" s="221"/>
      <c r="P244" s="198"/>
      <c r="Q244" s="198"/>
      <c r="R244" s="198"/>
      <c r="S244" s="198"/>
      <c r="T244" s="205"/>
      <c r="U244" s="205"/>
      <c r="V244" s="205"/>
      <c r="W244" s="198"/>
      <c r="X244" s="198"/>
      <c r="Y244" s="198"/>
      <c r="Z244" s="198"/>
      <c r="AA244" s="198"/>
      <c r="AB244" s="198"/>
      <c r="AC244" s="198"/>
      <c r="AD244" s="198"/>
      <c r="AE244" s="198"/>
      <c r="AF244" s="198"/>
      <c r="AG244" s="198"/>
      <c r="AH244" s="198"/>
      <c r="AI244" s="198"/>
      <c r="AJ244" s="198"/>
      <c r="AK244" s="198"/>
      <c r="AL244" s="198"/>
      <c r="AM244" s="198"/>
      <c r="AN244" s="198"/>
      <c r="AO244" s="198"/>
      <c r="AP244" s="198"/>
      <c r="AQ244" s="198"/>
      <c r="AR244" s="198"/>
      <c r="AS244" s="198"/>
      <c r="AT244" s="198"/>
      <c r="AU244" s="198"/>
      <c r="AV244" s="198"/>
      <c r="AW244" s="198"/>
      <c r="AX244" s="198"/>
      <c r="AY244" s="198"/>
      <c r="AZ244" s="198"/>
      <c r="BA244" s="198"/>
      <c r="BB244" s="198"/>
      <c r="BC244" s="198"/>
      <c r="BD244" s="198"/>
      <c r="BE244" s="198"/>
      <c r="BF244" s="198"/>
      <c r="BG244" s="198"/>
      <c r="BH244" s="198"/>
      <c r="BI244" s="198"/>
      <c r="BJ244" s="198"/>
      <c r="BK244" s="198"/>
      <c r="BL244" s="198"/>
      <c r="BM244" s="198"/>
      <c r="BN244" s="198"/>
      <c r="BO244" s="198"/>
      <c r="BP244" s="198"/>
      <c r="BQ244" s="198"/>
      <c r="BR244" s="198"/>
      <c r="BS244" s="198"/>
      <c r="BT244" s="198"/>
      <c r="BU244" s="198"/>
      <c r="BV244" s="198"/>
      <c r="BW244" s="198"/>
      <c r="BX244" s="198"/>
    </row>
    <row r="245" spans="1:76" x14ac:dyDescent="0.25">
      <c r="A245" s="2" t="str">
        <f>'Language Index'!A267</f>
        <v>Amortization Of Goodwill Notes for Partial CF</v>
      </c>
      <c r="B245" s="18">
        <f>_xll.ciqfunctions.udf.CIQ($C$2, "IQ_GW_INTAN_AMORT_PARTIAL_CF", D$6,$F$2,,,Ccy,Conv)</f>
        <v>0</v>
      </c>
      <c r="C245" s="18">
        <f>_xll.ciqfunctions.udf.CIQ($C$2, "IQ_GW_INTAN_AMORT_PARTIAL_CF", E$6,$F$2,,,Ccy,Conv)</f>
        <v>0</v>
      </c>
      <c r="D245" s="18">
        <f>_xll.ciqfunctions.udf.CIQ($C$2, "IQ_GW_INTAN_AMORT_PARTIAL_CF", F$6,$F$2,,,Ccy,Conv)</f>
        <v>0</v>
      </c>
      <c r="E245" s="18">
        <f>_xll.ciqfunctions.udf.CIQ($C$2, "IQ_GW_INTAN_AMORT_PARTIAL_CF", G$6,$F$2,,,Ccy,Conv)</f>
        <v>0</v>
      </c>
      <c r="F245" s="18">
        <f>_xll.ciqfunctions.udf.CIQ($C$2, "IQ_GW_INTAN_AMORT_PARTIAL_CF", H$6,$F$2,,,Ccy,Conv)</f>
        <v>0</v>
      </c>
      <c r="G245" s="18">
        <f>_xll.ciqfunctions.udf.CIQ($C$2, "IQ_GW_INTAN_AMORT_PARTIAL_CF", I$6,$F$2,,,Ccy,Conv)</f>
        <v>0</v>
      </c>
      <c r="H245" s="18">
        <f>_xll.ciqfunctions.udf.CIQ($C$2, "IQ_GW_INTAN_AMORT_PARTIAL_CF", J$6,$F$2,,,Ccy,Conv)</f>
        <v>0</v>
      </c>
      <c r="I245" s="18">
        <f>_xll.ciqfunctions.udf.CIQ($C$2, "IQ_GW_INTAN_AMORT_PARTIAL_CF", K$6,$F$2,,,Ccy,Conv)</f>
        <v>0</v>
      </c>
      <c r="J245" s="18">
        <f>_xll.ciqfunctions.udf.CIQ($C$2, "IQ_GW_INTAN_AMORT_PARTIAL_CF", L$6,$F$2,,,Ccy,Conv)</f>
        <v>0</v>
      </c>
      <c r="K245" s="18">
        <f>_xll.ciqfunctions.udf.CIQ($C$2, "IQ_GW_INTAN_AMORT_PARTIAL_CF", M$6,$F$2,,,Ccy,Conv)</f>
        <v>0</v>
      </c>
      <c r="L245" s="18">
        <f>_xll.ciqfunctions.udf.CIQ($C$2, "IQ_GW_INTAN_AMORT_PARTIAL_CF", N$6,$F$2,,,Ccy,Conv)</f>
        <v>0</v>
      </c>
      <c r="M245" s="39"/>
      <c r="N245" s="18">
        <f>_xll.ciqfunctions.udf.CIQ($C$2, "IQ_GW_INTAN_AMORT_PARTIAL_CF", P$6,$F$2,,,Ccy,Conv)</f>
        <v>0</v>
      </c>
      <c r="O245" s="221"/>
      <c r="P245" s="198"/>
      <c r="Q245" s="198"/>
      <c r="R245" s="198"/>
      <c r="S245" s="198"/>
      <c r="T245" s="205"/>
      <c r="U245" s="205"/>
      <c r="V245" s="205"/>
      <c r="W245" s="198"/>
      <c r="X245" s="198"/>
      <c r="Y245" s="198"/>
      <c r="Z245" s="198"/>
      <c r="AA245" s="198"/>
      <c r="AB245" s="198"/>
      <c r="AC245" s="198"/>
      <c r="AD245" s="198"/>
      <c r="AE245" s="198"/>
      <c r="AF245" s="198"/>
      <c r="AG245" s="198"/>
      <c r="AH245" s="198"/>
      <c r="AI245" s="198"/>
      <c r="AJ245" s="198"/>
      <c r="AK245" s="198"/>
      <c r="AL245" s="198"/>
      <c r="AM245" s="198"/>
      <c r="AN245" s="198"/>
      <c r="AO245" s="198"/>
      <c r="AP245" s="198"/>
      <c r="AQ245" s="198"/>
      <c r="AR245" s="198"/>
      <c r="AS245" s="198"/>
      <c r="AT245" s="198"/>
      <c r="AU245" s="198"/>
      <c r="AV245" s="198"/>
      <c r="AW245" s="198"/>
      <c r="AX245" s="198"/>
      <c r="AY245" s="198"/>
      <c r="AZ245" s="198"/>
      <c r="BA245" s="198"/>
      <c r="BB245" s="198"/>
      <c r="BC245" s="198"/>
      <c r="BD245" s="198"/>
      <c r="BE245" s="198"/>
      <c r="BF245" s="198"/>
      <c r="BG245" s="198"/>
      <c r="BH245" s="198"/>
      <c r="BI245" s="198"/>
      <c r="BJ245" s="198"/>
      <c r="BK245" s="198"/>
      <c r="BL245" s="198"/>
      <c r="BM245" s="198"/>
      <c r="BN245" s="198"/>
      <c r="BO245" s="198"/>
      <c r="BP245" s="198"/>
      <c r="BQ245" s="198"/>
      <c r="BR245" s="198"/>
      <c r="BS245" s="198"/>
      <c r="BT245" s="198"/>
      <c r="BU245" s="198"/>
      <c r="BV245" s="198"/>
      <c r="BW245" s="198"/>
      <c r="BX245" s="198"/>
    </row>
    <row r="246" spans="1:76" x14ac:dyDescent="0.25">
      <c r="A246" s="2" t="str">
        <f>'Language Index'!A268</f>
        <v>Depreciation (From Notes)</v>
      </c>
      <c r="B246" s="18">
        <f>_xll.ciqfunctions.udf.CIQ($C$2, "IQ_DEPRE_SUPP", D$6,$F$2,,,Ccy,Conv)</f>
        <v>0</v>
      </c>
      <c r="C246" s="18">
        <f>_xll.ciqfunctions.udf.CIQ($C$2, "IQ_DEPRE_SUPP", E$6,$F$2,,,Ccy,Conv)</f>
        <v>0</v>
      </c>
      <c r="D246" s="18">
        <f>_xll.ciqfunctions.udf.CIQ($C$2, "IQ_DEPRE_SUPP", F$6,$F$2,,,Ccy,Conv)</f>
        <v>0</v>
      </c>
      <c r="E246" s="18">
        <f>_xll.ciqfunctions.udf.CIQ($C$2, "IQ_DEPRE_SUPP", G$6,$F$2,,,Ccy,Conv)</f>
        <v>0</v>
      </c>
      <c r="F246" s="18">
        <f>_xll.ciqfunctions.udf.CIQ($C$2, "IQ_DEPRE_SUPP", H$6,$F$2,,,Ccy,Conv)</f>
        <v>0</v>
      </c>
      <c r="G246" s="18">
        <f>_xll.ciqfunctions.udf.CIQ($C$2, "IQ_DEPRE_SUPP", I$6,$F$2,,,Ccy,Conv)</f>
        <v>0</v>
      </c>
      <c r="H246" s="18">
        <f>_xll.ciqfunctions.udf.CIQ($C$2, "IQ_DEPRE_SUPP", J$6,$F$2,,,Ccy,Conv)</f>
        <v>0</v>
      </c>
      <c r="I246" s="18">
        <f>_xll.ciqfunctions.udf.CIQ($C$2, "IQ_DEPRE_SUPP", K$6,$F$2,,,Ccy,Conv)</f>
        <v>0</v>
      </c>
      <c r="J246" s="18">
        <f>_xll.ciqfunctions.udf.CIQ($C$2, "IQ_DEPRE_SUPP", L$6,$F$2,,,Ccy,Conv)</f>
        <v>0</v>
      </c>
      <c r="K246" s="18">
        <f>_xll.ciqfunctions.udf.CIQ($C$2, "IQ_DEPRE_SUPP", M$6,$F$2,,,Ccy,Conv)</f>
        <v>0</v>
      </c>
      <c r="L246" s="18">
        <f>_xll.ciqfunctions.udf.CIQ($C$2, "IQ_DEPRE_SUPP", N$6,$F$2,,,Ccy,Conv)</f>
        <v>0</v>
      </c>
      <c r="M246" s="18"/>
      <c r="N246" s="18">
        <f>_xll.ciqfunctions.udf.CIQ($C$2, "IQ_DEPRE_SUPP", P$6,$F$2,,,Ccy,Conv)</f>
        <v>0</v>
      </c>
      <c r="O246" s="221"/>
      <c r="P246" s="198"/>
      <c r="Q246" s="198"/>
      <c r="R246" s="198"/>
      <c r="S246" s="198"/>
      <c r="T246" s="205"/>
      <c r="U246" s="205"/>
      <c r="V246" s="205"/>
      <c r="W246" s="198"/>
      <c r="X246" s="198"/>
      <c r="Y246" s="198"/>
      <c r="Z246" s="198"/>
      <c r="AA246" s="198"/>
      <c r="AB246" s="198"/>
      <c r="AC246" s="198"/>
      <c r="AD246" s="198"/>
      <c r="AE246" s="198"/>
      <c r="AF246" s="198"/>
      <c r="AG246" s="198"/>
      <c r="AH246" s="198"/>
      <c r="AI246" s="198"/>
      <c r="AJ246" s="198"/>
      <c r="AK246" s="198"/>
      <c r="AL246" s="198"/>
      <c r="AM246" s="198"/>
      <c r="AN246" s="198"/>
      <c r="AO246" s="198"/>
      <c r="AP246" s="198"/>
      <c r="AQ246" s="198"/>
      <c r="AR246" s="198"/>
      <c r="AS246" s="198"/>
      <c r="AT246" s="198"/>
      <c r="AU246" s="198"/>
      <c r="AV246" s="198"/>
      <c r="AW246" s="198"/>
      <c r="AX246" s="198"/>
      <c r="AY246" s="198"/>
      <c r="AZ246" s="198"/>
      <c r="BA246" s="198"/>
      <c r="BB246" s="198"/>
      <c r="BC246" s="198"/>
      <c r="BD246" s="198"/>
      <c r="BE246" s="198"/>
      <c r="BF246" s="198"/>
      <c r="BG246" s="198"/>
      <c r="BH246" s="198"/>
      <c r="BI246" s="198"/>
      <c r="BJ246" s="198"/>
      <c r="BK246" s="198"/>
      <c r="BL246" s="198"/>
      <c r="BM246" s="198"/>
      <c r="BN246" s="198"/>
      <c r="BO246" s="198"/>
      <c r="BP246" s="198"/>
      <c r="BQ246" s="198"/>
      <c r="BR246" s="198"/>
      <c r="BS246" s="198"/>
      <c r="BT246" s="198"/>
      <c r="BU246" s="198"/>
      <c r="BV246" s="198"/>
      <c r="BW246" s="198"/>
      <c r="BX246" s="198"/>
    </row>
    <row r="247" spans="1:76" x14ac:dyDescent="0.25">
      <c r="A247" s="2" t="str">
        <f>'Language Index'!A176</f>
        <v>Depreciation of Rental Assets</v>
      </c>
      <c r="B247" s="18">
        <f>_xll.ciqfunctions.udf.CIQ($C$2, "IQ_DEPRECIATION_RENTAL_ASSETS_CF", D$6,$F$2,,,Ccy,Conv)</f>
        <v>0</v>
      </c>
      <c r="C247" s="18">
        <f>_xll.ciqfunctions.udf.CIQ($C$2, "IQ_DEPRECIATION_RENTAL_ASSETS_CF", E$6,$F$2,,,Ccy,Conv)</f>
        <v>0</v>
      </c>
      <c r="D247" s="18">
        <f>_xll.ciqfunctions.udf.CIQ($C$2, "IQ_DEPRECIATION_RENTAL_ASSETS_CF", F$6,$F$2,,,Ccy,Conv)</f>
        <v>0</v>
      </c>
      <c r="E247" s="18">
        <f>_xll.ciqfunctions.udf.CIQ($C$2, "IQ_DEPRECIATION_RENTAL_ASSETS_CF", G$6,$F$2,,,Ccy,Conv)</f>
        <v>0</v>
      </c>
      <c r="F247" s="18">
        <f>_xll.ciqfunctions.udf.CIQ($C$2, "IQ_DEPRECIATION_RENTAL_ASSETS_CF", H$6,$F$2,,,Ccy,Conv)</f>
        <v>0</v>
      </c>
      <c r="G247" s="18">
        <f>_xll.ciqfunctions.udf.CIQ($C$2, "IQ_DEPRECIATION_RENTAL_ASSETS_CF", I$6,$F$2,,,Ccy,Conv)</f>
        <v>0</v>
      </c>
      <c r="H247" s="18">
        <f>_xll.ciqfunctions.udf.CIQ($C$2, "IQ_DEPRECIATION_RENTAL_ASSETS_CF", J$6,$F$2,,,Ccy,Conv)</f>
        <v>0</v>
      </c>
      <c r="I247" s="18">
        <f>_xll.ciqfunctions.udf.CIQ($C$2, "IQ_DEPRECIATION_RENTAL_ASSETS_CF", K$6,$F$2,,,Ccy,Conv)</f>
        <v>0</v>
      </c>
      <c r="J247" s="18">
        <f>_xll.ciqfunctions.udf.CIQ($C$2, "IQ_DEPRECIATION_RENTAL_ASSETS_CF", L$6,$F$2,,,Ccy,Conv)</f>
        <v>0</v>
      </c>
      <c r="K247" s="18">
        <f>_xll.ciqfunctions.udf.CIQ($C$2, "IQ_DEPRECIATION_RENTAL_ASSETS_CF", M$6,$F$2,,,Ccy,Conv)</f>
        <v>0</v>
      </c>
      <c r="L247" s="18">
        <f>_xll.ciqfunctions.udf.CIQ($C$2, "IQ_DEPRECIATION_RENTAL_ASSETS_CF", N$6,$F$2,,,Ccy,Conv)</f>
        <v>0</v>
      </c>
      <c r="M247" s="18"/>
      <c r="N247" s="18">
        <f>_xll.ciqfunctions.udf.CIQ($C$2, "IQ_DEPRECIATION_RENTAL_ASSETS_CF", P$6,$F$2,,,Ccy,Conv)</f>
        <v>0</v>
      </c>
      <c r="O247" s="221"/>
      <c r="P247" s="198"/>
      <c r="Q247" s="198"/>
      <c r="R247" s="198"/>
      <c r="S247" s="198"/>
      <c r="T247" s="205"/>
      <c r="U247" s="205"/>
      <c r="V247" s="205"/>
      <c r="W247" s="198"/>
      <c r="X247" s="198"/>
      <c r="Y247" s="198"/>
      <c r="Z247" s="198"/>
      <c r="AA247" s="198"/>
      <c r="AB247" s="198"/>
      <c r="AC247" s="198"/>
      <c r="AD247" s="198"/>
      <c r="AE247" s="198"/>
      <c r="AF247" s="198"/>
      <c r="AG247" s="198"/>
      <c r="AH247" s="198"/>
      <c r="AI247" s="198"/>
      <c r="AJ247" s="198"/>
      <c r="AK247" s="198"/>
      <c r="AL247" s="198"/>
      <c r="AM247" s="198"/>
      <c r="AN247" s="198"/>
      <c r="AO247" s="198"/>
      <c r="AP247" s="198"/>
      <c r="AQ247" s="198"/>
      <c r="AR247" s="198"/>
      <c r="AS247" s="198"/>
      <c r="AT247" s="198"/>
      <c r="AU247" s="198"/>
      <c r="AV247" s="198"/>
      <c r="AW247" s="198"/>
      <c r="AX247" s="198"/>
      <c r="AY247" s="198"/>
      <c r="AZ247" s="198"/>
      <c r="BA247" s="198"/>
      <c r="BB247" s="198"/>
      <c r="BC247" s="198"/>
      <c r="BD247" s="198"/>
      <c r="BE247" s="198"/>
      <c r="BF247" s="198"/>
      <c r="BG247" s="198"/>
      <c r="BH247" s="198"/>
      <c r="BI247" s="198"/>
      <c r="BJ247" s="198"/>
      <c r="BK247" s="198"/>
      <c r="BL247" s="198"/>
      <c r="BM247" s="198"/>
      <c r="BN247" s="198"/>
      <c r="BO247" s="198"/>
      <c r="BP247" s="198"/>
      <c r="BQ247" s="198"/>
      <c r="BR247" s="198"/>
      <c r="BS247" s="198"/>
      <c r="BT247" s="198"/>
      <c r="BU247" s="198"/>
      <c r="BV247" s="198"/>
      <c r="BW247" s="198"/>
      <c r="BX247" s="198"/>
    </row>
    <row r="248" spans="1:76" x14ac:dyDescent="0.25">
      <c r="A248" s="2" t="str">
        <f>'Language Index'!A269</f>
        <v>Depreciation on Right of Use Assets</v>
      </c>
      <c r="B248" s="18">
        <f>_xll.ciqfunctions.udf.CIQ($C$2, "IQ_DEP_RUA", D$6,$F$2,,,Ccy,Conv)</f>
        <v>0</v>
      </c>
      <c r="C248" s="18">
        <f>_xll.ciqfunctions.udf.CIQ($C$2, "IQ_DEP_RUA", E$6,$F$2,,,Ccy,Conv)</f>
        <v>0</v>
      </c>
      <c r="D248" s="18">
        <f>_xll.ciqfunctions.udf.CIQ($C$2, "IQ_DEP_RUA", F$6,$F$2,,,Ccy,Conv)</f>
        <v>0</v>
      </c>
      <c r="E248" s="18">
        <f>_xll.ciqfunctions.udf.CIQ($C$2, "IQ_DEP_RUA", G$6,$F$2,,,Ccy,Conv)</f>
        <v>0</v>
      </c>
      <c r="F248" s="18">
        <f>_xll.ciqfunctions.udf.CIQ($C$2, "IQ_DEP_RUA", H$6,$F$2,,,Ccy,Conv)</f>
        <v>0</v>
      </c>
      <c r="G248" s="18">
        <f>_xll.ciqfunctions.udf.CIQ($C$2, "IQ_DEP_RUA", I$6,$F$2,,,Ccy,Conv)</f>
        <v>0</v>
      </c>
      <c r="H248" s="18">
        <f>_xll.ciqfunctions.udf.CIQ($C$2, "IQ_DEP_RUA", J$6,$F$2,,,Ccy,Conv)</f>
        <v>0</v>
      </c>
      <c r="I248" s="18">
        <f>_xll.ciqfunctions.udf.CIQ($C$2, "IQ_DEP_RUA", K$6,$F$2,,,Ccy,Conv)</f>
        <v>0</v>
      </c>
      <c r="J248" s="18">
        <f>_xll.ciqfunctions.udf.CIQ($C$2, "IQ_DEP_RUA", L$6,$F$2,,,Ccy,Conv)</f>
        <v>900</v>
      </c>
      <c r="K248" s="18">
        <f>_xll.ciqfunctions.udf.CIQ($C$2, "IQ_DEP_RUA", M$6,$F$2,,,Ccy,Conv)</f>
        <v>900</v>
      </c>
      <c r="L248" s="18">
        <f>_xll.ciqfunctions.udf.CIQ($C$2, "IQ_DEP_RUA", N$6,$F$2,,,Ccy,Conv)</f>
        <v>900</v>
      </c>
      <c r="M248" s="18"/>
      <c r="N248" s="18">
        <f>_xll.ciqfunctions.udf.CIQ($C$2, "IQ_DEP_RUA", P$6,$F$2,,,Ccy,Conv)</f>
        <v>900</v>
      </c>
      <c r="O248" s="221"/>
      <c r="P248" s="198"/>
      <c r="Q248" s="198"/>
      <c r="R248" s="198"/>
      <c r="S248" s="198"/>
      <c r="T248" s="205"/>
      <c r="U248" s="205"/>
      <c r="V248" s="205"/>
      <c r="W248" s="198"/>
      <c r="X248" s="198"/>
      <c r="Y248" s="198"/>
      <c r="Z248" s="198"/>
      <c r="AA248" s="198"/>
      <c r="AB248" s="198"/>
      <c r="AC248" s="198"/>
      <c r="AD248" s="198"/>
      <c r="AE248" s="198"/>
      <c r="AF248" s="198"/>
      <c r="AG248" s="198"/>
      <c r="AH248" s="198"/>
      <c r="AI248" s="198"/>
      <c r="AJ248" s="198"/>
      <c r="AK248" s="198"/>
      <c r="AL248" s="198"/>
      <c r="AM248" s="198"/>
      <c r="AN248" s="198"/>
      <c r="AO248" s="198"/>
      <c r="AP248" s="198"/>
      <c r="AQ248" s="198"/>
      <c r="AR248" s="198"/>
      <c r="AS248" s="198"/>
      <c r="AT248" s="198"/>
      <c r="AU248" s="198"/>
      <c r="AV248" s="198"/>
      <c r="AW248" s="198"/>
      <c r="AX248" s="198"/>
      <c r="AY248" s="198"/>
      <c r="AZ248" s="198"/>
      <c r="BA248" s="198"/>
      <c r="BB248" s="198"/>
      <c r="BC248" s="198"/>
      <c r="BD248" s="198"/>
      <c r="BE248" s="198"/>
      <c r="BF248" s="198"/>
      <c r="BG248" s="198"/>
      <c r="BH248" s="198"/>
      <c r="BI248" s="198"/>
      <c r="BJ248" s="198"/>
      <c r="BK248" s="198"/>
      <c r="BL248" s="198"/>
      <c r="BM248" s="198"/>
      <c r="BN248" s="198"/>
      <c r="BO248" s="198"/>
      <c r="BP248" s="198"/>
      <c r="BQ248" s="198"/>
      <c r="BR248" s="198"/>
      <c r="BS248" s="198"/>
      <c r="BT248" s="198"/>
      <c r="BU248" s="198"/>
      <c r="BV248" s="198"/>
      <c r="BW248" s="198"/>
      <c r="BX248" s="198"/>
    </row>
    <row r="249" spans="1:76" x14ac:dyDescent="0.25">
      <c r="A249" s="2" t="str">
        <f>'Language Index'!A270</f>
        <v>Depreciation &amp; Amortization - CF, Excl. Operating Leases</v>
      </c>
      <c r="B249" s="18">
        <f>_xll.ciqfunctions.udf.CIQ($C$2, "IQ_DA_SUPPL_CF_EXCL_OPER_LEASES", D$6,$F$2,,,Ccy,Conv)</f>
        <v>3145</v>
      </c>
      <c r="C249" s="18">
        <f>_xll.ciqfunctions.udf.CIQ($C$2, "IQ_DA_SUPPL_CF_EXCL_OPER_LEASES", E$6,$F$2,,,Ccy,Conv)</f>
        <v>2662</v>
      </c>
      <c r="D249" s="18">
        <f>_xll.ciqfunctions.udf.CIQ($C$2, "IQ_DA_SUPPL_CF_EXCL_OPER_LEASES", F$6,$F$2,,,Ccy,Conv)</f>
        <v>2837</v>
      </c>
      <c r="E249" s="18">
        <f>_xll.ciqfunctions.udf.CIQ($C$2, "IQ_DA_SUPPL_CF_EXCL_OPER_LEASES", G$6,$F$2,,,Ccy,Conv)</f>
        <v>3021</v>
      </c>
      <c r="F249" s="18">
        <f>_xll.ciqfunctions.udf.CIQ($C$2, "IQ_DA_SUPPL_CF_EXCL_OPER_LEASES", H$6,$F$2,,,Ccy,Conv)</f>
        <v>3127</v>
      </c>
      <c r="G249" s="18">
        <f>_xll.ciqfunctions.udf.CIQ($C$2, "IQ_DA_SUPPL_CF_EXCL_OPER_LEASES", I$6,$F$2,,,Ccy,Conv)</f>
        <v>4209</v>
      </c>
      <c r="H249" s="18">
        <f>_xll.ciqfunctions.udf.CIQ($C$2, "IQ_DA_SUPPL_CF_EXCL_OPER_LEASES", J$6,$F$2,,,Ccy,Conv)</f>
        <v>4227</v>
      </c>
      <c r="I249" s="18">
        <f>_xll.ciqfunctions.udf.CIQ($C$2, "IQ_DA_SUPPL_CF_EXCL_OPER_LEASES", K$6,$F$2,,,Ccy,Conv)</f>
        <v>3888</v>
      </c>
      <c r="J249" s="18">
        <f>_xll.ciqfunctions.udf.CIQ($C$2, "IQ_DA_SUPPL_CF_EXCL_OPER_LEASES", L$6,$F$2,,,Ccy,Conv)</f>
        <v>1507</v>
      </c>
      <c r="K249" s="18">
        <f>_xll.ciqfunctions.udf.CIQ($C$2, "IQ_DA_SUPPL_CF_EXCL_OPER_LEASES", M$6,$F$2,,,Ccy,Conv)</f>
        <v>1209</v>
      </c>
      <c r="L249" s="18">
        <f>_xll.ciqfunctions.udf.CIQ($C$2, "IQ_DA_SUPPL_CF_EXCL_OPER_LEASES", N$6,$F$2,,,Ccy,Conv)</f>
        <v>1268</v>
      </c>
      <c r="M249" s="18"/>
      <c r="N249" s="18">
        <f>_xll.ciqfunctions.udf.CIQ($C$2, "IQ_DA_SUPPL_CF_EXCL_OPER_LEASES", P$6,$F$2,,,Ccy,Conv)</f>
        <v>1268</v>
      </c>
      <c r="O249" s="221"/>
      <c r="P249" s="198"/>
      <c r="Q249" s="198"/>
      <c r="R249" s="198"/>
      <c r="S249" s="198"/>
      <c r="T249" s="205"/>
      <c r="U249" s="205"/>
      <c r="V249" s="205"/>
      <c r="W249" s="198"/>
      <c r="X249" s="198"/>
      <c r="Y249" s="198"/>
      <c r="Z249" s="198"/>
      <c r="AA249" s="198"/>
      <c r="AB249" s="198"/>
      <c r="AC249" s="198"/>
      <c r="AD249" s="198"/>
      <c r="AE249" s="198"/>
      <c r="AF249" s="198"/>
      <c r="AG249" s="198"/>
      <c r="AH249" s="198"/>
      <c r="AI249" s="198"/>
      <c r="AJ249" s="198"/>
      <c r="AK249" s="198"/>
      <c r="AL249" s="198"/>
      <c r="AM249" s="198"/>
      <c r="AN249" s="198"/>
      <c r="AO249" s="198"/>
      <c r="AP249" s="198"/>
      <c r="AQ249" s="198"/>
      <c r="AR249" s="198"/>
      <c r="AS249" s="198"/>
      <c r="AT249" s="198"/>
      <c r="AU249" s="198"/>
      <c r="AV249" s="198"/>
      <c r="AW249" s="198"/>
      <c r="AX249" s="198"/>
      <c r="AY249" s="198"/>
      <c r="AZ249" s="198"/>
      <c r="BA249" s="198"/>
      <c r="BB249" s="198"/>
      <c r="BC249" s="198"/>
      <c r="BD249" s="198"/>
      <c r="BE249" s="198"/>
      <c r="BF249" s="198"/>
      <c r="BG249" s="198"/>
      <c r="BH249" s="198"/>
      <c r="BI249" s="198"/>
      <c r="BJ249" s="198"/>
      <c r="BK249" s="198"/>
      <c r="BL249" s="198"/>
      <c r="BM249" s="198"/>
      <c r="BN249" s="198"/>
      <c r="BO249" s="198"/>
      <c r="BP249" s="198"/>
      <c r="BQ249" s="198"/>
      <c r="BR249" s="198"/>
      <c r="BS249" s="198"/>
      <c r="BT249" s="198"/>
      <c r="BU249" s="198"/>
      <c r="BV249" s="198"/>
      <c r="BW249" s="198"/>
      <c r="BX249" s="198"/>
    </row>
    <row r="250" spans="1:76" x14ac:dyDescent="0.25">
      <c r="A250" s="2" t="str">
        <f>'Language Index'!A271</f>
        <v>Depreciation &amp; Amort., Total, Excl. Operating Leases</v>
      </c>
      <c r="B250" s="18">
        <f>_xll.ciqfunctions.udf.CIQ($C$2, "IQ_DA_CF_EXCL_OPER_LEASES", D$6,$F$2,,,Ccy,Conv)</f>
        <v>4492</v>
      </c>
      <c r="C250" s="18">
        <f>_xll.ciqfunctions.udf.CIQ($C$2, "IQ_DA_CF_EXCL_OPER_LEASES", E$6,$F$2,,,Ccy,Conv)</f>
        <v>3855</v>
      </c>
      <c r="D250" s="18">
        <f>_xll.ciqfunctions.udf.CIQ($C$2, "IQ_DA_CF_EXCL_OPER_LEASES", F$6,$F$2,,,Ccy,Conv)</f>
        <v>4381</v>
      </c>
      <c r="E250" s="18">
        <f>_xll.ciqfunctions.udf.CIQ($C$2, "IQ_DA_CF_EXCL_OPER_LEASES", G$6,$F$2,,,Ccy,Conv)</f>
        <v>4541</v>
      </c>
      <c r="F250" s="18">
        <f>_xll.ciqfunctions.udf.CIQ($C$2, "IQ_DA_CF_EXCL_OPER_LEASES", H$6,$F$2,,,Ccy,Conv)</f>
        <v>4480</v>
      </c>
      <c r="G250" s="18">
        <f>_xll.ciqfunctions.udf.CIQ($C$2, "IQ_DA_CF_EXCL_OPER_LEASES", I$6,$F$2,,,Ccy,Conv)</f>
        <v>6059</v>
      </c>
      <c r="H250" s="18">
        <f>_xll.ciqfunctions.udf.CIQ($C$2, "IQ_DA_CF_EXCL_OPER_LEASES", J$6,$F$2,,,Ccy,Conv)</f>
        <v>6695</v>
      </c>
      <c r="I250" s="18">
        <f>_xll.ciqfunctions.udf.CIQ($C$2, "IQ_DA_CF_EXCL_OPER_LEASES", K$6,$F$2,,,Ccy,Conv)</f>
        <v>6417</v>
      </c>
      <c r="J250" s="18">
        <f>_xll.ciqfunctions.udf.CIQ($C$2, "IQ_DA_CF_EXCL_OPER_LEASES", L$6,$F$2,,,Ccy,Conv)</f>
        <v>3902</v>
      </c>
      <c r="K250" s="18">
        <f>_xll.ciqfunctions.udf.CIQ($C$2, "IQ_DA_CF_EXCL_OPER_LEASES", M$6,$F$2,,,Ccy,Conv)</f>
        <v>3496</v>
      </c>
      <c r="L250" s="18">
        <f>_xll.ciqfunctions.udf.CIQ($C$2, "IQ_DA_CF_EXCL_OPER_LEASES", N$6,$F$2,,,Ccy,Conv)</f>
        <v>3767</v>
      </c>
      <c r="M250" s="18"/>
      <c r="N250" s="18">
        <f>_xll.ciqfunctions.udf.CIQ($C$2, "IQ_DA_CF_EXCL_OPER_LEASES", P$6,$F$2,,,Ccy,Conv)</f>
        <v>3767</v>
      </c>
      <c r="O250" s="221"/>
      <c r="P250" s="198"/>
      <c r="Q250" s="198"/>
      <c r="R250" s="198"/>
      <c r="S250" s="198"/>
      <c r="T250" s="205"/>
      <c r="U250" s="205"/>
      <c r="V250" s="205"/>
      <c r="W250" s="198"/>
      <c r="X250" s="198"/>
      <c r="Y250" s="198"/>
      <c r="Z250" s="198"/>
      <c r="AA250" s="198"/>
      <c r="AB250" s="198"/>
      <c r="AC250" s="198"/>
      <c r="AD250" s="198"/>
      <c r="AE250" s="198"/>
      <c r="AF250" s="198"/>
      <c r="AG250" s="198"/>
      <c r="AH250" s="198"/>
      <c r="AI250" s="198"/>
      <c r="AJ250" s="198"/>
      <c r="AK250" s="198"/>
      <c r="AL250" s="198"/>
      <c r="AM250" s="198"/>
      <c r="AN250" s="198"/>
      <c r="AO250" s="198"/>
      <c r="AP250" s="198"/>
      <c r="AQ250" s="198"/>
      <c r="AR250" s="198"/>
      <c r="AS250" s="198"/>
      <c r="AT250" s="198"/>
      <c r="AU250" s="198"/>
      <c r="AV250" s="198"/>
      <c r="AW250" s="198"/>
      <c r="AX250" s="198"/>
      <c r="AY250" s="198"/>
      <c r="AZ250" s="198"/>
      <c r="BA250" s="198"/>
      <c r="BB250" s="198"/>
      <c r="BC250" s="198"/>
      <c r="BD250" s="198"/>
      <c r="BE250" s="198"/>
      <c r="BF250" s="198"/>
      <c r="BG250" s="198"/>
      <c r="BH250" s="198"/>
      <c r="BI250" s="198"/>
      <c r="BJ250" s="198"/>
      <c r="BK250" s="198"/>
      <c r="BL250" s="198"/>
      <c r="BM250" s="198"/>
      <c r="BN250" s="198"/>
      <c r="BO250" s="198"/>
      <c r="BP250" s="198"/>
      <c r="BQ250" s="198"/>
      <c r="BR250" s="198"/>
      <c r="BS250" s="198"/>
      <c r="BT250" s="198"/>
      <c r="BU250" s="198"/>
      <c r="BV250" s="198"/>
      <c r="BW250" s="198"/>
      <c r="BX250" s="198"/>
    </row>
    <row r="251" spans="1:76" x14ac:dyDescent="0.25">
      <c r="A251" s="2" t="str">
        <f>'Language Index'!A193</f>
        <v>Amortization of Negative Goodwill</v>
      </c>
      <c r="B251" s="18">
        <f>_xll.ciqfunctions.udf.CIQ($C$2, "IQ_NEGATIVE_GW_AMORT_CF", D$6,$F$2,,,Ccy,Conv)</f>
        <v>0</v>
      </c>
      <c r="C251" s="18">
        <f>_xll.ciqfunctions.udf.CIQ($C$2, "IQ_NEGATIVE_GW_AMORT_CF", E$6,$F$2,,,Ccy,Conv)</f>
        <v>0</v>
      </c>
      <c r="D251" s="18">
        <f>_xll.ciqfunctions.udf.CIQ($C$2, "IQ_NEGATIVE_GW_AMORT_CF", F$6,$F$2,,,Ccy,Conv)</f>
        <v>0</v>
      </c>
      <c r="E251" s="18">
        <f>_xll.ciqfunctions.udf.CIQ($C$2, "IQ_NEGATIVE_GW_AMORT_CF", G$6,$F$2,,,Ccy,Conv)</f>
        <v>0</v>
      </c>
      <c r="F251" s="18">
        <f>_xll.ciqfunctions.udf.CIQ($C$2, "IQ_NEGATIVE_GW_AMORT_CF", H$6,$F$2,,,Ccy,Conv)</f>
        <v>0</v>
      </c>
      <c r="G251" s="18">
        <f>_xll.ciqfunctions.udf.CIQ($C$2, "IQ_NEGATIVE_GW_AMORT_CF", I$6,$F$2,,,Ccy,Conv)</f>
        <v>0</v>
      </c>
      <c r="H251" s="18">
        <f>_xll.ciqfunctions.udf.CIQ($C$2, "IQ_NEGATIVE_GW_AMORT_CF", J$6,$F$2,,,Ccy,Conv)</f>
        <v>0</v>
      </c>
      <c r="I251" s="18">
        <f>_xll.ciqfunctions.udf.CIQ($C$2, "IQ_NEGATIVE_GW_AMORT_CF", K$6,$F$2,,,Ccy,Conv)</f>
        <v>0</v>
      </c>
      <c r="J251" s="18">
        <f>_xll.ciqfunctions.udf.CIQ($C$2, "IQ_NEGATIVE_GW_AMORT_CF", L$6,$F$2,,,Ccy,Conv)</f>
        <v>0</v>
      </c>
      <c r="K251" s="18">
        <f>_xll.ciqfunctions.udf.CIQ($C$2, "IQ_NEGATIVE_GW_AMORT_CF", M$6,$F$2,,,Ccy,Conv)</f>
        <v>0</v>
      </c>
      <c r="L251" s="18">
        <f>_xll.ciqfunctions.udf.CIQ($C$2, "IQ_NEGATIVE_GW_AMORT_CF", N$6,$F$2,,,Ccy,Conv)</f>
        <v>0</v>
      </c>
      <c r="M251" s="18"/>
      <c r="N251" s="18">
        <f>_xll.ciqfunctions.udf.CIQ($C$2, "IQ_NEGATIVE_GW_AMORT_CF", P$6,$F$2,,,Ccy,Conv)</f>
        <v>0</v>
      </c>
      <c r="O251" s="221"/>
      <c r="P251" s="198"/>
      <c r="Q251" s="198"/>
      <c r="R251" s="198"/>
      <c r="S251" s="198"/>
      <c r="T251" s="205"/>
      <c r="U251" s="205"/>
      <c r="V251" s="205"/>
      <c r="W251" s="198"/>
      <c r="X251" s="198"/>
      <c r="Y251" s="198"/>
      <c r="Z251" s="198"/>
      <c r="AA251" s="198"/>
      <c r="AB251" s="198"/>
      <c r="AC251" s="198"/>
      <c r="AD251" s="198"/>
      <c r="AE251" s="198"/>
      <c r="AF251" s="198"/>
      <c r="AG251" s="198"/>
      <c r="AH251" s="198"/>
      <c r="AI251" s="198"/>
      <c r="AJ251" s="198"/>
      <c r="AK251" s="198"/>
      <c r="AL251" s="198"/>
      <c r="AM251" s="198"/>
      <c r="AN251" s="198"/>
      <c r="AO251" s="198"/>
      <c r="AP251" s="198"/>
      <c r="AQ251" s="198"/>
      <c r="AR251" s="198"/>
      <c r="AS251" s="198"/>
      <c r="AT251" s="198"/>
      <c r="AU251" s="198"/>
      <c r="AV251" s="198"/>
      <c r="AW251" s="198"/>
      <c r="AX251" s="198"/>
      <c r="AY251" s="198"/>
      <c r="AZ251" s="198"/>
      <c r="BA251" s="198"/>
      <c r="BB251" s="198"/>
      <c r="BC251" s="198"/>
      <c r="BD251" s="198"/>
      <c r="BE251" s="198"/>
      <c r="BF251" s="198"/>
      <c r="BG251" s="198"/>
      <c r="BH251" s="198"/>
      <c r="BI251" s="198"/>
      <c r="BJ251" s="198"/>
      <c r="BK251" s="198"/>
      <c r="BL251" s="198"/>
      <c r="BM251" s="198"/>
      <c r="BN251" s="198"/>
      <c r="BO251" s="198"/>
      <c r="BP251" s="198"/>
      <c r="BQ251" s="198"/>
      <c r="BR251" s="198"/>
      <c r="BS251" s="198"/>
      <c r="BT251" s="198"/>
      <c r="BU251" s="198"/>
      <c r="BV251" s="198"/>
      <c r="BW251" s="198"/>
      <c r="BX251" s="198"/>
    </row>
    <row r="252" spans="1:76" x14ac:dyDescent="0.25">
      <c r="A252" s="2" t="str">
        <f>'Language Index'!A272</f>
        <v>Amortization of Debt Issuance Costs</v>
      </c>
      <c r="B252" s="18">
        <f>_xll.ciqfunctions.udf.CIQ($C$2, "IQ_AMORT_DIC_CF", D$6,$F$2,,,Ccy,Conv)</f>
        <v>0</v>
      </c>
      <c r="C252" s="18">
        <f>_xll.ciqfunctions.udf.CIQ($C$2, "IQ_AMORT_DIC_CF", E$6,$F$2,,,Ccy,Conv)</f>
        <v>0</v>
      </c>
      <c r="D252" s="18">
        <f>_xll.ciqfunctions.udf.CIQ($C$2, "IQ_AMORT_DIC_CF", F$6,$F$2,,,Ccy,Conv)</f>
        <v>0</v>
      </c>
      <c r="E252" s="18">
        <f>_xll.ciqfunctions.udf.CIQ($C$2, "IQ_AMORT_DIC_CF", G$6,$F$2,,,Ccy,Conv)</f>
        <v>0</v>
      </c>
      <c r="F252" s="18">
        <f>_xll.ciqfunctions.udf.CIQ($C$2, "IQ_AMORT_DIC_CF", H$6,$F$2,,,Ccy,Conv)</f>
        <v>0</v>
      </c>
      <c r="G252" s="18">
        <f>_xll.ciqfunctions.udf.CIQ($C$2, "IQ_AMORT_DIC_CF", I$6,$F$2,,,Ccy,Conv)</f>
        <v>0</v>
      </c>
      <c r="H252" s="18">
        <f>_xll.ciqfunctions.udf.CIQ($C$2, "IQ_AMORT_DIC_CF", J$6,$F$2,,,Ccy,Conv)</f>
        <v>0</v>
      </c>
      <c r="I252" s="18">
        <f>_xll.ciqfunctions.udf.CIQ($C$2, "IQ_AMORT_DIC_CF", K$6,$F$2,,,Ccy,Conv)</f>
        <v>0</v>
      </c>
      <c r="J252" s="18">
        <f>_xll.ciqfunctions.udf.CIQ($C$2, "IQ_AMORT_DIC_CF", L$6,$F$2,,,Ccy,Conv)</f>
        <v>0</v>
      </c>
      <c r="K252" s="18">
        <f>_xll.ciqfunctions.udf.CIQ($C$2, "IQ_AMORT_DIC_CF", M$6,$F$2,,,Ccy,Conv)</f>
        <v>0</v>
      </c>
      <c r="L252" s="18">
        <f>_xll.ciqfunctions.udf.CIQ($C$2, "IQ_AMORT_DIC_CF", N$6,$F$2,,,Ccy,Conv)</f>
        <v>0</v>
      </c>
      <c r="M252" s="18"/>
      <c r="N252" s="18">
        <f>_xll.ciqfunctions.udf.CIQ($C$2, "IQ_AMORT_DIC_CF", P$6,$F$2,,,Ccy,Conv)</f>
        <v>0</v>
      </c>
      <c r="O252" s="221"/>
      <c r="P252" s="198"/>
      <c r="Q252" s="198"/>
      <c r="R252" s="198"/>
      <c r="S252" s="198"/>
      <c r="T252" s="205"/>
      <c r="U252" s="205"/>
      <c r="V252" s="205"/>
      <c r="W252" s="198"/>
      <c r="X252" s="198"/>
      <c r="Y252" s="198"/>
      <c r="Z252" s="198"/>
      <c r="AA252" s="198"/>
      <c r="AB252" s="198"/>
      <c r="AC252" s="198"/>
      <c r="AD252" s="198"/>
      <c r="AE252" s="198"/>
      <c r="AF252" s="198"/>
      <c r="AG252" s="198"/>
      <c r="AH252" s="198"/>
      <c r="AI252" s="198"/>
      <c r="AJ252" s="198"/>
      <c r="AK252" s="198"/>
      <c r="AL252" s="198"/>
      <c r="AM252" s="198"/>
      <c r="AN252" s="198"/>
      <c r="AO252" s="198"/>
      <c r="AP252" s="198"/>
      <c r="AQ252" s="198"/>
      <c r="AR252" s="198"/>
      <c r="AS252" s="198"/>
      <c r="AT252" s="198"/>
      <c r="AU252" s="198"/>
      <c r="AV252" s="198"/>
      <c r="AW252" s="198"/>
      <c r="AX252" s="198"/>
      <c r="AY252" s="198"/>
      <c r="AZ252" s="198"/>
      <c r="BA252" s="198"/>
      <c r="BB252" s="198"/>
      <c r="BC252" s="198"/>
      <c r="BD252" s="198"/>
      <c r="BE252" s="198"/>
      <c r="BF252" s="198"/>
      <c r="BG252" s="198"/>
      <c r="BH252" s="198"/>
      <c r="BI252" s="198"/>
      <c r="BJ252" s="198"/>
      <c r="BK252" s="198"/>
      <c r="BL252" s="198"/>
      <c r="BM252" s="198"/>
      <c r="BN252" s="198"/>
      <c r="BO252" s="198"/>
      <c r="BP252" s="198"/>
      <c r="BQ252" s="198"/>
      <c r="BR252" s="198"/>
      <c r="BS252" s="198"/>
      <c r="BT252" s="198"/>
      <c r="BU252" s="198"/>
      <c r="BV252" s="198"/>
      <c r="BW252" s="198"/>
      <c r="BX252" s="198"/>
    </row>
    <row r="253" spans="1:76" x14ac:dyDescent="0.25">
      <c r="A253" s="2" t="str">
        <f>'Language Index'!A273</f>
        <v>Amortization of Software Assets</v>
      </c>
      <c r="B253" s="18">
        <f>_xll.ciqfunctions.udf.CIQ($C$2, "IQ_AMORT_SOFTWARE_ASSETS_CF", D$6,$F$2,,,Ccy,Conv)</f>
        <v>0</v>
      </c>
      <c r="C253" s="18">
        <f>_xll.ciqfunctions.udf.CIQ($C$2, "IQ_AMORT_SOFTWARE_ASSETS_CF", E$6,$F$2,,,Ccy,Conv)</f>
        <v>0</v>
      </c>
      <c r="D253" s="18">
        <f>_xll.ciqfunctions.udf.CIQ($C$2, "IQ_AMORT_SOFTWARE_ASSETS_CF", F$6,$F$2,,,Ccy,Conv)</f>
        <v>0</v>
      </c>
      <c r="E253" s="18">
        <f>_xll.ciqfunctions.udf.CIQ($C$2, "IQ_AMORT_SOFTWARE_ASSETS_CF", G$6,$F$2,,,Ccy,Conv)</f>
        <v>0</v>
      </c>
      <c r="F253" s="18">
        <f>_xll.ciqfunctions.udf.CIQ($C$2, "IQ_AMORT_SOFTWARE_ASSETS_CF", H$6,$F$2,,,Ccy,Conv)</f>
        <v>0</v>
      </c>
      <c r="G253" s="18">
        <f>_xll.ciqfunctions.udf.CIQ($C$2, "IQ_AMORT_SOFTWARE_ASSETS_CF", I$6,$F$2,,,Ccy,Conv)</f>
        <v>0</v>
      </c>
      <c r="H253" s="18">
        <f>_xll.ciqfunctions.udf.CIQ($C$2, "IQ_AMORT_SOFTWARE_ASSETS_CF", J$6,$F$2,,,Ccy,Conv)</f>
        <v>0</v>
      </c>
      <c r="I253" s="18">
        <f>_xll.ciqfunctions.udf.CIQ($C$2, "IQ_AMORT_SOFTWARE_ASSETS_CF", K$6,$F$2,,,Ccy,Conv)</f>
        <v>0</v>
      </c>
      <c r="J253" s="18">
        <f>_xll.ciqfunctions.udf.CIQ($C$2, "IQ_AMORT_SOFTWARE_ASSETS_CF", L$6,$F$2,,,Ccy,Conv)</f>
        <v>0</v>
      </c>
      <c r="K253" s="18">
        <f>_xll.ciqfunctions.udf.CIQ($C$2, "IQ_AMORT_SOFTWARE_ASSETS_CF", M$6,$F$2,,,Ccy,Conv)</f>
        <v>0</v>
      </c>
      <c r="L253" s="18">
        <f>_xll.ciqfunctions.udf.CIQ($C$2, "IQ_AMORT_SOFTWARE_ASSETS_CF", N$6,$F$2,,,Ccy,Conv)</f>
        <v>0</v>
      </c>
      <c r="M253" s="18"/>
      <c r="N253" s="18">
        <f>_xll.ciqfunctions.udf.CIQ($C$2, "IQ_AMORT_SOFTWARE_ASSETS_CF", P$6,$F$2,,,Ccy,Conv)</f>
        <v>0</v>
      </c>
      <c r="O253" s="221"/>
      <c r="P253" s="198"/>
      <c r="Q253" s="198"/>
      <c r="R253" s="198"/>
      <c r="S253" s="198"/>
      <c r="T253" s="205"/>
      <c r="U253" s="205"/>
      <c r="V253" s="205"/>
      <c r="W253" s="198"/>
      <c r="X253" s="198"/>
      <c r="Y253" s="198"/>
      <c r="Z253" s="198"/>
      <c r="AA253" s="198"/>
      <c r="AB253" s="198"/>
      <c r="AC253" s="198"/>
      <c r="AD253" s="198"/>
      <c r="AE253" s="198"/>
      <c r="AF253" s="198"/>
      <c r="AG253" s="198"/>
      <c r="AH253" s="198"/>
      <c r="AI253" s="198"/>
      <c r="AJ253" s="198"/>
      <c r="AK253" s="198"/>
      <c r="AL253" s="198"/>
      <c r="AM253" s="198"/>
      <c r="AN253" s="198"/>
      <c r="AO253" s="198"/>
      <c r="AP253" s="198"/>
      <c r="AQ253" s="198"/>
      <c r="AR253" s="198"/>
      <c r="AS253" s="198"/>
      <c r="AT253" s="198"/>
      <c r="AU253" s="198"/>
      <c r="AV253" s="198"/>
      <c r="AW253" s="198"/>
      <c r="AX253" s="198"/>
      <c r="AY253" s="198"/>
      <c r="AZ253" s="198"/>
      <c r="BA253" s="198"/>
      <c r="BB253" s="198"/>
      <c r="BC253" s="198"/>
      <c r="BD253" s="198"/>
      <c r="BE253" s="198"/>
      <c r="BF253" s="198"/>
      <c r="BG253" s="198"/>
      <c r="BH253" s="198"/>
      <c r="BI253" s="198"/>
      <c r="BJ253" s="198"/>
      <c r="BK253" s="198"/>
      <c r="BL253" s="198"/>
      <c r="BM253" s="198"/>
      <c r="BN253" s="198"/>
      <c r="BO253" s="198"/>
      <c r="BP253" s="198"/>
      <c r="BQ253" s="198"/>
      <c r="BR253" s="198"/>
      <c r="BS253" s="198"/>
      <c r="BT253" s="198"/>
      <c r="BU253" s="198"/>
      <c r="BV253" s="198"/>
      <c r="BW253" s="198"/>
      <c r="BX253" s="198"/>
    </row>
    <row r="254" spans="1:76" x14ac:dyDescent="0.25">
      <c r="A254" s="2" t="str">
        <f>'Language Index'!A274</f>
        <v>Sale Proceeds from Rental Assets</v>
      </c>
      <c r="B254" s="18">
        <f>_xll.ciqfunctions.udf.CIQ($C$2, "IQ_SALE_PROCEEDS_RENTAL_ASSETS", D$6,$F$2,,,Ccy,Conv)</f>
        <v>0</v>
      </c>
      <c r="C254" s="18">
        <f>_xll.ciqfunctions.udf.CIQ($C$2, "IQ_SALE_PROCEEDS_RENTAL_ASSETS", E$6,$F$2,,,Ccy,Conv)</f>
        <v>0</v>
      </c>
      <c r="D254" s="18">
        <f>_xll.ciqfunctions.udf.CIQ($C$2, "IQ_SALE_PROCEEDS_RENTAL_ASSETS", F$6,$F$2,,,Ccy,Conv)</f>
        <v>0</v>
      </c>
      <c r="E254" s="18">
        <f>_xll.ciqfunctions.udf.CIQ($C$2, "IQ_SALE_PROCEEDS_RENTAL_ASSETS", G$6,$F$2,,,Ccy,Conv)</f>
        <v>0</v>
      </c>
      <c r="F254" s="18">
        <f>_xll.ciqfunctions.udf.CIQ($C$2, "IQ_SALE_PROCEEDS_RENTAL_ASSETS", H$6,$F$2,,,Ccy,Conv)</f>
        <v>0</v>
      </c>
      <c r="G254" s="18">
        <f>_xll.ciqfunctions.udf.CIQ($C$2, "IQ_SALE_PROCEEDS_RENTAL_ASSETS", I$6,$F$2,,,Ccy,Conv)</f>
        <v>0</v>
      </c>
      <c r="H254" s="18">
        <f>_xll.ciqfunctions.udf.CIQ($C$2, "IQ_SALE_PROCEEDS_RENTAL_ASSETS", J$6,$F$2,,,Ccy,Conv)</f>
        <v>0</v>
      </c>
      <c r="I254" s="18">
        <f>_xll.ciqfunctions.udf.CIQ($C$2, "IQ_SALE_PROCEEDS_RENTAL_ASSETS", K$6,$F$2,,,Ccy,Conv)</f>
        <v>0</v>
      </c>
      <c r="J254" s="18">
        <f>_xll.ciqfunctions.udf.CIQ($C$2, "IQ_SALE_PROCEEDS_RENTAL_ASSETS", L$6,$F$2,,,Ccy,Conv)</f>
        <v>0</v>
      </c>
      <c r="K254" s="18">
        <f>_xll.ciqfunctions.udf.CIQ($C$2, "IQ_SALE_PROCEEDS_RENTAL_ASSETS", M$6,$F$2,,,Ccy,Conv)</f>
        <v>0</v>
      </c>
      <c r="L254" s="18">
        <f>_xll.ciqfunctions.udf.CIQ($C$2, "IQ_SALE_PROCEEDS_RENTAL_ASSETS", N$6,$F$2,,,Ccy,Conv)</f>
        <v>0</v>
      </c>
      <c r="M254" s="18"/>
      <c r="N254" s="18">
        <f>_xll.ciqfunctions.udf.CIQ($C$2, "IQ_SALE_PROCEEDS_RENTAL_ASSETS", P$6,$F$2,,,Ccy,Conv)</f>
        <v>0</v>
      </c>
      <c r="O254" s="221"/>
      <c r="P254" s="198"/>
      <c r="Q254" s="198"/>
      <c r="R254" s="198"/>
      <c r="S254" s="198"/>
      <c r="T254" s="205"/>
      <c r="U254" s="205"/>
      <c r="V254" s="205"/>
      <c r="W254" s="198"/>
      <c r="X254" s="198"/>
      <c r="Y254" s="198"/>
      <c r="Z254" s="198"/>
      <c r="AA254" s="198"/>
      <c r="AB254" s="198"/>
      <c r="AC254" s="198"/>
      <c r="AD254" s="198"/>
      <c r="AE254" s="198"/>
      <c r="AF254" s="198"/>
      <c r="AG254" s="198"/>
      <c r="AH254" s="198"/>
      <c r="AI254" s="198"/>
      <c r="AJ254" s="198"/>
      <c r="AK254" s="198"/>
      <c r="AL254" s="198"/>
      <c r="AM254" s="198"/>
      <c r="AN254" s="198"/>
      <c r="AO254" s="198"/>
      <c r="AP254" s="198"/>
      <c r="AQ254" s="198"/>
      <c r="AR254" s="198"/>
      <c r="AS254" s="198"/>
      <c r="AT254" s="198"/>
      <c r="AU254" s="198"/>
      <c r="AV254" s="198"/>
      <c r="AW254" s="198"/>
      <c r="AX254" s="198"/>
      <c r="AY254" s="198"/>
      <c r="AZ254" s="198"/>
      <c r="BA254" s="198"/>
      <c r="BB254" s="198"/>
      <c r="BC254" s="198"/>
      <c r="BD254" s="198"/>
      <c r="BE254" s="198"/>
      <c r="BF254" s="198"/>
      <c r="BG254" s="198"/>
      <c r="BH254" s="198"/>
      <c r="BI254" s="198"/>
      <c r="BJ254" s="198"/>
      <c r="BK254" s="198"/>
      <c r="BL254" s="198"/>
      <c r="BM254" s="198"/>
      <c r="BN254" s="198"/>
      <c r="BO254" s="198"/>
      <c r="BP254" s="198"/>
      <c r="BQ254" s="198"/>
      <c r="BR254" s="198"/>
      <c r="BS254" s="198"/>
      <c r="BT254" s="198"/>
      <c r="BU254" s="198"/>
      <c r="BV254" s="198"/>
      <c r="BW254" s="198"/>
      <c r="BX254" s="198"/>
    </row>
    <row r="255" spans="1:76" x14ac:dyDescent="0.25">
      <c r="A255" s="2" t="str">
        <f>'Language Index'!A275</f>
        <v>Cash Interest Paid</v>
      </c>
      <c r="B255" s="18">
        <f>_xll.ciqfunctions.udf.CIQ($C$2, "IQ_CASH_INTEREST", D$6,$F$2,,,Ccy,Conv)</f>
        <v>1061</v>
      </c>
      <c r="C255" s="18">
        <f>_xll.ciqfunctions.udf.CIQ($C$2, "IQ_CASH_INTEREST", E$6,$F$2,,,Ccy,Conv)</f>
        <v>995</v>
      </c>
      <c r="D255" s="18">
        <f>_xll.ciqfunctions.udf.CIQ($C$2, "IQ_CASH_INTEREST", F$6,$F$2,,,Ccy,Conv)</f>
        <v>1158</v>
      </c>
      <c r="E255" s="18">
        <f>_xll.ciqfunctions.udf.CIQ($C$2, "IQ_CASH_INTEREST", G$6,$F$2,,,Ccy,Conv)</f>
        <v>1208</v>
      </c>
      <c r="F255" s="18">
        <f>_xll.ciqfunctions.udf.CIQ($C$2, "IQ_CASH_INTEREST", H$6,$F$2,,,Ccy,Conv)</f>
        <v>1423</v>
      </c>
      <c r="G255" s="18">
        <f>_xll.ciqfunctions.udf.CIQ($C$2, "IQ_CASH_INTEREST", I$6,$F$2,,,Ccy,Conv)</f>
        <v>1685</v>
      </c>
      <c r="H255" s="18">
        <f>_xll.ciqfunctions.udf.CIQ($C$2, "IQ_CASH_INTEREST", J$6,$F$2,,,Ccy,Conv)</f>
        <v>1830</v>
      </c>
      <c r="I255" s="18">
        <f>_xll.ciqfunctions.udf.CIQ($C$2, "IQ_CASH_INTEREST", K$6,$F$2,,,Ccy,Conv)</f>
        <v>1512</v>
      </c>
      <c r="J255" s="18">
        <f>_xll.ciqfunctions.udf.CIQ($C$2, "IQ_CASH_INTEREST", L$6,$F$2,,,Ccy,Conv)</f>
        <v>1401</v>
      </c>
      <c r="K255" s="18">
        <f>_xll.ciqfunctions.udf.CIQ($C$2, "IQ_CASH_INTEREST", M$6,$F$2,,,Ccy,Conv)</f>
        <v>1668</v>
      </c>
      <c r="L255" s="18">
        <f>_xll.ciqfunctions.udf.CIQ($C$2, "IQ_CASH_INTEREST", N$6,$F$2,,,Ccy,Conv)</f>
        <v>1978</v>
      </c>
      <c r="M255" s="18"/>
      <c r="N255" s="18">
        <f>_xll.ciqfunctions.udf.CIQ($C$2, "IQ_CASH_INTEREST", P$6,$F$2,,,Ccy,Conv)</f>
        <v>1978</v>
      </c>
      <c r="O255" s="221"/>
      <c r="P255" s="198"/>
      <c r="Q255" s="198"/>
      <c r="R255" s="198"/>
      <c r="S255" s="198"/>
      <c r="T255" s="205"/>
      <c r="U255" s="205"/>
      <c r="V255" s="205"/>
      <c r="W255" s="198"/>
      <c r="X255" s="198"/>
      <c r="Y255" s="198"/>
      <c r="Z255" s="198"/>
      <c r="AA255" s="198"/>
      <c r="AB255" s="198"/>
      <c r="AC255" s="198"/>
      <c r="AD255" s="198"/>
      <c r="AE255" s="198"/>
      <c r="AF255" s="198"/>
      <c r="AG255" s="198"/>
      <c r="AH255" s="198"/>
      <c r="AI255" s="198"/>
      <c r="AJ255" s="198"/>
      <c r="AK255" s="198"/>
      <c r="AL255" s="198"/>
      <c r="AM255" s="198"/>
      <c r="AN255" s="198"/>
      <c r="AO255" s="198"/>
      <c r="AP255" s="198"/>
      <c r="AQ255" s="198"/>
      <c r="AR255" s="198"/>
      <c r="AS255" s="198"/>
      <c r="AT255" s="198"/>
      <c r="AU255" s="198"/>
      <c r="AV255" s="198"/>
      <c r="AW255" s="198"/>
      <c r="AX255" s="198"/>
      <c r="AY255" s="198"/>
      <c r="AZ255" s="198"/>
      <c r="BA255" s="198"/>
      <c r="BB255" s="198"/>
      <c r="BC255" s="198"/>
      <c r="BD255" s="198"/>
      <c r="BE255" s="198"/>
      <c r="BF255" s="198"/>
      <c r="BG255" s="198"/>
      <c r="BH255" s="198"/>
      <c r="BI255" s="198"/>
      <c r="BJ255" s="198"/>
      <c r="BK255" s="198"/>
      <c r="BL255" s="198"/>
      <c r="BM255" s="198"/>
      <c r="BN255" s="198"/>
      <c r="BO255" s="198"/>
      <c r="BP255" s="198"/>
      <c r="BQ255" s="198"/>
      <c r="BR255" s="198"/>
      <c r="BS255" s="198"/>
      <c r="BT255" s="198"/>
      <c r="BU255" s="198"/>
      <c r="BV255" s="198"/>
      <c r="BW255" s="198"/>
      <c r="BX255" s="198"/>
    </row>
    <row r="256" spans="1:76" x14ac:dyDescent="0.25">
      <c r="A256" s="2" t="str">
        <f>'Language Index'!A276</f>
        <v>Cash Interest Paid Net of Interest Received</v>
      </c>
      <c r="B256" s="18">
        <f>_xll.ciqfunctions.udf.CIQ($C$2, "IQ_CASH_INTEREST_NET", D$6,$F$2,,,Ccy,Conv)</f>
        <v>0</v>
      </c>
      <c r="C256" s="18">
        <f>_xll.ciqfunctions.udf.CIQ($C$2, "IQ_CASH_INTEREST_NET", E$6,$F$2,,,Ccy,Conv)</f>
        <v>0</v>
      </c>
      <c r="D256" s="18">
        <f>_xll.ciqfunctions.udf.CIQ($C$2, "IQ_CASH_INTEREST_NET", F$6,$F$2,,,Ccy,Conv)</f>
        <v>0</v>
      </c>
      <c r="E256" s="18">
        <f>_xll.ciqfunctions.udf.CIQ($C$2, "IQ_CASH_INTEREST_NET", G$6,$F$2,,,Ccy,Conv)</f>
        <v>0</v>
      </c>
      <c r="F256" s="18">
        <f>_xll.ciqfunctions.udf.CIQ($C$2, "IQ_CASH_INTEREST_NET", H$6,$F$2,,,Ccy,Conv)</f>
        <v>0</v>
      </c>
      <c r="G256" s="18">
        <f>_xll.ciqfunctions.udf.CIQ($C$2, "IQ_CASH_INTEREST_NET", I$6,$F$2,,,Ccy,Conv)</f>
        <v>0</v>
      </c>
      <c r="H256" s="18">
        <f>_xll.ciqfunctions.udf.CIQ($C$2, "IQ_CASH_INTEREST_NET", J$6,$F$2,,,Ccy,Conv)</f>
        <v>0</v>
      </c>
      <c r="I256" s="18">
        <f>_xll.ciqfunctions.udf.CIQ($C$2, "IQ_CASH_INTEREST_NET", K$6,$F$2,,,Ccy,Conv)</f>
        <v>0</v>
      </c>
      <c r="J256" s="18">
        <f>_xll.ciqfunctions.udf.CIQ($C$2, "IQ_CASH_INTEREST_NET", L$6,$F$2,,,Ccy,Conv)</f>
        <v>0</v>
      </c>
      <c r="K256" s="18">
        <f>_xll.ciqfunctions.udf.CIQ($C$2, "IQ_CASH_INTEREST_NET", M$6,$F$2,,,Ccy,Conv)</f>
        <v>0</v>
      </c>
      <c r="L256" s="18">
        <f>_xll.ciqfunctions.udf.CIQ($C$2, "IQ_CASH_INTEREST_NET", N$6,$F$2,,,Ccy,Conv)</f>
        <v>0</v>
      </c>
      <c r="M256" s="18"/>
      <c r="N256" s="18">
        <f>_xll.ciqfunctions.udf.CIQ($C$2, "IQ_CASH_INTEREST_NET", P$6,$F$2,,,Ccy,Conv)</f>
        <v>0</v>
      </c>
      <c r="O256" s="221"/>
      <c r="P256" s="198"/>
      <c r="Q256" s="198"/>
      <c r="R256" s="198"/>
      <c r="S256" s="198"/>
      <c r="T256" s="205"/>
      <c r="U256" s="205"/>
      <c r="V256" s="205"/>
      <c r="W256" s="198"/>
      <c r="X256" s="198"/>
      <c r="Y256" s="198"/>
      <c r="Z256" s="198"/>
      <c r="AA256" s="198"/>
      <c r="AB256" s="198"/>
      <c r="AC256" s="198"/>
      <c r="AD256" s="198"/>
      <c r="AE256" s="198"/>
      <c r="AF256" s="198"/>
      <c r="AG256" s="198"/>
      <c r="AH256" s="198"/>
      <c r="AI256" s="198"/>
      <c r="AJ256" s="198"/>
      <c r="AK256" s="198"/>
      <c r="AL256" s="198"/>
      <c r="AM256" s="198"/>
      <c r="AN256" s="198"/>
      <c r="AO256" s="198"/>
      <c r="AP256" s="198"/>
      <c r="AQ256" s="198"/>
      <c r="AR256" s="198"/>
      <c r="AS256" s="198"/>
      <c r="AT256" s="198"/>
      <c r="AU256" s="198"/>
      <c r="AV256" s="198"/>
      <c r="AW256" s="198"/>
      <c r="AX256" s="198"/>
      <c r="AY256" s="198"/>
      <c r="AZ256" s="198"/>
      <c r="BA256" s="198"/>
      <c r="BB256" s="198"/>
      <c r="BC256" s="198"/>
      <c r="BD256" s="198"/>
      <c r="BE256" s="198"/>
      <c r="BF256" s="198"/>
      <c r="BG256" s="198"/>
      <c r="BH256" s="198"/>
      <c r="BI256" s="198"/>
      <c r="BJ256" s="198"/>
      <c r="BK256" s="198"/>
      <c r="BL256" s="198"/>
      <c r="BM256" s="198"/>
      <c r="BN256" s="198"/>
      <c r="BO256" s="198"/>
      <c r="BP256" s="198"/>
      <c r="BQ256" s="198"/>
      <c r="BR256" s="198"/>
      <c r="BS256" s="198"/>
      <c r="BT256" s="198"/>
      <c r="BU256" s="198"/>
      <c r="BV256" s="198"/>
      <c r="BW256" s="198"/>
      <c r="BX256" s="198"/>
    </row>
    <row r="257" spans="1:76" x14ac:dyDescent="0.25">
      <c r="A257" s="2" t="str">
        <f>'Language Index'!A277</f>
        <v>Cash Dividend and Interest Received</v>
      </c>
      <c r="B257" s="18">
        <f>_xll.ciqfunctions.udf.CIQ($C$2, "IQ_CASH_INTEREST_RECEIVED", D$6,$F$2,,,Ccy,Conv)</f>
        <v>0</v>
      </c>
      <c r="C257" s="18">
        <f>_xll.ciqfunctions.udf.CIQ($C$2, "IQ_CASH_INTEREST_RECEIVED", E$6,$F$2,,,Ccy,Conv)</f>
        <v>0</v>
      </c>
      <c r="D257" s="18">
        <f>_xll.ciqfunctions.udf.CIQ($C$2, "IQ_CASH_INTEREST_RECEIVED", F$6,$F$2,,,Ccy,Conv)</f>
        <v>0</v>
      </c>
      <c r="E257" s="18">
        <f>_xll.ciqfunctions.udf.CIQ($C$2, "IQ_CASH_INTEREST_RECEIVED", G$6,$F$2,,,Ccy,Conv)</f>
        <v>0</v>
      </c>
      <c r="F257" s="18">
        <f>_xll.ciqfunctions.udf.CIQ($C$2, "IQ_CASH_INTEREST_RECEIVED", H$6,$F$2,,,Ccy,Conv)</f>
        <v>0</v>
      </c>
      <c r="G257" s="18">
        <f>_xll.ciqfunctions.udf.CIQ($C$2, "IQ_CASH_INTEREST_RECEIVED", I$6,$F$2,,,Ccy,Conv)</f>
        <v>0</v>
      </c>
      <c r="H257" s="18">
        <f>_xll.ciqfunctions.udf.CIQ($C$2, "IQ_CASH_INTEREST_RECEIVED", J$6,$F$2,,,Ccy,Conv)</f>
        <v>0</v>
      </c>
      <c r="I257" s="18">
        <f>_xll.ciqfunctions.udf.CIQ($C$2, "IQ_CASH_INTEREST_RECEIVED", K$6,$F$2,,,Ccy,Conv)</f>
        <v>0</v>
      </c>
      <c r="J257" s="18">
        <f>_xll.ciqfunctions.udf.CIQ($C$2, "IQ_CASH_INTEREST_RECEIVED", L$6,$F$2,,,Ccy,Conv)</f>
        <v>0</v>
      </c>
      <c r="K257" s="18">
        <f>_xll.ciqfunctions.udf.CIQ($C$2, "IQ_CASH_INTEREST_RECEIVED", M$6,$F$2,,,Ccy,Conv)</f>
        <v>0</v>
      </c>
      <c r="L257" s="18">
        <f>_xll.ciqfunctions.udf.CIQ($C$2, "IQ_CASH_INTEREST_RECEIVED", N$6,$F$2,,,Ccy,Conv)</f>
        <v>0</v>
      </c>
      <c r="M257" s="18"/>
      <c r="N257" s="18">
        <f>_xll.ciqfunctions.udf.CIQ($C$2, "IQ_CASH_INTEREST_RECEIVED", P$6,$F$2,,,Ccy,Conv)</f>
        <v>0</v>
      </c>
      <c r="O257" s="221"/>
      <c r="P257" s="198"/>
      <c r="Q257" s="198"/>
      <c r="R257" s="198"/>
      <c r="S257" s="198"/>
      <c r="T257" s="205"/>
      <c r="U257" s="205"/>
      <c r="V257" s="205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  <c r="AV257" s="198"/>
      <c r="AW257" s="198"/>
      <c r="AX257" s="198"/>
      <c r="AY257" s="198"/>
      <c r="AZ257" s="198"/>
      <c r="BA257" s="198"/>
      <c r="BB257" s="198"/>
      <c r="BC257" s="198"/>
      <c r="BD257" s="198"/>
      <c r="BE257" s="198"/>
      <c r="BF257" s="198"/>
      <c r="BG257" s="198"/>
      <c r="BH257" s="198"/>
      <c r="BI257" s="198"/>
      <c r="BJ257" s="198"/>
      <c r="BK257" s="198"/>
      <c r="BL257" s="198"/>
      <c r="BM257" s="198"/>
      <c r="BN257" s="198"/>
      <c r="BO257" s="198"/>
      <c r="BP257" s="198"/>
      <c r="BQ257" s="198"/>
      <c r="BR257" s="198"/>
      <c r="BS257" s="198"/>
      <c r="BT257" s="198"/>
      <c r="BU257" s="198"/>
      <c r="BV257" s="198"/>
      <c r="BW257" s="198"/>
      <c r="BX257" s="198"/>
    </row>
    <row r="258" spans="1:76" x14ac:dyDescent="0.25">
      <c r="A258" s="2" t="str">
        <f>'Language Index'!A278</f>
        <v>Cash Interest Paid - Operating Activities</v>
      </c>
      <c r="B258" s="18">
        <f>_xll.ciqfunctions.udf.CIQ($C$2, "IQ_CASH_INTEREST_OPER", D$6,$F$2,,,Ccy,Conv)</f>
        <v>0</v>
      </c>
      <c r="C258" s="18">
        <f>_xll.ciqfunctions.udf.CIQ($C$2, "IQ_CASH_INTEREST_OPER", E$6,$F$2,,,Ccy,Conv)</f>
        <v>0</v>
      </c>
      <c r="D258" s="18">
        <f>_xll.ciqfunctions.udf.CIQ($C$2, "IQ_CASH_INTEREST_OPER", F$6,$F$2,,,Ccy,Conv)</f>
        <v>0</v>
      </c>
      <c r="E258" s="18">
        <f>_xll.ciqfunctions.udf.CIQ($C$2, "IQ_CASH_INTEREST_OPER", G$6,$F$2,,,Ccy,Conv)</f>
        <v>0</v>
      </c>
      <c r="F258" s="18">
        <f>_xll.ciqfunctions.udf.CIQ($C$2, "IQ_CASH_INTEREST_OPER", H$6,$F$2,,,Ccy,Conv)</f>
        <v>0</v>
      </c>
      <c r="G258" s="18">
        <f>_xll.ciqfunctions.udf.CIQ($C$2, "IQ_CASH_INTEREST_OPER", I$6,$F$2,,,Ccy,Conv)</f>
        <v>0</v>
      </c>
      <c r="H258" s="18">
        <f>_xll.ciqfunctions.udf.CIQ($C$2, "IQ_CASH_INTEREST_OPER", J$6,$F$2,,,Ccy,Conv)</f>
        <v>0</v>
      </c>
      <c r="I258" s="18">
        <f>_xll.ciqfunctions.udf.CIQ($C$2, "IQ_CASH_INTEREST_OPER", K$6,$F$2,,,Ccy,Conv)</f>
        <v>0</v>
      </c>
      <c r="J258" s="18">
        <f>_xll.ciqfunctions.udf.CIQ($C$2, "IQ_CASH_INTEREST_OPER", L$6,$F$2,,,Ccy,Conv)</f>
        <v>0</v>
      </c>
      <c r="K258" s="18">
        <f>_xll.ciqfunctions.udf.CIQ($C$2, "IQ_CASH_INTEREST_OPER", M$6,$F$2,,,Ccy,Conv)</f>
        <v>0</v>
      </c>
      <c r="L258" s="18">
        <f>_xll.ciqfunctions.udf.CIQ($C$2, "IQ_CASH_INTEREST_OPER", N$6,$F$2,,,Ccy,Conv)</f>
        <v>0</v>
      </c>
      <c r="M258" s="18"/>
      <c r="N258" s="18">
        <f>_xll.ciqfunctions.udf.CIQ($C$2, "IQ_CASH_INTEREST_OPER", P$6,$F$2,,,Ccy,Conv)</f>
        <v>0</v>
      </c>
      <c r="O258" s="221"/>
      <c r="P258" s="198"/>
      <c r="Q258" s="198"/>
      <c r="R258" s="198"/>
      <c r="S258" s="198"/>
      <c r="T258" s="205"/>
      <c r="U258" s="205"/>
      <c r="V258" s="205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  <c r="AV258" s="198"/>
      <c r="AW258" s="198"/>
      <c r="AX258" s="198"/>
      <c r="AY258" s="198"/>
      <c r="AZ258" s="198"/>
      <c r="BA258" s="198"/>
      <c r="BB258" s="198"/>
      <c r="BC258" s="198"/>
      <c r="BD258" s="198"/>
      <c r="BE258" s="198"/>
      <c r="BF258" s="198"/>
      <c r="BG258" s="198"/>
      <c r="BH258" s="198"/>
      <c r="BI258" s="198"/>
      <c r="BJ258" s="198"/>
      <c r="BK258" s="198"/>
      <c r="BL258" s="198"/>
      <c r="BM258" s="198"/>
      <c r="BN258" s="198"/>
      <c r="BO258" s="198"/>
      <c r="BP258" s="198"/>
      <c r="BQ258" s="198"/>
      <c r="BR258" s="198"/>
      <c r="BS258" s="198"/>
      <c r="BT258" s="198"/>
      <c r="BU258" s="198"/>
      <c r="BV258" s="198"/>
      <c r="BW258" s="198"/>
      <c r="BX258" s="198"/>
    </row>
    <row r="259" spans="1:76" x14ac:dyDescent="0.25">
      <c r="A259" s="2" t="str">
        <f>'Language Index'!A279</f>
        <v>Cash Interest Paid - Investing Activities</v>
      </c>
      <c r="B259" s="18">
        <f>_xll.ciqfunctions.udf.CIQ($C$2, "IQ_CASH_INTEREST_INVEST", D$6,$F$2,,,Ccy,Conv)</f>
        <v>0</v>
      </c>
      <c r="C259" s="18">
        <f>_xll.ciqfunctions.udf.CIQ($C$2, "IQ_CASH_INTEREST_INVEST", E$6,$F$2,,,Ccy,Conv)</f>
        <v>0</v>
      </c>
      <c r="D259" s="18">
        <f>_xll.ciqfunctions.udf.CIQ($C$2, "IQ_CASH_INTEREST_INVEST", F$6,$F$2,,,Ccy,Conv)</f>
        <v>0</v>
      </c>
      <c r="E259" s="18">
        <f>_xll.ciqfunctions.udf.CIQ($C$2, "IQ_CASH_INTEREST_INVEST", G$6,$F$2,,,Ccy,Conv)</f>
        <v>0</v>
      </c>
      <c r="F259" s="18">
        <f>_xll.ciqfunctions.udf.CIQ($C$2, "IQ_CASH_INTEREST_INVEST", H$6,$F$2,,,Ccy,Conv)</f>
        <v>0</v>
      </c>
      <c r="G259" s="18">
        <f>_xll.ciqfunctions.udf.CIQ($C$2, "IQ_CASH_INTEREST_INVEST", I$6,$F$2,,,Ccy,Conv)</f>
        <v>0</v>
      </c>
      <c r="H259" s="18">
        <f>_xll.ciqfunctions.udf.CIQ($C$2, "IQ_CASH_INTEREST_INVEST", J$6,$F$2,,,Ccy,Conv)</f>
        <v>0</v>
      </c>
      <c r="I259" s="18">
        <f>_xll.ciqfunctions.udf.CIQ($C$2, "IQ_CASH_INTEREST_INVEST", K$6,$F$2,,,Ccy,Conv)</f>
        <v>0</v>
      </c>
      <c r="J259" s="18">
        <f>_xll.ciqfunctions.udf.CIQ($C$2, "IQ_CASH_INTEREST_INVEST", L$6,$F$2,,,Ccy,Conv)</f>
        <v>0</v>
      </c>
      <c r="K259" s="18">
        <f>_xll.ciqfunctions.udf.CIQ($C$2, "IQ_CASH_INTEREST_INVEST", M$6,$F$2,,,Ccy,Conv)</f>
        <v>0</v>
      </c>
      <c r="L259" s="18">
        <f>_xll.ciqfunctions.udf.CIQ($C$2, "IQ_CASH_INTEREST_INVEST", N$6,$F$2,,,Ccy,Conv)</f>
        <v>0</v>
      </c>
      <c r="M259" s="18"/>
      <c r="N259" s="18">
        <f>_xll.ciqfunctions.udf.CIQ($C$2, "IQ_CASH_INTEREST_INVEST", P$6,$F$2,,,Ccy,Conv)</f>
        <v>0</v>
      </c>
      <c r="O259" s="221"/>
      <c r="P259" s="198"/>
      <c r="Q259" s="198"/>
      <c r="R259" s="198"/>
      <c r="S259" s="198"/>
      <c r="T259" s="205"/>
      <c r="U259" s="205"/>
      <c r="V259" s="205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  <c r="AV259" s="198"/>
      <c r="AW259" s="198"/>
      <c r="AX259" s="198"/>
      <c r="AY259" s="198"/>
      <c r="AZ259" s="198"/>
      <c r="BA259" s="198"/>
      <c r="BB259" s="198"/>
      <c r="BC259" s="198"/>
      <c r="BD259" s="198"/>
      <c r="BE259" s="198"/>
      <c r="BF259" s="198"/>
      <c r="BG259" s="198"/>
      <c r="BH259" s="198"/>
      <c r="BI259" s="198"/>
      <c r="BJ259" s="198"/>
      <c r="BK259" s="198"/>
      <c r="BL259" s="198"/>
      <c r="BM259" s="198"/>
      <c r="BN259" s="198"/>
      <c r="BO259" s="198"/>
      <c r="BP259" s="198"/>
      <c r="BQ259" s="198"/>
      <c r="BR259" s="198"/>
      <c r="BS259" s="198"/>
      <c r="BT259" s="198"/>
      <c r="BU259" s="198"/>
      <c r="BV259" s="198"/>
      <c r="BW259" s="198"/>
      <c r="BX259" s="198"/>
    </row>
    <row r="260" spans="1:76" x14ac:dyDescent="0.25">
      <c r="A260" s="2" t="str">
        <f>'Language Index'!A280</f>
        <v>Cash Interest Paid - Financing Activities</v>
      </c>
      <c r="B260" s="18">
        <f>_xll.ciqfunctions.udf.CIQ($C$2, "IQ_CASH_INTEREST_FINAN", D$6,$F$2,,,Ccy,Conv)</f>
        <v>0</v>
      </c>
      <c r="C260" s="18">
        <f>_xll.ciqfunctions.udf.CIQ($C$2, "IQ_CASH_INTEREST_FINAN", E$6,$F$2,,,Ccy,Conv)</f>
        <v>0</v>
      </c>
      <c r="D260" s="18">
        <f>_xll.ciqfunctions.udf.CIQ($C$2, "IQ_CASH_INTEREST_FINAN", F$6,$F$2,,,Ccy,Conv)</f>
        <v>0</v>
      </c>
      <c r="E260" s="18">
        <f>_xll.ciqfunctions.udf.CIQ($C$2, "IQ_CASH_INTEREST_FINAN", G$6,$F$2,,,Ccy,Conv)</f>
        <v>0</v>
      </c>
      <c r="F260" s="18">
        <f>_xll.ciqfunctions.udf.CIQ($C$2, "IQ_CASH_INTEREST_FINAN", H$6,$F$2,,,Ccy,Conv)</f>
        <v>0</v>
      </c>
      <c r="G260" s="18">
        <f>_xll.ciqfunctions.udf.CIQ($C$2, "IQ_CASH_INTEREST_FINAN", I$6,$F$2,,,Ccy,Conv)</f>
        <v>0</v>
      </c>
      <c r="H260" s="18">
        <f>_xll.ciqfunctions.udf.CIQ($C$2, "IQ_CASH_INTEREST_FINAN", J$6,$F$2,,,Ccy,Conv)</f>
        <v>0</v>
      </c>
      <c r="I260" s="18">
        <f>_xll.ciqfunctions.udf.CIQ($C$2, "IQ_CASH_INTEREST_FINAN", K$6,$F$2,,,Ccy,Conv)</f>
        <v>0</v>
      </c>
      <c r="J260" s="18">
        <f>_xll.ciqfunctions.udf.CIQ($C$2, "IQ_CASH_INTEREST_FINAN", L$6,$F$2,,,Ccy,Conv)</f>
        <v>0</v>
      </c>
      <c r="K260" s="18">
        <f>_xll.ciqfunctions.udf.CIQ($C$2, "IQ_CASH_INTEREST_FINAN", M$6,$F$2,,,Ccy,Conv)</f>
        <v>0</v>
      </c>
      <c r="L260" s="18">
        <f>_xll.ciqfunctions.udf.CIQ($C$2, "IQ_CASH_INTEREST_FINAN", N$6,$F$2,,,Ccy,Conv)</f>
        <v>0</v>
      </c>
      <c r="M260" s="18"/>
      <c r="N260" s="18">
        <f>_xll.ciqfunctions.udf.CIQ($C$2, "IQ_CASH_INTEREST_FINAN", P$6,$F$2,,,Ccy,Conv)</f>
        <v>0</v>
      </c>
      <c r="O260" s="221"/>
      <c r="P260" s="198"/>
      <c r="Q260" s="198"/>
      <c r="R260" s="198"/>
      <c r="S260" s="198"/>
      <c r="T260" s="205"/>
      <c r="U260" s="205"/>
      <c r="V260" s="205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  <c r="AV260" s="198"/>
      <c r="AW260" s="198"/>
      <c r="AX260" s="198"/>
      <c r="AY260" s="198"/>
      <c r="AZ260" s="198"/>
      <c r="BA260" s="198"/>
      <c r="BB260" s="198"/>
      <c r="BC260" s="198"/>
      <c r="BD260" s="198"/>
      <c r="BE260" s="198"/>
      <c r="BF260" s="198"/>
      <c r="BG260" s="198"/>
      <c r="BH260" s="198"/>
      <c r="BI260" s="198"/>
      <c r="BJ260" s="198"/>
      <c r="BK260" s="198"/>
      <c r="BL260" s="198"/>
      <c r="BM260" s="198"/>
      <c r="BN260" s="198"/>
      <c r="BO260" s="198"/>
      <c r="BP260" s="198"/>
      <c r="BQ260" s="198"/>
      <c r="BR260" s="198"/>
      <c r="BS260" s="198"/>
      <c r="BT260" s="198"/>
      <c r="BU260" s="198"/>
      <c r="BV260" s="198"/>
      <c r="BW260" s="198"/>
      <c r="BX260" s="198"/>
    </row>
    <row r="261" spans="1:76" x14ac:dyDescent="0.25">
      <c r="A261" s="2" t="str">
        <f>'Language Index'!A281</f>
        <v>Cash Taxes Paid</v>
      </c>
      <c r="B261" s="18">
        <f>_xll.ciqfunctions.udf.CIQ($C$2, "IQ_CASH_TAXES", D$6,$F$2,,,Ccy,Conv)</f>
        <v>5748</v>
      </c>
      <c r="C261" s="18">
        <f>_xll.ciqfunctions.udf.CIQ($C$2, "IQ_CASH_TAXES", E$6,$F$2,,,Ccy,Conv)</f>
        <v>2657</v>
      </c>
      <c r="D261" s="18">
        <f>_xll.ciqfunctions.udf.CIQ($C$2, "IQ_CASH_TAXES", F$6,$F$2,,,Ccy,Conv)</f>
        <v>1078</v>
      </c>
      <c r="E261" s="18">
        <f>_xll.ciqfunctions.udf.CIQ($C$2, "IQ_CASH_TAXES", G$6,$F$2,,,Ccy,Conv)</f>
        <v>1597</v>
      </c>
      <c r="F261" s="18">
        <f>_xll.ciqfunctions.udf.CIQ($C$2, "IQ_CASH_TAXES", H$6,$F$2,,,Ccy,Conv)</f>
        <v>1745</v>
      </c>
      <c r="G261" s="18">
        <f>_xll.ciqfunctions.udf.CIQ($C$2, "IQ_CASH_TAXES", I$6,$F$2,,,Ccy,Conv)</f>
        <v>2091</v>
      </c>
      <c r="H261" s="18">
        <f>_xll.ciqfunctions.udf.CIQ($C$2, "IQ_CASH_TAXES", J$6,$F$2,,,Ccy,Conv)</f>
        <v>2253</v>
      </c>
      <c r="I261" s="18">
        <f>_xll.ciqfunctions.udf.CIQ($C$2, "IQ_CASH_TAXES", K$6,$F$2,,,Ccy,Conv)</f>
        <v>2103</v>
      </c>
      <c r="J261" s="18">
        <f>_xll.ciqfunctions.udf.CIQ($C$2, "IQ_CASH_TAXES", L$6,$F$2,,,Ccy,Conv)</f>
        <v>1865</v>
      </c>
      <c r="K261" s="18">
        <f>_xll.ciqfunctions.udf.CIQ($C$2, "IQ_CASH_TAXES", M$6,$F$2,,,Ccy,Conv)</f>
        <v>1564</v>
      </c>
      <c r="L261" s="18">
        <f>_xll.ciqfunctions.udf.CIQ($C$2, "IQ_CASH_TAXES", N$6,$F$2,,,Ccy,Conv)</f>
        <v>1723</v>
      </c>
      <c r="M261" s="18"/>
      <c r="N261" s="18">
        <f>_xll.ciqfunctions.udf.CIQ($C$2, "IQ_CASH_TAXES", P$6,$F$2,,,Ccy,Conv)</f>
        <v>1723</v>
      </c>
      <c r="O261" s="221"/>
      <c r="P261" s="198"/>
      <c r="Q261" s="198"/>
      <c r="R261" s="198"/>
      <c r="S261" s="198"/>
      <c r="T261" s="205"/>
      <c r="U261" s="205"/>
      <c r="V261" s="205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  <c r="AV261" s="198"/>
      <c r="AW261" s="198"/>
      <c r="AX261" s="198"/>
      <c r="AY261" s="198"/>
      <c r="AZ261" s="198"/>
      <c r="BA261" s="198"/>
      <c r="BB261" s="198"/>
      <c r="BC261" s="198"/>
      <c r="BD261" s="198"/>
      <c r="BE261" s="198"/>
      <c r="BF261" s="198"/>
      <c r="BG261" s="198"/>
      <c r="BH261" s="198"/>
      <c r="BI261" s="198"/>
      <c r="BJ261" s="198"/>
      <c r="BK261" s="198"/>
      <c r="BL261" s="198"/>
      <c r="BM261" s="198"/>
      <c r="BN261" s="198"/>
      <c r="BO261" s="198"/>
      <c r="BP261" s="198"/>
      <c r="BQ261" s="198"/>
      <c r="BR261" s="198"/>
      <c r="BS261" s="198"/>
      <c r="BT261" s="198"/>
      <c r="BU261" s="198"/>
      <c r="BV261" s="198"/>
      <c r="BW261" s="198"/>
      <c r="BX261" s="198"/>
    </row>
    <row r="262" spans="1:76" x14ac:dyDescent="0.25">
      <c r="A262" s="2" t="str">
        <f>'Language Index'!A282</f>
        <v>Cash Taxes Paid - Operating Activities</v>
      </c>
      <c r="B262" s="18">
        <f>_xll.ciqfunctions.udf.CIQ($C$2, "IQ_CASH_TAXES_OPER", D$6,$F$2,,,Ccy,Conv)</f>
        <v>0</v>
      </c>
      <c r="C262" s="18">
        <f>_xll.ciqfunctions.udf.CIQ($C$2, "IQ_CASH_TAXES_OPER", E$6,$F$2,,,Ccy,Conv)</f>
        <v>0</v>
      </c>
      <c r="D262" s="18">
        <f>_xll.ciqfunctions.udf.CIQ($C$2, "IQ_CASH_TAXES_OPER", F$6,$F$2,,,Ccy,Conv)</f>
        <v>0</v>
      </c>
      <c r="E262" s="18">
        <f>_xll.ciqfunctions.udf.CIQ($C$2, "IQ_CASH_TAXES_OPER", G$6,$F$2,,,Ccy,Conv)</f>
        <v>0</v>
      </c>
      <c r="F262" s="18">
        <f>_xll.ciqfunctions.udf.CIQ($C$2, "IQ_CASH_TAXES_OPER", H$6,$F$2,,,Ccy,Conv)</f>
        <v>0</v>
      </c>
      <c r="G262" s="18">
        <f>_xll.ciqfunctions.udf.CIQ($C$2, "IQ_CASH_TAXES_OPER", I$6,$F$2,,,Ccy,Conv)</f>
        <v>0</v>
      </c>
      <c r="H262" s="18">
        <f>_xll.ciqfunctions.udf.CIQ($C$2, "IQ_CASH_TAXES_OPER", J$6,$F$2,,,Ccy,Conv)</f>
        <v>0</v>
      </c>
      <c r="I262" s="18">
        <f>_xll.ciqfunctions.udf.CIQ($C$2, "IQ_CASH_TAXES_OPER", K$6,$F$2,,,Ccy,Conv)</f>
        <v>0</v>
      </c>
      <c r="J262" s="18">
        <f>_xll.ciqfunctions.udf.CIQ($C$2, "IQ_CASH_TAXES_OPER", L$6,$F$2,,,Ccy,Conv)</f>
        <v>0</v>
      </c>
      <c r="K262" s="18">
        <f>_xll.ciqfunctions.udf.CIQ($C$2, "IQ_CASH_TAXES_OPER", M$6,$F$2,,,Ccy,Conv)</f>
        <v>0</v>
      </c>
      <c r="L262" s="18">
        <f>_xll.ciqfunctions.udf.CIQ($C$2, "IQ_CASH_TAXES_OPER", N$6,$F$2,,,Ccy,Conv)</f>
        <v>0</v>
      </c>
      <c r="M262" s="18"/>
      <c r="N262" s="18">
        <f>_xll.ciqfunctions.udf.CIQ($C$2, "IQ_CASH_TAXES_OPER", P$6,$F$2,,,Ccy,Conv)</f>
        <v>0</v>
      </c>
      <c r="O262" s="221"/>
      <c r="P262" s="198"/>
      <c r="Q262" s="198"/>
      <c r="R262" s="198"/>
      <c r="S262" s="198"/>
      <c r="T262" s="205"/>
      <c r="U262" s="205"/>
      <c r="V262" s="205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  <c r="AV262" s="198"/>
      <c r="AW262" s="198"/>
      <c r="AX262" s="198"/>
      <c r="AY262" s="198"/>
      <c r="AZ262" s="198"/>
      <c r="BA262" s="198"/>
      <c r="BB262" s="198"/>
      <c r="BC262" s="198"/>
      <c r="BD262" s="198"/>
      <c r="BE262" s="198"/>
      <c r="BF262" s="198"/>
      <c r="BG262" s="198"/>
      <c r="BH262" s="198"/>
      <c r="BI262" s="198"/>
      <c r="BJ262" s="198"/>
      <c r="BK262" s="198"/>
      <c r="BL262" s="198"/>
      <c r="BM262" s="198"/>
      <c r="BN262" s="198"/>
      <c r="BO262" s="198"/>
      <c r="BP262" s="198"/>
      <c r="BQ262" s="198"/>
      <c r="BR262" s="198"/>
      <c r="BS262" s="198"/>
      <c r="BT262" s="198"/>
      <c r="BU262" s="198"/>
      <c r="BV262" s="198"/>
      <c r="BW262" s="198"/>
      <c r="BX262" s="198"/>
    </row>
    <row r="263" spans="1:76" x14ac:dyDescent="0.25">
      <c r="A263" s="2" t="str">
        <f>'Language Index'!A283</f>
        <v>Cash Taxes Paid - Investing Activities</v>
      </c>
      <c r="B263" s="18">
        <f>_xll.ciqfunctions.udf.CIQ($C$2, "IQ_CASH_TAXES_INVEST", D$6,$F$2,,,Ccy,Conv)</f>
        <v>0</v>
      </c>
      <c r="C263" s="18">
        <f>_xll.ciqfunctions.udf.CIQ($C$2, "IQ_CASH_TAXES_INVEST", E$6,$F$2,,,Ccy,Conv)</f>
        <v>0</v>
      </c>
      <c r="D263" s="18">
        <f>_xll.ciqfunctions.udf.CIQ($C$2, "IQ_CASH_TAXES_INVEST", F$6,$F$2,,,Ccy,Conv)</f>
        <v>0</v>
      </c>
      <c r="E263" s="18">
        <f>_xll.ciqfunctions.udf.CIQ($C$2, "IQ_CASH_TAXES_INVEST", G$6,$F$2,,,Ccy,Conv)</f>
        <v>0</v>
      </c>
      <c r="F263" s="18">
        <f>_xll.ciqfunctions.udf.CIQ($C$2, "IQ_CASH_TAXES_INVEST", H$6,$F$2,,,Ccy,Conv)</f>
        <v>0</v>
      </c>
      <c r="G263" s="18">
        <f>_xll.ciqfunctions.udf.CIQ($C$2, "IQ_CASH_TAXES_INVEST", I$6,$F$2,,,Ccy,Conv)</f>
        <v>0</v>
      </c>
      <c r="H263" s="18">
        <f>_xll.ciqfunctions.udf.CIQ($C$2, "IQ_CASH_TAXES_INVEST", J$6,$F$2,,,Ccy,Conv)</f>
        <v>0</v>
      </c>
      <c r="I263" s="18">
        <f>_xll.ciqfunctions.udf.CIQ($C$2, "IQ_CASH_TAXES_INVEST", K$6,$F$2,,,Ccy,Conv)</f>
        <v>0</v>
      </c>
      <c r="J263" s="18">
        <f>_xll.ciqfunctions.udf.CIQ($C$2, "IQ_CASH_TAXES_INVEST", L$6,$F$2,,,Ccy,Conv)</f>
        <v>0</v>
      </c>
      <c r="K263" s="18">
        <f>_xll.ciqfunctions.udf.CIQ($C$2, "IQ_CASH_TAXES_INVEST", M$6,$F$2,,,Ccy,Conv)</f>
        <v>0</v>
      </c>
      <c r="L263" s="18">
        <f>_xll.ciqfunctions.udf.CIQ($C$2, "IQ_CASH_TAXES_INVEST", N$6,$F$2,,,Ccy,Conv)</f>
        <v>0</v>
      </c>
      <c r="M263" s="18"/>
      <c r="N263" s="18">
        <f>_xll.ciqfunctions.udf.CIQ($C$2, "IQ_CASH_TAXES_INVEST", P$6,$F$2,,,Ccy,Conv)</f>
        <v>0</v>
      </c>
      <c r="O263" s="221"/>
      <c r="P263" s="198"/>
      <c r="Q263" s="198"/>
      <c r="R263" s="198"/>
      <c r="S263" s="198"/>
      <c r="T263" s="205"/>
      <c r="U263" s="205"/>
      <c r="V263" s="205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  <c r="AV263" s="198"/>
      <c r="AW263" s="198"/>
      <c r="AX263" s="198"/>
      <c r="AY263" s="198"/>
      <c r="AZ263" s="198"/>
      <c r="BA263" s="198"/>
      <c r="BB263" s="198"/>
      <c r="BC263" s="198"/>
      <c r="BD263" s="198"/>
      <c r="BE263" s="198"/>
      <c r="BF263" s="198"/>
      <c r="BG263" s="198"/>
      <c r="BH263" s="198"/>
      <c r="BI263" s="198"/>
      <c r="BJ263" s="198"/>
      <c r="BK263" s="198"/>
      <c r="BL263" s="198"/>
      <c r="BM263" s="198"/>
      <c r="BN263" s="198"/>
      <c r="BO263" s="198"/>
      <c r="BP263" s="198"/>
      <c r="BQ263" s="198"/>
      <c r="BR263" s="198"/>
      <c r="BS263" s="198"/>
      <c r="BT263" s="198"/>
      <c r="BU263" s="198"/>
      <c r="BV263" s="198"/>
      <c r="BW263" s="198"/>
      <c r="BX263" s="198"/>
    </row>
    <row r="264" spans="1:76" x14ac:dyDescent="0.25">
      <c r="A264" s="2" t="str">
        <f>'Language Index'!A284</f>
        <v>Cash Taxes Paid - Financing Activities</v>
      </c>
      <c r="B264" s="18">
        <f>_xll.ciqfunctions.udf.CIQ($C$2, "IQ_CASH_TAXES_FINAN", D$6,$F$2,,,Ccy,Conv)</f>
        <v>0</v>
      </c>
      <c r="C264" s="18">
        <f>_xll.ciqfunctions.udf.CIQ($C$2, "IQ_CASH_TAXES_FINAN", E$6,$F$2,,,Ccy,Conv)</f>
        <v>0</v>
      </c>
      <c r="D264" s="18">
        <f>_xll.ciqfunctions.udf.CIQ($C$2, "IQ_CASH_TAXES_FINAN", F$6,$F$2,,,Ccy,Conv)</f>
        <v>0</v>
      </c>
      <c r="E264" s="18">
        <f>_xll.ciqfunctions.udf.CIQ($C$2, "IQ_CASH_TAXES_FINAN", G$6,$F$2,,,Ccy,Conv)</f>
        <v>0</v>
      </c>
      <c r="F264" s="18">
        <f>_xll.ciqfunctions.udf.CIQ($C$2, "IQ_CASH_TAXES_FINAN", H$6,$F$2,,,Ccy,Conv)</f>
        <v>0</v>
      </c>
      <c r="G264" s="18">
        <f>_xll.ciqfunctions.udf.CIQ($C$2, "IQ_CASH_TAXES_FINAN", I$6,$F$2,,,Ccy,Conv)</f>
        <v>0</v>
      </c>
      <c r="H264" s="18">
        <f>_xll.ciqfunctions.udf.CIQ($C$2, "IQ_CASH_TAXES_FINAN", J$6,$F$2,,,Ccy,Conv)</f>
        <v>0</v>
      </c>
      <c r="I264" s="18">
        <f>_xll.ciqfunctions.udf.CIQ($C$2, "IQ_CASH_TAXES_FINAN", K$6,$F$2,,,Ccy,Conv)</f>
        <v>0</v>
      </c>
      <c r="J264" s="18">
        <f>_xll.ciqfunctions.udf.CIQ($C$2, "IQ_CASH_TAXES_FINAN", L$6,$F$2,,,Ccy,Conv)</f>
        <v>0</v>
      </c>
      <c r="K264" s="18">
        <f>_xll.ciqfunctions.udf.CIQ($C$2, "IQ_CASH_TAXES_FINAN", M$6,$F$2,,,Ccy,Conv)</f>
        <v>0</v>
      </c>
      <c r="L264" s="18">
        <f>_xll.ciqfunctions.udf.CIQ($C$2, "IQ_CASH_TAXES_FINAN", N$6,$F$2,,,Ccy,Conv)</f>
        <v>0</v>
      </c>
      <c r="M264" s="18"/>
      <c r="N264" s="18">
        <f>_xll.ciqfunctions.udf.CIQ($C$2, "IQ_CASH_TAXES_FINAN", P$6,$F$2,,,Ccy,Conv)</f>
        <v>0</v>
      </c>
      <c r="O264" s="221"/>
      <c r="P264" s="198"/>
      <c r="Q264" s="198"/>
      <c r="R264" s="198"/>
      <c r="S264" s="198"/>
      <c r="T264" s="205"/>
      <c r="U264" s="205"/>
      <c r="V264" s="205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  <c r="AV264" s="198"/>
      <c r="AW264" s="198"/>
      <c r="AX264" s="198"/>
      <c r="AY264" s="198"/>
      <c r="AZ264" s="198"/>
      <c r="BA264" s="198"/>
      <c r="BB264" s="198"/>
      <c r="BC264" s="198"/>
      <c r="BD264" s="198"/>
      <c r="BE264" s="198"/>
      <c r="BF264" s="198"/>
      <c r="BG264" s="198"/>
      <c r="BH264" s="198"/>
      <c r="BI264" s="198"/>
      <c r="BJ264" s="198"/>
      <c r="BK264" s="198"/>
      <c r="BL264" s="198"/>
      <c r="BM264" s="198"/>
      <c r="BN264" s="198"/>
      <c r="BO264" s="198"/>
      <c r="BP264" s="198"/>
      <c r="BQ264" s="198"/>
      <c r="BR264" s="198"/>
      <c r="BS264" s="198"/>
      <c r="BT264" s="198"/>
      <c r="BU264" s="198"/>
      <c r="BV264" s="198"/>
      <c r="BW264" s="198"/>
      <c r="BX264" s="198"/>
    </row>
    <row r="265" spans="1:76" x14ac:dyDescent="0.25">
      <c r="A265" s="2" t="str">
        <f>'Language Index'!A285</f>
        <v>Deferred Income Taxes, Total</v>
      </c>
      <c r="B265" s="18">
        <f>_xll.ciqfunctions.udf.CIQ($C$2, "IQ_CHANGE_DEF_TAX_TOTAL", D$6,$F$2,,,Ccy,Conv)</f>
        <v>-237</v>
      </c>
      <c r="C265" s="18">
        <f>_xll.ciqfunctions.udf.CIQ($C$2, "IQ_CHANGE_DEF_TAX_TOTAL", E$6,$F$2,,,Ccy,Conv)</f>
        <v>1387</v>
      </c>
      <c r="D265" s="18">
        <f>_xll.ciqfunctions.udf.CIQ($C$2, "IQ_CHANGE_DEF_TAX_TOTAL", F$6,$F$2,,,Ccy,Conv)</f>
        <v>-1132</v>
      </c>
      <c r="E265" s="18">
        <f>_xll.ciqfunctions.udf.CIQ($C$2, "IQ_CHANGE_DEF_TAX_TOTAL", G$6,$F$2,,,Ccy,Conv)</f>
        <v>-931</v>
      </c>
      <c r="F265" s="18">
        <f>_xll.ciqfunctions.udf.CIQ($C$2, "IQ_CHANGE_DEF_TAX_TOTAL", H$6,$F$2,,,Ccy,Conv)</f>
        <v>853</v>
      </c>
      <c r="G265" s="18">
        <f>_xll.ciqfunctions.udf.CIQ($C$2, "IQ_CHANGE_DEF_TAX_TOTAL", I$6,$F$2,,,Ccy,Conv)</f>
        <v>-1527</v>
      </c>
      <c r="H265" s="18">
        <f>_xll.ciqfunctions.udf.CIQ($C$2, "IQ_CHANGE_DEF_TAX_TOTAL", J$6,$F$2,,,Ccy,Conv)</f>
        <v>-3203</v>
      </c>
      <c r="I265" s="18">
        <f>_xll.ciqfunctions.udf.CIQ($C$2, "IQ_CHANGE_DEF_TAX_TOTAL", K$6,$F$2,,,Ccy,Conv)</f>
        <v>-2001</v>
      </c>
      <c r="J265" s="18">
        <f>_xll.ciqfunctions.udf.CIQ($C$2, "IQ_CHANGE_DEF_TAX_TOTAL", L$6,$F$2,,,Ccy,Conv)</f>
        <v>-2726</v>
      </c>
      <c r="K265" s="18">
        <f>_xll.ciqfunctions.udf.CIQ($C$2, "IQ_CHANGE_DEF_TAX_TOTAL", M$6,$F$2,,,Ccy,Conv)</f>
        <v>-1114</v>
      </c>
      <c r="L265" s="18">
        <f>_xll.ciqfunctions.udf.CIQ($C$2, "IQ_CHANGE_DEF_TAX_TOTAL", N$6,$F$2,,,Ccy,Conv)</f>
        <v>-2330</v>
      </c>
      <c r="M265" s="18"/>
      <c r="N265" s="18">
        <f>_xll.ciqfunctions.udf.CIQ($C$2, "IQ_CHANGE_DEF_TAX_TOTAL", P$6,$F$2,,,Ccy,Conv)</f>
        <v>-2330</v>
      </c>
      <c r="O265" s="221"/>
      <c r="P265" s="198"/>
      <c r="Q265" s="198"/>
      <c r="R265" s="198"/>
      <c r="S265" s="198"/>
      <c r="T265" s="205"/>
      <c r="U265" s="205"/>
      <c r="V265" s="205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  <c r="AV265" s="198"/>
      <c r="AW265" s="198"/>
      <c r="AX265" s="198"/>
      <c r="AY265" s="198"/>
      <c r="AZ265" s="198"/>
      <c r="BA265" s="198"/>
      <c r="BB265" s="198"/>
      <c r="BC265" s="198"/>
      <c r="BD265" s="198"/>
      <c r="BE265" s="198"/>
      <c r="BF265" s="198"/>
      <c r="BG265" s="198"/>
      <c r="BH265" s="198"/>
      <c r="BI265" s="198"/>
      <c r="BJ265" s="198"/>
      <c r="BK265" s="198"/>
      <c r="BL265" s="198"/>
      <c r="BM265" s="198"/>
      <c r="BN265" s="198"/>
      <c r="BO265" s="198"/>
      <c r="BP265" s="198"/>
      <c r="BQ265" s="198"/>
      <c r="BR265" s="198"/>
      <c r="BS265" s="198"/>
      <c r="BT265" s="198"/>
      <c r="BU265" s="198"/>
      <c r="BV265" s="198"/>
      <c r="BW265" s="198"/>
      <c r="BX265" s="198"/>
    </row>
    <row r="266" spans="1:76" x14ac:dyDescent="0.25">
      <c r="A266" s="2" t="str">
        <f>'Language Index'!A286</f>
        <v>Change in Net Working Capital</v>
      </c>
      <c r="B266" s="18">
        <f>_xll.ciqfunctions.udf.CIQ($C$2, "IQ_CHANGE_NET_WORKING_CAPITAL", D$6,$F$2,,,Ccy,Conv)</f>
        <v>-1946</v>
      </c>
      <c r="C266" s="18">
        <f>_xll.ciqfunctions.udf.CIQ($C$2, "IQ_CHANGE_NET_WORKING_CAPITAL", E$6,$F$2,,,Ccy,Conv)</f>
        <v>1456</v>
      </c>
      <c r="D266" s="18">
        <f>_xll.ciqfunctions.udf.CIQ($C$2, "IQ_CHANGE_NET_WORKING_CAPITAL", F$6,$F$2,,,Ccy,Conv)</f>
        <v>98</v>
      </c>
      <c r="E266" s="18">
        <f>_xll.ciqfunctions.udf.CIQ($C$2, "IQ_CHANGE_NET_WORKING_CAPITAL", G$6,$F$2,,,Ccy,Conv)</f>
        <v>177</v>
      </c>
      <c r="F266" s="18">
        <f>_xll.ciqfunctions.udf.CIQ($C$2, "IQ_CHANGE_NET_WORKING_CAPITAL", H$6,$F$2,,,Ccy,Conv)</f>
        <v>2352</v>
      </c>
      <c r="G266" s="18">
        <f>_xll.ciqfunctions.udf.CIQ($C$2, "IQ_CHANGE_NET_WORKING_CAPITAL", I$6,$F$2,,,Ccy,Conv)</f>
        <v>-7101</v>
      </c>
      <c r="H266" s="18">
        <f>_xll.ciqfunctions.udf.CIQ($C$2, "IQ_CHANGE_NET_WORKING_CAPITAL", J$6,$F$2,,,Ccy,Conv)</f>
        <v>-8369</v>
      </c>
      <c r="I266" s="18">
        <f>_xll.ciqfunctions.udf.CIQ($C$2, "IQ_CHANGE_NET_WORKING_CAPITAL", K$6,$F$2,,,Ccy,Conv)</f>
        <v>2772</v>
      </c>
      <c r="J266" s="18">
        <f>_xll.ciqfunctions.udf.CIQ($C$2, "IQ_CHANGE_NET_WORKING_CAPITAL", L$6,$F$2,,,Ccy,Conv)</f>
        <v>-1922</v>
      </c>
      <c r="K266" s="18">
        <f>_xll.ciqfunctions.udf.CIQ($C$2, "IQ_CHANGE_NET_WORKING_CAPITAL", M$6,$F$2,,,Ccy,Conv)</f>
        <v>-1918</v>
      </c>
      <c r="L266" s="18">
        <f>_xll.ciqfunctions.udf.CIQ($C$2, "IQ_CHANGE_NET_WORKING_CAPITAL", N$6,$F$2,,,Ccy,Conv)</f>
        <v>15</v>
      </c>
      <c r="M266" s="18"/>
      <c r="N266" s="18">
        <f>_xll.ciqfunctions.udf.CIQ($C$2, "IQ_CHANGE_NET_WORKING_CAPITAL", P$6,$F$2,,,Ccy,Conv)</f>
        <v>15</v>
      </c>
      <c r="O266" s="221"/>
      <c r="P266" s="198"/>
      <c r="Q266" s="198"/>
      <c r="R266" s="198"/>
      <c r="S266" s="198"/>
      <c r="T266" s="205"/>
      <c r="U266" s="205"/>
      <c r="V266" s="205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  <c r="AG266" s="198"/>
      <c r="AH266" s="198"/>
      <c r="AI266" s="198"/>
      <c r="AJ266" s="198"/>
      <c r="AK266" s="198"/>
      <c r="AL266" s="198"/>
      <c r="AM266" s="198"/>
      <c r="AN266" s="198"/>
      <c r="AO266" s="198"/>
      <c r="AP266" s="198"/>
      <c r="AQ266" s="198"/>
      <c r="AR266" s="198"/>
      <c r="AS266" s="198"/>
      <c r="AT266" s="198"/>
      <c r="AU266" s="198"/>
      <c r="AV266" s="198"/>
      <c r="AW266" s="198"/>
      <c r="AX266" s="198"/>
      <c r="AY266" s="198"/>
      <c r="AZ266" s="198"/>
      <c r="BA266" s="198"/>
      <c r="BB266" s="198"/>
      <c r="BC266" s="198"/>
      <c r="BD266" s="198"/>
      <c r="BE266" s="198"/>
      <c r="BF266" s="198"/>
      <c r="BG266" s="198"/>
      <c r="BH266" s="198"/>
      <c r="BI266" s="198"/>
      <c r="BJ266" s="198"/>
      <c r="BK266" s="198"/>
      <c r="BL266" s="198"/>
      <c r="BM266" s="198"/>
      <c r="BN266" s="198"/>
      <c r="BO266" s="198"/>
      <c r="BP266" s="198"/>
      <c r="BQ266" s="198"/>
      <c r="BR266" s="198"/>
      <c r="BS266" s="198"/>
      <c r="BT266" s="198"/>
      <c r="BU266" s="198"/>
      <c r="BV266" s="198"/>
      <c r="BW266" s="198"/>
      <c r="BX266" s="198"/>
    </row>
    <row r="267" spans="1:76" x14ac:dyDescent="0.25">
      <c r="A267" s="2" t="str">
        <f>'Language Index'!A287</f>
        <v>Levered Free Cash Flow</v>
      </c>
      <c r="B267" s="18">
        <f>_xll.ciqfunctions.udf.CIQ($C$2, "IQ_LEVERED_FCF", D$6,$F$2,,,Ccy,Conv)</f>
        <v>15045.125</v>
      </c>
      <c r="C267" s="18">
        <f>_xll.ciqfunctions.udf.CIQ($C$2, "IQ_LEVERED_FCF", E$6,$F$2,,,Ccy,Conv)</f>
        <v>8746.625</v>
      </c>
      <c r="D267" s="18">
        <f>_xll.ciqfunctions.udf.CIQ($C$2, "IQ_LEVERED_FCF", F$6,$F$2,,,Ccy,Conv)</f>
        <v>9139.5</v>
      </c>
      <c r="E267" s="18">
        <f>_xll.ciqfunctions.udf.CIQ($C$2, "IQ_LEVERED_FCF", G$6,$F$2,,,Ccy,Conv)</f>
        <v>8041.875</v>
      </c>
      <c r="F267" s="18">
        <f>_xll.ciqfunctions.udf.CIQ($C$2, "IQ_LEVERED_FCF", H$6,$F$2,,,Ccy,Conv)</f>
        <v>6483.375</v>
      </c>
      <c r="G267" s="18">
        <f>_xll.ciqfunctions.udf.CIQ($C$2, "IQ_LEVERED_FCF", I$6,$F$2,,,Ccy,Conv)</f>
        <v>14803.875</v>
      </c>
      <c r="H267" s="18">
        <f>_xll.ciqfunctions.udf.CIQ($C$2, "IQ_LEVERED_FCF", J$6,$F$2,,,Ccy,Conv)</f>
        <v>14879.75</v>
      </c>
      <c r="I267" s="18">
        <f>_xll.ciqfunctions.udf.CIQ($C$2, "IQ_LEVERED_FCF", K$6,$F$2,,,Ccy,Conv)</f>
        <v>4626.5</v>
      </c>
      <c r="J267" s="18">
        <f>_xll.ciqfunctions.udf.CIQ($C$2, "IQ_LEVERED_FCF", L$6,$F$2,,,Ccy,Conv)</f>
        <v>5996.875</v>
      </c>
      <c r="K267" s="18">
        <f>_xll.ciqfunctions.udf.CIQ($C$2, "IQ_LEVERED_FCF", M$6,$F$2,,,Ccy,Conv)</f>
        <v>10823</v>
      </c>
      <c r="L267" s="18">
        <f>_xll.ciqfunctions.udf.CIQ($C$2, "IQ_LEVERED_FCF", N$6,$F$2,,,Ccy,Conv)</f>
        <v>7379.875</v>
      </c>
      <c r="M267" s="18"/>
      <c r="N267" s="18">
        <f>_xll.ciqfunctions.udf.CIQ($C$2, "IQ_LEVERED_FCF", P$6,$F$2,,,Ccy,Conv)</f>
        <v>7379.875</v>
      </c>
      <c r="O267" s="221"/>
      <c r="P267" s="198"/>
      <c r="Q267" s="198"/>
      <c r="R267" s="198"/>
      <c r="S267" s="198"/>
      <c r="T267" s="205"/>
      <c r="U267" s="205"/>
      <c r="V267" s="205"/>
      <c r="W267" s="198"/>
      <c r="X267" s="198"/>
      <c r="Y267" s="198"/>
      <c r="Z267" s="198"/>
      <c r="AA267" s="198"/>
      <c r="AB267" s="198"/>
      <c r="AC267" s="198"/>
      <c r="AD267" s="198"/>
      <c r="AE267" s="198"/>
      <c r="AF267" s="198"/>
      <c r="AG267" s="198"/>
      <c r="AH267" s="198"/>
      <c r="AI267" s="198"/>
      <c r="AJ267" s="198"/>
      <c r="AK267" s="198"/>
      <c r="AL267" s="198"/>
      <c r="AM267" s="198"/>
      <c r="AN267" s="198"/>
      <c r="AO267" s="198"/>
      <c r="AP267" s="198"/>
      <c r="AQ267" s="198"/>
      <c r="AR267" s="198"/>
      <c r="AS267" s="198"/>
      <c r="AT267" s="198"/>
      <c r="AU267" s="198"/>
      <c r="AV267" s="198"/>
      <c r="AW267" s="198"/>
      <c r="AX267" s="198"/>
      <c r="AY267" s="198"/>
      <c r="AZ267" s="198"/>
      <c r="BA267" s="198"/>
      <c r="BB267" s="198"/>
      <c r="BC267" s="198"/>
      <c r="BD267" s="198"/>
      <c r="BE267" s="198"/>
      <c r="BF267" s="198"/>
      <c r="BG267" s="198"/>
      <c r="BH267" s="198"/>
      <c r="BI267" s="198"/>
      <c r="BJ267" s="198"/>
      <c r="BK267" s="198"/>
      <c r="BL267" s="198"/>
      <c r="BM267" s="198"/>
      <c r="BN267" s="198"/>
      <c r="BO267" s="198"/>
      <c r="BP267" s="198"/>
      <c r="BQ267" s="198"/>
      <c r="BR267" s="198"/>
      <c r="BS267" s="198"/>
      <c r="BT267" s="198"/>
      <c r="BU267" s="198"/>
      <c r="BV267" s="198"/>
      <c r="BW267" s="198"/>
      <c r="BX267" s="198"/>
    </row>
    <row r="268" spans="1:76" x14ac:dyDescent="0.25">
      <c r="A268" s="2" t="str">
        <f>'Language Index'!A288</f>
        <v>Unlevered Free Cash Flow</v>
      </c>
      <c r="B268" s="18">
        <f>_xll.ciqfunctions.udf.CIQ($C$2, "IQ_UNLEVERED_FCF", D$6,$F$2,,,Ccy,Conv)</f>
        <v>15347.625</v>
      </c>
      <c r="C268" s="18">
        <f>_xll.ciqfunctions.udf.CIQ($C$2, "IQ_UNLEVERED_FCF", E$6,$F$2,,,Ccy,Conv)</f>
        <v>9039.125</v>
      </c>
      <c r="D268" s="18">
        <f>_xll.ciqfunctions.udf.CIQ($C$2, "IQ_UNLEVERED_FCF", F$6,$F$2,,,Ccy,Conv)</f>
        <v>9533.25</v>
      </c>
      <c r="E268" s="18">
        <f>_xll.ciqfunctions.udf.CIQ($C$2, "IQ_UNLEVERED_FCF", G$6,$F$2,,,Ccy,Conv)</f>
        <v>8426.25</v>
      </c>
      <c r="F268" s="18">
        <f>_xll.ciqfunctions.udf.CIQ($C$2, "IQ_UNLEVERED_FCF", H$6,$F$2,,,Ccy,Conv)</f>
        <v>6935.25</v>
      </c>
      <c r="G268" s="18">
        <f>_xll.ciqfunctions.udf.CIQ($C$2, "IQ_UNLEVERED_FCF", I$6,$F$2,,,Ccy,Conv)</f>
        <v>15643.875</v>
      </c>
      <c r="H268" s="18">
        <f>_xll.ciqfunctions.udf.CIQ($C$2, "IQ_UNLEVERED_FCF", J$6,$F$2,,,Ccy,Conv)</f>
        <v>15684.75</v>
      </c>
      <c r="I268" s="18">
        <f>_xll.ciqfunctions.udf.CIQ($C$2, "IQ_UNLEVERED_FCF", K$6,$F$2,,,Ccy,Conv)</f>
        <v>5348.375</v>
      </c>
      <c r="J268" s="18">
        <f>_xll.ciqfunctions.udf.CIQ($C$2, "IQ_UNLEVERED_FCF", L$6,$F$2,,,Ccy,Conv)</f>
        <v>6756.875</v>
      </c>
      <c r="K268" s="18">
        <f>_xll.ciqfunctions.udf.CIQ($C$2, "IQ_UNLEVERED_FCF", M$6,$F$2,,,Ccy,Conv)</f>
        <v>11827.375</v>
      </c>
      <c r="L268" s="18">
        <f>_xll.ciqfunctions.udf.CIQ($C$2, "IQ_UNLEVERED_FCF", N$6,$F$2,,,Ccy,Conv)</f>
        <v>8449.875</v>
      </c>
      <c r="M268" s="18"/>
      <c r="N268" s="18">
        <f>_xll.ciqfunctions.udf.CIQ($C$2, "IQ_UNLEVERED_FCF", P$6,$F$2,,,Ccy,Conv)</f>
        <v>8449.875</v>
      </c>
      <c r="O268" s="221"/>
      <c r="P268" s="198"/>
      <c r="Q268" s="198"/>
      <c r="R268" s="198"/>
      <c r="S268" s="198"/>
      <c r="T268" s="205"/>
      <c r="U268" s="205"/>
      <c r="V268" s="205"/>
      <c r="W268" s="198"/>
      <c r="X268" s="198"/>
      <c r="Y268" s="198"/>
      <c r="Z268" s="198"/>
      <c r="AA268" s="198"/>
      <c r="AB268" s="198"/>
      <c r="AC268" s="198"/>
      <c r="AD268" s="198"/>
      <c r="AE268" s="198"/>
      <c r="AF268" s="198"/>
      <c r="AG268" s="198"/>
      <c r="AH268" s="198"/>
      <c r="AI268" s="198"/>
      <c r="AJ268" s="198"/>
      <c r="AK268" s="198"/>
      <c r="AL268" s="198"/>
      <c r="AM268" s="198"/>
      <c r="AN268" s="198"/>
      <c r="AO268" s="198"/>
      <c r="AP268" s="198"/>
      <c r="AQ268" s="198"/>
      <c r="AR268" s="198"/>
      <c r="AS268" s="198"/>
      <c r="AT268" s="198"/>
      <c r="AU268" s="198"/>
      <c r="AV268" s="198"/>
      <c r="AW268" s="198"/>
      <c r="AX268" s="198"/>
      <c r="AY268" s="198"/>
      <c r="AZ268" s="198"/>
      <c r="BA268" s="198"/>
      <c r="BB268" s="198"/>
      <c r="BC268" s="198"/>
      <c r="BD268" s="198"/>
      <c r="BE268" s="198"/>
      <c r="BF268" s="198"/>
      <c r="BG268" s="198"/>
      <c r="BH268" s="198"/>
      <c r="BI268" s="198"/>
      <c r="BJ268" s="198"/>
      <c r="BK268" s="198"/>
      <c r="BL268" s="198"/>
      <c r="BM268" s="198"/>
      <c r="BN268" s="198"/>
      <c r="BO268" s="198"/>
      <c r="BP268" s="198"/>
      <c r="BQ268" s="198"/>
      <c r="BR268" s="198"/>
      <c r="BS268" s="198"/>
      <c r="BT268" s="198"/>
      <c r="BU268" s="198"/>
      <c r="BV268" s="198"/>
      <c r="BW268" s="198"/>
      <c r="BX268" s="198"/>
    </row>
    <row r="269" spans="1:76" x14ac:dyDescent="0.25">
      <c r="A269" s="2" t="str">
        <f>'Language Index'!A289</f>
        <v>Cash Flow per Share</v>
      </c>
      <c r="B269" s="26">
        <f>_xll.ciqfunctions.udf.CIQ($C$2, "IQ_CF_SHARE", D$6,$F$2,,,Ccy,Conv)</f>
        <v>12.631030000000001</v>
      </c>
      <c r="C269" s="26">
        <f>_xll.ciqfunctions.udf.CIQ($C$2, "IQ_CF_SHARE", E$6,$F$2,,,Ccy,Conv)</f>
        <v>13.388579999999999</v>
      </c>
      <c r="D269" s="26">
        <f>_xll.ciqfunctions.udf.CIQ($C$2, "IQ_CF_SHARE", F$6,$F$2,,,Ccy,Conv)</f>
        <v>13.537470000000001</v>
      </c>
      <c r="E269" s="26">
        <f>_xll.ciqfunctions.udf.CIQ($C$2, "IQ_CF_SHARE", G$6,$F$2,,,Ccy,Conv)</f>
        <v>13.88358</v>
      </c>
      <c r="F269" s="26">
        <f>_xll.ciqfunctions.udf.CIQ($C$2, "IQ_CF_SHARE", H$6,$F$2,,,Ccy,Conv)</f>
        <v>12.37106</v>
      </c>
      <c r="G269" s="26">
        <f>_xll.ciqfunctions.udf.CIQ($C$2, "IQ_CF_SHARE", I$6,$F$2,,,Ccy,Conv)</f>
        <v>13.370749999999999</v>
      </c>
      <c r="H269" s="26">
        <f>_xll.ciqfunctions.udf.CIQ($C$2, "IQ_CF_SHARE", J$6,$F$2,,,Ccy,Conv)</f>
        <v>16.810269999999999</v>
      </c>
      <c r="I269" s="26">
        <f>_xll.ciqfunctions.udf.CIQ($C$2, "IQ_CF_SHARE", K$6,$F$2,,,Ccy,Conv)</f>
        <v>11.192080000000001</v>
      </c>
      <c r="J269" s="26">
        <f>_xll.ciqfunctions.udf.CIQ($C$2, "IQ_CF_SHARE", L$6,$F$2,,,Ccy,Conv)</f>
        <v>9.3755799999999994</v>
      </c>
      <c r="K269" s="26">
        <f>_xll.ciqfunctions.udf.CIQ($C$2, "IQ_CF_SHARE", M$6,$F$2,,,Ccy,Conv)</f>
        <v>13.30209</v>
      </c>
      <c r="L269" s="26">
        <f>_xll.ciqfunctions.udf.CIQ($C$2, "IQ_CF_SHARE", N$6,$F$2,,,Ccy,Conv)</f>
        <v>12.758089999999999</v>
      </c>
      <c r="M269" s="18"/>
      <c r="N269" s="26">
        <f>_xll.ciqfunctions.udf.CIQ($C$2, "IQ_CF_SHARE", P$6,$F$2,,,Ccy,Conv)</f>
        <v>12.758089999999999</v>
      </c>
      <c r="O269" s="221"/>
      <c r="P269" s="198"/>
      <c r="Q269" s="198"/>
      <c r="R269" s="198"/>
      <c r="S269" s="198"/>
      <c r="T269" s="205"/>
      <c r="U269" s="205"/>
      <c r="V269" s="205"/>
      <c r="W269" s="198"/>
      <c r="X269" s="198"/>
      <c r="Y269" s="198"/>
      <c r="Z269" s="198"/>
      <c r="AA269" s="198"/>
      <c r="AB269" s="198"/>
      <c r="AC269" s="198"/>
      <c r="AD269" s="198"/>
      <c r="AE269" s="198"/>
      <c r="AF269" s="198"/>
      <c r="AG269" s="198"/>
      <c r="AH269" s="198"/>
      <c r="AI269" s="198"/>
      <c r="AJ269" s="198"/>
      <c r="AK269" s="198"/>
      <c r="AL269" s="198"/>
      <c r="AM269" s="198"/>
      <c r="AN269" s="198"/>
      <c r="AO269" s="198"/>
      <c r="AP269" s="198"/>
      <c r="AQ269" s="198"/>
      <c r="AR269" s="198"/>
      <c r="AS269" s="198"/>
      <c r="AT269" s="198"/>
      <c r="AU269" s="198"/>
      <c r="AV269" s="198"/>
      <c r="AW269" s="198"/>
      <c r="AX269" s="198"/>
      <c r="AY269" s="198"/>
      <c r="AZ269" s="198"/>
      <c r="BA269" s="198"/>
      <c r="BB269" s="198"/>
      <c r="BC269" s="198"/>
      <c r="BD269" s="198"/>
      <c r="BE269" s="198"/>
      <c r="BF269" s="198"/>
      <c r="BG269" s="198"/>
      <c r="BH269" s="198"/>
      <c r="BI269" s="198"/>
      <c r="BJ269" s="198"/>
      <c r="BK269" s="198"/>
      <c r="BL269" s="198"/>
      <c r="BM269" s="198"/>
      <c r="BN269" s="198"/>
      <c r="BO269" s="198"/>
      <c r="BP269" s="198"/>
      <c r="BQ269" s="198"/>
      <c r="BR269" s="198"/>
      <c r="BS269" s="198"/>
      <c r="BT269" s="198"/>
      <c r="BU269" s="198"/>
      <c r="BV269" s="198"/>
      <c r="BW269" s="198"/>
      <c r="BX269" s="198"/>
    </row>
    <row r="270" spans="1:76" x14ac:dyDescent="0.25">
      <c r="A270" s="2" t="str">
        <f>'Language Index'!A290</f>
        <v>Net Debt Issued</v>
      </c>
      <c r="B270" s="18">
        <f>_xll.ciqfunctions.udf.CIQ($C$2, "IQ_NET_DEBT_ISSUED",D$6,$F$2,,,Ccy,Conv)</f>
        <v>1783</v>
      </c>
      <c r="C270" s="18">
        <f>_xll.ciqfunctions.udf.CIQ($C$2, "IQ_NET_DEBT_ISSUED",E$6,$F$2,,,Ccy,Conv)</f>
        <v>19</v>
      </c>
      <c r="D270" s="18">
        <f>_xll.ciqfunctions.udf.CIQ($C$2, "IQ_NET_DEBT_ISSUED",F$6,$F$2,,,Ccy,Conv)</f>
        <v>2763</v>
      </c>
      <c r="E270" s="18">
        <f>_xll.ciqfunctions.udf.CIQ($C$2, "IQ_NET_DEBT_ISSUED",G$6,$F$2,,,Ccy,Conv)</f>
        <v>3447</v>
      </c>
      <c r="F270" s="18">
        <f>_xll.ciqfunctions.udf.CIQ($C$2, "IQ_NET_DEBT_ISSUED",H$6,$F$2,,,Ccy,Conv)</f>
        <v>-301</v>
      </c>
      <c r="G270" s="18">
        <f>_xll.ciqfunctions.udf.CIQ($C$2, "IQ_NET_DEBT_ISSUED",I$6,$F$2,,,Ccy,Conv)</f>
        <v>16284</v>
      </c>
      <c r="H270" s="18">
        <f>_xll.ciqfunctions.udf.CIQ($C$2, "IQ_NET_DEBT_ISSUED",J$6,$F$2,,,Ccy,Conv)</f>
        <v>-3714</v>
      </c>
      <c r="I270" s="18">
        <f>_xll.ciqfunctions.udf.CIQ($C$2, "IQ_NET_DEBT_ISSUED",K$6,$F$2,,,Ccy,Conv)</f>
        <v>-8115</v>
      </c>
      <c r="J270" s="18">
        <f>_xll.ciqfunctions.udf.CIQ($C$2, "IQ_NET_DEBT_ISSUED",L$6,$F$2,,,Ccy,Conv)</f>
        <v>1221</v>
      </c>
      <c r="K270" s="18">
        <f>_xll.ciqfunctions.udf.CIQ($C$2, "IQ_NET_DEBT_ISSUED",M$6,$F$2,,,Ccy,Conv)</f>
        <v>4497</v>
      </c>
      <c r="L270" s="18">
        <f>_xll.ciqfunctions.udf.CIQ($C$2, "IQ_NET_DEBT_ISSUED",N$6,$F$2,,,Ccy,Conv)</f>
        <v>-880</v>
      </c>
      <c r="M270" s="18"/>
      <c r="N270" s="18">
        <f>_xll.ciqfunctions.udf.CIQ($C$2, "IQ_NET_DEBT_ISSUED",P$6,$F$2,,,Ccy,Conv)</f>
        <v>-880</v>
      </c>
      <c r="O270" s="221"/>
      <c r="P270" s="198"/>
      <c r="Q270" s="198"/>
      <c r="R270" s="198"/>
      <c r="S270" s="198"/>
      <c r="T270" s="205"/>
      <c r="U270" s="205"/>
      <c r="V270" s="205"/>
      <c r="W270" s="198"/>
      <c r="X270" s="198"/>
      <c r="Y270" s="198"/>
      <c r="Z270" s="198"/>
      <c r="AA270" s="198"/>
      <c r="AB270" s="198"/>
      <c r="AC270" s="198"/>
      <c r="AD270" s="198"/>
      <c r="AE270" s="198"/>
      <c r="AF270" s="198"/>
      <c r="AG270" s="198"/>
      <c r="AH270" s="198"/>
      <c r="AI270" s="198"/>
      <c r="AJ270" s="198"/>
      <c r="AK270" s="198"/>
      <c r="AL270" s="198"/>
      <c r="AM270" s="198"/>
      <c r="AN270" s="198"/>
      <c r="AO270" s="198"/>
      <c r="AP270" s="198"/>
      <c r="AQ270" s="198"/>
      <c r="AR270" s="198"/>
      <c r="AS270" s="198"/>
      <c r="AT270" s="198"/>
      <c r="AU270" s="198"/>
      <c r="AV270" s="198"/>
      <c r="AW270" s="198"/>
      <c r="AX270" s="198"/>
      <c r="AY270" s="198"/>
      <c r="AZ270" s="198"/>
      <c r="BA270" s="198"/>
      <c r="BB270" s="198"/>
      <c r="BC270" s="198"/>
      <c r="BD270" s="198"/>
      <c r="BE270" s="198"/>
      <c r="BF270" s="198"/>
      <c r="BG270" s="198"/>
      <c r="BH270" s="198"/>
      <c r="BI270" s="198"/>
      <c r="BJ270" s="198"/>
      <c r="BK270" s="198"/>
      <c r="BL270" s="198"/>
      <c r="BM270" s="198"/>
      <c r="BN270" s="198"/>
      <c r="BO270" s="198"/>
      <c r="BP270" s="198"/>
      <c r="BQ270" s="198"/>
      <c r="BR270" s="198"/>
      <c r="BS270" s="198"/>
      <c r="BT270" s="198"/>
      <c r="BU270" s="198"/>
      <c r="BV270" s="198"/>
      <c r="BW270" s="198"/>
      <c r="BX270" s="198"/>
    </row>
    <row r="271" spans="1:76" x14ac:dyDescent="0.25">
      <c r="A271" s="2" t="str">
        <f>'Language Index'!A291</f>
        <v>Maintenance CAPEX</v>
      </c>
      <c r="B271" s="18">
        <f>_xll.ciqfunctions.udf.CIQ($C$2, "IQ_MAINT_CAPEX", D$6,$F$2,,,Ccy,Conv)</f>
        <v>0</v>
      </c>
      <c r="C271" s="18">
        <f>_xll.ciqfunctions.udf.CIQ($C$2, "IQ_MAINT_CAPEX", E$6,$F$2,,,Ccy,Conv)</f>
        <v>0</v>
      </c>
      <c r="D271" s="18">
        <f>_xll.ciqfunctions.udf.CIQ($C$2, "IQ_MAINT_CAPEX", F$6,$F$2,,,Ccy,Conv)</f>
        <v>0</v>
      </c>
      <c r="E271" s="18">
        <f>_xll.ciqfunctions.udf.CIQ($C$2, "IQ_MAINT_CAPEX", G$6,$F$2,,,Ccy,Conv)</f>
        <v>0</v>
      </c>
      <c r="F271" s="18">
        <f>_xll.ciqfunctions.udf.CIQ($C$2, "IQ_MAINT_CAPEX", H$6,$F$2,,,Ccy,Conv)</f>
        <v>0</v>
      </c>
      <c r="G271" s="18">
        <f>_xll.ciqfunctions.udf.CIQ($C$2, "IQ_MAINT_CAPEX", I$6,$F$2,,,Ccy,Conv)</f>
        <v>0</v>
      </c>
      <c r="H271" s="18">
        <f>_xll.ciqfunctions.udf.CIQ($C$2, "IQ_MAINT_CAPEX", J$6,$F$2,,,Ccy,Conv)</f>
        <v>0</v>
      </c>
      <c r="I271" s="18">
        <f>_xll.ciqfunctions.udf.CIQ($C$2, "IQ_MAINT_CAPEX", K$6,$F$2,,,Ccy,Conv)</f>
        <v>0</v>
      </c>
      <c r="J271" s="18">
        <f>_xll.ciqfunctions.udf.CIQ($C$2, "IQ_MAINT_CAPEX", L$6,$F$2,,,Ccy,Conv)</f>
        <v>0</v>
      </c>
      <c r="K271" s="18">
        <f>_xll.ciqfunctions.udf.CIQ($C$2, "IQ_MAINT_CAPEX", M$6,$F$2,,,Ccy,Conv)</f>
        <v>0</v>
      </c>
      <c r="L271" s="18">
        <f>_xll.ciqfunctions.udf.CIQ($C$2, "IQ_MAINT_CAPEX", N$6,$F$2,,,Ccy,Conv)</f>
        <v>0</v>
      </c>
      <c r="M271" s="18"/>
      <c r="N271" s="18">
        <f>_xll.ciqfunctions.udf.CIQ($C$2, "IQ_MAINT_CAPEX", P$6,$F$2,,,Ccy,Conv)</f>
        <v>0</v>
      </c>
      <c r="O271" s="221"/>
      <c r="P271" s="198"/>
      <c r="Q271" s="198"/>
      <c r="R271" s="198"/>
      <c r="S271" s="198"/>
      <c r="T271" s="205"/>
      <c r="U271" s="205"/>
      <c r="V271" s="205"/>
      <c r="W271" s="198"/>
      <c r="X271" s="198"/>
      <c r="Y271" s="198"/>
      <c r="Z271" s="198"/>
      <c r="AA271" s="198"/>
      <c r="AB271" s="198"/>
      <c r="AC271" s="198"/>
      <c r="AD271" s="198"/>
      <c r="AE271" s="198"/>
      <c r="AF271" s="198"/>
      <c r="AG271" s="198"/>
      <c r="AH271" s="198"/>
      <c r="AI271" s="198"/>
      <c r="AJ271" s="198"/>
      <c r="AK271" s="198"/>
      <c r="AL271" s="198"/>
      <c r="AM271" s="198"/>
      <c r="AN271" s="198"/>
      <c r="AO271" s="198"/>
      <c r="AP271" s="198"/>
      <c r="AQ271" s="198"/>
      <c r="AR271" s="198"/>
      <c r="AS271" s="198"/>
      <c r="AT271" s="198"/>
      <c r="AU271" s="198"/>
      <c r="AV271" s="198"/>
      <c r="AW271" s="198"/>
      <c r="AX271" s="198"/>
      <c r="AY271" s="198"/>
      <c r="AZ271" s="198"/>
      <c r="BA271" s="198"/>
      <c r="BB271" s="198"/>
      <c r="BC271" s="198"/>
      <c r="BD271" s="198"/>
      <c r="BE271" s="198"/>
      <c r="BF271" s="198"/>
      <c r="BG271" s="198"/>
      <c r="BH271" s="198"/>
      <c r="BI271" s="198"/>
      <c r="BJ271" s="198"/>
      <c r="BK271" s="198"/>
      <c r="BL271" s="198"/>
      <c r="BM271" s="198"/>
      <c r="BN271" s="198"/>
      <c r="BO271" s="198"/>
      <c r="BP271" s="198"/>
      <c r="BQ271" s="198"/>
      <c r="BR271" s="198"/>
      <c r="BS271" s="198"/>
      <c r="BT271" s="198"/>
      <c r="BU271" s="198"/>
      <c r="BV271" s="198"/>
      <c r="BW271" s="198"/>
      <c r="BX271" s="198"/>
    </row>
    <row r="272" spans="1:76" x14ac:dyDescent="0.25">
      <c r="A272" s="2" t="str">
        <f>'Language Index'!A292</f>
        <v>Net Cash from Discontinued Ops. - Investing</v>
      </c>
      <c r="B272" s="18">
        <f>_xll.ciqfunctions.udf.CIQ($C$2, "IQ_DO_INVEST_CF",D$6,$F$2,,,Ccy,Conv)</f>
        <v>0</v>
      </c>
      <c r="C272" s="18">
        <f>_xll.ciqfunctions.udf.CIQ($C$2, "IQ_DO_INVEST_CF",E$6,$F$2,,,Ccy,Conv)</f>
        <v>0</v>
      </c>
      <c r="D272" s="18">
        <f>_xll.ciqfunctions.udf.CIQ($C$2, "IQ_DO_INVEST_CF",F$6,$F$2,,,Ccy,Conv)</f>
        <v>0</v>
      </c>
      <c r="E272" s="18">
        <f>_xll.ciqfunctions.udf.CIQ($C$2, "IQ_DO_INVEST_CF",G$6,$F$2,,,Ccy,Conv)</f>
        <v>0</v>
      </c>
      <c r="F272" s="18">
        <f>_xll.ciqfunctions.udf.CIQ($C$2, "IQ_DO_INVEST_CF",H$6,$F$2,,,Ccy,Conv)</f>
        <v>0</v>
      </c>
      <c r="G272" s="18">
        <f>_xll.ciqfunctions.udf.CIQ($C$2, "IQ_DO_INVEST_CF",I$6,$F$2,,,Ccy,Conv)</f>
        <v>0</v>
      </c>
      <c r="H272" s="18">
        <f>_xll.ciqfunctions.udf.CIQ($C$2, "IQ_DO_INVEST_CF",J$6,$F$2,,,Ccy,Conv)</f>
        <v>0</v>
      </c>
      <c r="I272" s="18">
        <f>_xll.ciqfunctions.udf.CIQ($C$2, "IQ_DO_INVEST_CF",K$6,$F$2,,,Ccy,Conv)</f>
        <v>0</v>
      </c>
      <c r="J272" s="18">
        <f>_xll.ciqfunctions.udf.CIQ($C$2, "IQ_DO_INVEST_CF",L$6,$F$2,,,Ccy,Conv)</f>
        <v>0</v>
      </c>
      <c r="K272" s="18">
        <f>_xll.ciqfunctions.udf.CIQ($C$2, "IQ_DO_INVEST_CF",M$6,$F$2,,,Ccy,Conv)</f>
        <v>0</v>
      </c>
      <c r="L272" s="18">
        <f>_xll.ciqfunctions.udf.CIQ($C$2, "IQ_DO_INVEST_CF",N$6,$F$2,,,Ccy,Conv)</f>
        <v>0</v>
      </c>
      <c r="M272" s="18"/>
      <c r="N272" s="18">
        <f>_xll.ciqfunctions.udf.CIQ($C$2, "IQ_DO_INVEST_CF",P$6,$F$2,,,Ccy,Conv)</f>
        <v>0</v>
      </c>
      <c r="O272" s="221"/>
      <c r="P272" s="198"/>
      <c r="Q272" s="198"/>
      <c r="R272" s="198"/>
      <c r="S272" s="198"/>
      <c r="T272" s="205"/>
      <c r="U272" s="205"/>
      <c r="V272" s="205"/>
      <c r="W272" s="198"/>
      <c r="X272" s="198"/>
      <c r="Y272" s="198"/>
      <c r="Z272" s="198"/>
      <c r="AA272" s="198"/>
      <c r="AB272" s="198"/>
      <c r="AC272" s="198"/>
      <c r="AD272" s="198"/>
      <c r="AE272" s="198"/>
      <c r="AF272" s="198"/>
      <c r="AG272" s="198"/>
      <c r="AH272" s="198"/>
      <c r="AI272" s="198"/>
      <c r="AJ272" s="198"/>
      <c r="AK272" s="198"/>
      <c r="AL272" s="198"/>
      <c r="AM272" s="198"/>
      <c r="AN272" s="198"/>
      <c r="AO272" s="198"/>
      <c r="AP272" s="198"/>
      <c r="AQ272" s="198"/>
      <c r="AR272" s="198"/>
      <c r="AS272" s="198"/>
      <c r="AT272" s="198"/>
      <c r="AU272" s="198"/>
      <c r="AV272" s="198"/>
      <c r="AW272" s="198"/>
      <c r="AX272" s="198"/>
      <c r="AY272" s="198"/>
      <c r="AZ272" s="198"/>
      <c r="BA272" s="198"/>
      <c r="BB272" s="198"/>
      <c r="BC272" s="198"/>
      <c r="BD272" s="198"/>
      <c r="BE272" s="198"/>
      <c r="BF272" s="198"/>
      <c r="BG272" s="198"/>
      <c r="BH272" s="198"/>
      <c r="BI272" s="198"/>
      <c r="BJ272" s="198"/>
      <c r="BK272" s="198"/>
      <c r="BL272" s="198"/>
      <c r="BM272" s="198"/>
      <c r="BN272" s="198"/>
      <c r="BO272" s="198"/>
      <c r="BP272" s="198"/>
      <c r="BQ272" s="198"/>
      <c r="BR272" s="198"/>
      <c r="BS272" s="198"/>
      <c r="BT272" s="198"/>
      <c r="BU272" s="198"/>
      <c r="BV272" s="198"/>
      <c r="BW272" s="198"/>
      <c r="BX272" s="198"/>
    </row>
    <row r="273" spans="1:76" x14ac:dyDescent="0.25">
      <c r="A273" s="2" t="str">
        <f>'Language Index'!A293</f>
        <v>Net Cash from Discontinued Ops. - Financing</v>
      </c>
      <c r="B273" s="18">
        <f>_xll.ciqfunctions.udf.CIQ($C$2, "IQ_DO_FINANCE_CF",D$6,$F$2,,,Ccy,Conv)</f>
        <v>0</v>
      </c>
      <c r="C273" s="18">
        <f>_xll.ciqfunctions.udf.CIQ($C$2, "IQ_DO_FINANCE_CF",E$6,$F$2,,,Ccy,Conv)</f>
        <v>0</v>
      </c>
      <c r="D273" s="18">
        <f>_xll.ciqfunctions.udf.CIQ($C$2, "IQ_DO_FINANCE_CF",F$6,$F$2,,,Ccy,Conv)</f>
        <v>0</v>
      </c>
      <c r="E273" s="18">
        <f>_xll.ciqfunctions.udf.CIQ($C$2, "IQ_DO_FINANCE_CF",G$6,$F$2,,,Ccy,Conv)</f>
        <v>0</v>
      </c>
      <c r="F273" s="18">
        <f>_xll.ciqfunctions.udf.CIQ($C$2, "IQ_DO_FINANCE_CF",H$6,$F$2,,,Ccy,Conv)</f>
        <v>0</v>
      </c>
      <c r="G273" s="18">
        <f>_xll.ciqfunctions.udf.CIQ($C$2, "IQ_DO_FINANCE_CF",I$6,$F$2,,,Ccy,Conv)</f>
        <v>0</v>
      </c>
      <c r="H273" s="18">
        <f>_xll.ciqfunctions.udf.CIQ($C$2, "IQ_DO_FINANCE_CF",J$6,$F$2,,,Ccy,Conv)</f>
        <v>0</v>
      </c>
      <c r="I273" s="18">
        <f>_xll.ciqfunctions.udf.CIQ($C$2, "IQ_DO_FINANCE_CF",K$6,$F$2,,,Ccy,Conv)</f>
        <v>0</v>
      </c>
      <c r="J273" s="18">
        <f>_xll.ciqfunctions.udf.CIQ($C$2, "IQ_DO_FINANCE_CF",L$6,$F$2,,,Ccy,Conv)</f>
        <v>0</v>
      </c>
      <c r="K273" s="18">
        <f>_xll.ciqfunctions.udf.CIQ($C$2, "IQ_DO_FINANCE_CF",M$6,$F$2,,,Ccy,Conv)</f>
        <v>0</v>
      </c>
      <c r="L273" s="18">
        <f>_xll.ciqfunctions.udf.CIQ($C$2, "IQ_DO_FINANCE_CF",N$6,$F$2,,,Ccy,Conv)</f>
        <v>0</v>
      </c>
      <c r="M273" s="18"/>
      <c r="N273" s="18">
        <f>_xll.ciqfunctions.udf.CIQ($C$2, "IQ_DO_FINANCE_CF",P$6,$F$2,,,Ccy,Conv)</f>
        <v>0</v>
      </c>
      <c r="O273" s="221"/>
      <c r="P273" s="198"/>
      <c r="Q273" s="198"/>
      <c r="R273" s="198"/>
      <c r="S273" s="198"/>
      <c r="T273" s="205"/>
      <c r="U273" s="205"/>
      <c r="V273" s="205"/>
      <c r="W273" s="198"/>
      <c r="X273" s="198"/>
      <c r="Y273" s="198"/>
      <c r="Z273" s="198"/>
      <c r="AA273" s="198"/>
      <c r="AB273" s="198"/>
      <c r="AC273" s="198"/>
      <c r="AD273" s="215"/>
      <c r="AE273" s="215"/>
      <c r="AF273" s="198"/>
      <c r="AG273" s="198"/>
      <c r="AH273" s="198"/>
      <c r="AI273" s="198"/>
      <c r="AJ273" s="198"/>
      <c r="AK273" s="198"/>
      <c r="AL273" s="198"/>
      <c r="AM273" s="198"/>
      <c r="AN273" s="198"/>
      <c r="AO273" s="198"/>
      <c r="AP273" s="198"/>
      <c r="AQ273" s="198"/>
      <c r="AR273" s="198"/>
      <c r="AS273" s="198"/>
      <c r="AT273" s="198"/>
      <c r="AU273" s="198"/>
      <c r="AV273" s="198"/>
      <c r="AW273" s="198"/>
      <c r="AX273" s="198"/>
      <c r="AY273" s="198"/>
      <c r="AZ273" s="198"/>
      <c r="BA273" s="198"/>
      <c r="BB273" s="198"/>
      <c r="BC273" s="198"/>
      <c r="BD273" s="198"/>
      <c r="BE273" s="198"/>
      <c r="BF273" s="198"/>
      <c r="BG273" s="198"/>
      <c r="BH273" s="198"/>
      <c r="BI273" s="198"/>
      <c r="BJ273" s="198"/>
      <c r="BK273" s="198"/>
      <c r="BL273" s="198"/>
      <c r="BM273" s="198"/>
      <c r="BN273" s="198"/>
      <c r="BO273" s="198"/>
      <c r="BP273" s="198"/>
      <c r="BQ273" s="198"/>
      <c r="BR273" s="198"/>
      <c r="BS273" s="198"/>
      <c r="BT273" s="198"/>
      <c r="BU273" s="198"/>
      <c r="BV273" s="198"/>
      <c r="BW273" s="198"/>
      <c r="BX273" s="198"/>
    </row>
    <row r="274" spans="1:76" x14ac:dyDescent="0.25">
      <c r="A274" s="2" t="str">
        <f>'Language Index'!A294</f>
        <v>Operating Lease Payments</v>
      </c>
      <c r="B274" s="18">
        <f>_xll.ciqfunctions.udf.CIQ($C$2, "IQ_OPERATING_LEASE_PAYMENTS",D$6,$F$2,,,Ccy,Conv)</f>
        <v>0</v>
      </c>
      <c r="C274" s="18">
        <f>_xll.ciqfunctions.udf.CIQ($C$2, "IQ_OPERATING_LEASE_PAYMENTS",E$6,$F$2,,,Ccy,Conv)</f>
        <v>0</v>
      </c>
      <c r="D274" s="18">
        <f>_xll.ciqfunctions.udf.CIQ($C$2, "IQ_OPERATING_LEASE_PAYMENTS",F$6,$F$2,,,Ccy,Conv)</f>
        <v>0</v>
      </c>
      <c r="E274" s="18">
        <f>_xll.ciqfunctions.udf.CIQ($C$2, "IQ_OPERATING_LEASE_PAYMENTS",G$6,$F$2,,,Ccy,Conv)</f>
        <v>0</v>
      </c>
      <c r="F274" s="18">
        <f>_xll.ciqfunctions.udf.CIQ($C$2, "IQ_OPERATING_LEASE_PAYMENTS",H$6,$F$2,,,Ccy,Conv)</f>
        <v>0</v>
      </c>
      <c r="G274" s="18">
        <f>_xll.ciqfunctions.udf.CIQ($C$2, "IQ_OPERATING_LEASE_PAYMENTS",I$6,$F$2,,,Ccy,Conv)</f>
        <v>0</v>
      </c>
      <c r="H274" s="18">
        <f>_xll.ciqfunctions.udf.CIQ($C$2, "IQ_OPERATING_LEASE_PAYMENTS",J$6,$F$2,,,Ccy,Conv)</f>
        <v>0</v>
      </c>
      <c r="I274" s="18">
        <f>_xll.ciqfunctions.udf.CIQ($C$2, "IQ_OPERATING_LEASE_PAYMENTS",K$6,$F$2,,,Ccy,Conv)</f>
        <v>0</v>
      </c>
      <c r="J274" s="18">
        <f>_xll.ciqfunctions.udf.CIQ($C$2, "IQ_OPERATING_LEASE_PAYMENTS",L$6,$F$2,,,Ccy,Conv)</f>
        <v>0</v>
      </c>
      <c r="K274" s="18">
        <f>_xll.ciqfunctions.udf.CIQ($C$2, "IQ_OPERATING_LEASE_PAYMENTS",M$6,$F$2,,,Ccy,Conv)</f>
        <v>0</v>
      </c>
      <c r="L274" s="18">
        <f>_xll.ciqfunctions.udf.CIQ($C$2, "IQ_OPERATING_LEASE_PAYMENTS",N$6,$F$2,,,Ccy,Conv)</f>
        <v>0</v>
      </c>
      <c r="M274" s="18"/>
      <c r="N274" s="18">
        <f>_xll.ciqfunctions.udf.CIQ($C$2, "IQ_OPERATING_LEASE_PAYMENTS",P$6,$F$2,,,Ccy,Conv)</f>
        <v>0</v>
      </c>
      <c r="O274" s="225"/>
      <c r="P274" s="198"/>
      <c r="Q274" s="198"/>
      <c r="R274" s="198"/>
      <c r="S274" s="198"/>
      <c r="T274" s="205"/>
      <c r="U274" s="205"/>
      <c r="V274" s="205"/>
      <c r="W274" s="198"/>
      <c r="X274" s="198"/>
      <c r="Y274" s="198"/>
      <c r="Z274" s="198"/>
      <c r="AA274" s="198"/>
      <c r="AB274" s="198"/>
      <c r="AC274" s="198"/>
      <c r="AD274" s="198"/>
      <c r="AE274" s="198"/>
      <c r="AF274" s="198"/>
      <c r="AG274" s="198"/>
      <c r="AH274" s="198"/>
      <c r="AI274" s="198"/>
      <c r="AJ274" s="198"/>
      <c r="AK274" s="198"/>
      <c r="AL274" s="198"/>
      <c r="AM274" s="198"/>
      <c r="AN274" s="198"/>
      <c r="AO274" s="198"/>
      <c r="AP274" s="198"/>
      <c r="AQ274" s="198"/>
      <c r="AR274" s="198"/>
      <c r="AS274" s="198"/>
      <c r="AT274" s="198"/>
      <c r="AU274" s="198"/>
      <c r="AV274" s="198"/>
      <c r="AW274" s="198"/>
      <c r="AX274" s="198"/>
      <c r="AY274" s="198"/>
      <c r="AZ274" s="198"/>
      <c r="BA274" s="198"/>
      <c r="BB274" s="198"/>
      <c r="BC274" s="198"/>
      <c r="BD274" s="198"/>
      <c r="BE274" s="198"/>
      <c r="BF274" s="198"/>
      <c r="BG274" s="198"/>
      <c r="BH274" s="198"/>
      <c r="BI274" s="198"/>
      <c r="BJ274" s="198"/>
      <c r="BK274" s="198"/>
      <c r="BL274" s="198"/>
      <c r="BM274" s="198"/>
      <c r="BN274" s="198"/>
      <c r="BO274" s="198"/>
      <c r="BP274" s="198"/>
      <c r="BQ274" s="198"/>
      <c r="BR274" s="198"/>
      <c r="BS274" s="198"/>
      <c r="BT274" s="198"/>
      <c r="BU274" s="198"/>
      <c r="BV274" s="198"/>
      <c r="BW274" s="198"/>
      <c r="BX274" s="198"/>
    </row>
    <row r="275" spans="1:76" x14ac:dyDescent="0.25">
      <c r="A275" s="2" t="str">
        <f>'Language Index'!A295</f>
        <v>Change in Operating Lease Liabilities</v>
      </c>
      <c r="B275" s="18">
        <f>_xll.ciqfunctions.udf.CIQ($C$2, "IQ_OPERATING_LEASE_LIABILITIES",D$6,$F$2,,,Ccy,Conv)</f>
        <v>0</v>
      </c>
      <c r="C275" s="18">
        <f>_xll.ciqfunctions.udf.CIQ($C$2, "IQ_OPERATING_LEASE_LIABILITIES",E$6,$F$2,,,Ccy,Conv)</f>
        <v>0</v>
      </c>
      <c r="D275" s="18">
        <f>_xll.ciqfunctions.udf.CIQ($C$2, "IQ_OPERATING_LEASE_LIABILITIES",F$6,$F$2,,,Ccy,Conv)</f>
        <v>0</v>
      </c>
      <c r="E275" s="18">
        <f>_xll.ciqfunctions.udf.CIQ($C$2, "IQ_OPERATING_LEASE_LIABILITIES",G$6,$F$2,,,Ccy,Conv)</f>
        <v>0</v>
      </c>
      <c r="F275" s="18">
        <f>_xll.ciqfunctions.udf.CIQ($C$2, "IQ_OPERATING_LEASE_LIABILITIES",H$6,$F$2,,,Ccy,Conv)</f>
        <v>0</v>
      </c>
      <c r="G275" s="18">
        <f>_xll.ciqfunctions.udf.CIQ($C$2, "IQ_OPERATING_LEASE_LIABILITIES",I$6,$F$2,,,Ccy,Conv)</f>
        <v>0</v>
      </c>
      <c r="H275" s="18">
        <f>_xll.ciqfunctions.udf.CIQ($C$2, "IQ_OPERATING_LEASE_LIABILITIES",J$6,$F$2,,,Ccy,Conv)</f>
        <v>0</v>
      </c>
      <c r="I275" s="18">
        <f>_xll.ciqfunctions.udf.CIQ($C$2, "IQ_OPERATING_LEASE_LIABILITIES",K$6,$F$2,,,Ccy,Conv)</f>
        <v>0</v>
      </c>
      <c r="J275" s="18">
        <f>_xll.ciqfunctions.udf.CIQ($C$2, "IQ_OPERATING_LEASE_LIABILITIES",L$6,$F$2,,,Ccy,Conv)</f>
        <v>0</v>
      </c>
      <c r="K275" s="18">
        <f>_xll.ciqfunctions.udf.CIQ($C$2, "IQ_OPERATING_LEASE_LIABILITIES",M$6,$F$2,,,Ccy,Conv)</f>
        <v>0</v>
      </c>
      <c r="L275" s="18">
        <f>_xll.ciqfunctions.udf.CIQ($C$2, "IQ_OPERATING_LEASE_LIABILITIES",N$6,$F$2,,,Ccy,Conv)</f>
        <v>0</v>
      </c>
      <c r="M275" s="18"/>
      <c r="N275" s="18">
        <f>_xll.ciqfunctions.udf.CIQ($C$2, "IQ_OPERATING_LEASE_LIABILITIES",P$6,$F$2,,,Ccy,Conv)</f>
        <v>0</v>
      </c>
      <c r="O275" s="198"/>
      <c r="P275" s="198"/>
      <c r="Q275" s="198"/>
      <c r="R275" s="198"/>
      <c r="S275" s="198"/>
      <c r="T275" s="216"/>
      <c r="U275" s="216"/>
      <c r="V275" s="216"/>
      <c r="W275" s="215"/>
      <c r="X275" s="215"/>
      <c r="Y275" s="215"/>
      <c r="Z275" s="198"/>
      <c r="AA275" s="198"/>
      <c r="AB275" s="198"/>
      <c r="AC275" s="198"/>
      <c r="AD275" s="198"/>
      <c r="AE275" s="198"/>
      <c r="AF275" s="198"/>
      <c r="AG275" s="198"/>
      <c r="AH275" s="198"/>
      <c r="AI275" s="198"/>
      <c r="AJ275" s="198"/>
      <c r="AK275" s="198"/>
      <c r="AL275" s="198"/>
      <c r="AM275" s="198"/>
      <c r="AN275" s="198"/>
      <c r="AO275" s="198"/>
      <c r="AP275" s="198"/>
      <c r="AQ275" s="198"/>
      <c r="AR275" s="198"/>
      <c r="AS275" s="198"/>
      <c r="AT275" s="198"/>
      <c r="AU275" s="198"/>
      <c r="AV275" s="198"/>
      <c r="AW275" s="198"/>
      <c r="AX275" s="198"/>
      <c r="AY275" s="198"/>
      <c r="AZ275" s="198"/>
      <c r="BA275" s="198"/>
      <c r="BB275" s="198"/>
      <c r="BC275" s="198"/>
      <c r="BD275" s="198"/>
      <c r="BE275" s="198"/>
      <c r="BF275" s="198"/>
      <c r="BG275" s="198"/>
      <c r="BH275" s="198"/>
      <c r="BI275" s="198"/>
      <c r="BJ275" s="198"/>
      <c r="BK275" s="198"/>
      <c r="BL275" s="198"/>
      <c r="BM275" s="198"/>
      <c r="BN275" s="198"/>
      <c r="BO275" s="198"/>
      <c r="BP275" s="198"/>
      <c r="BQ275" s="198"/>
      <c r="BR275" s="198"/>
      <c r="BS275" s="198"/>
      <c r="BT275" s="198"/>
      <c r="BU275" s="198"/>
      <c r="BV275" s="198"/>
      <c r="BW275" s="198"/>
      <c r="BX275" s="198"/>
    </row>
    <row r="276" spans="1:76" x14ac:dyDescent="0.25">
      <c r="A276" s="2" t="str">
        <f>'Language Index'!A296</f>
        <v>Change in Operating Lease Liabilities Non-Cash</v>
      </c>
      <c r="B276" s="18">
        <f>_xll.ciqfunctions.udf.CIQ($C$2, "IQ_OPERATING_LEASE_LIABILITIES_NONCASH",D$6,$F$2,,,Ccy,Conv)</f>
        <v>0</v>
      </c>
      <c r="C276" s="18">
        <f>_xll.ciqfunctions.udf.CIQ($C$2, "IQ_OPERATING_LEASE_LIABILITIES_NONCASH",E$6,$F$2,,,Ccy,Conv)</f>
        <v>0</v>
      </c>
      <c r="D276" s="18">
        <f>_xll.ciqfunctions.udf.CIQ($C$2, "IQ_OPERATING_LEASE_LIABILITIES_NONCASH",F$6,$F$2,,,Ccy,Conv)</f>
        <v>0</v>
      </c>
      <c r="E276" s="18">
        <f>_xll.ciqfunctions.udf.CIQ($C$2, "IQ_OPERATING_LEASE_LIABILITIES_NONCASH",G$6,$F$2,,,Ccy,Conv)</f>
        <v>0</v>
      </c>
      <c r="F276" s="18">
        <f>_xll.ciqfunctions.udf.CIQ($C$2, "IQ_OPERATING_LEASE_LIABILITIES_NONCASH",H$6,$F$2,,,Ccy,Conv)</f>
        <v>0</v>
      </c>
      <c r="G276" s="18">
        <f>_xll.ciqfunctions.udf.CIQ($C$2, "IQ_OPERATING_LEASE_LIABILITIES_NONCASH",I$6,$F$2,,,Ccy,Conv)</f>
        <v>0</v>
      </c>
      <c r="H276" s="18">
        <f>_xll.ciqfunctions.udf.CIQ($C$2, "IQ_OPERATING_LEASE_LIABILITIES_NONCASH",J$6,$F$2,,,Ccy,Conv)</f>
        <v>0</v>
      </c>
      <c r="I276" s="18">
        <f>_xll.ciqfunctions.udf.CIQ($C$2, "IQ_OPERATING_LEASE_LIABILITIES_NONCASH",K$6,$F$2,,,Ccy,Conv)</f>
        <v>0</v>
      </c>
      <c r="J276" s="18">
        <f>_xll.ciqfunctions.udf.CIQ($C$2, "IQ_OPERATING_LEASE_LIABILITIES_NONCASH",L$6,$F$2,,,Ccy,Conv)</f>
        <v>0</v>
      </c>
      <c r="K276" s="18">
        <f>_xll.ciqfunctions.udf.CIQ($C$2, "IQ_OPERATING_LEASE_LIABILITIES_NONCASH",M$6,$F$2,,,Ccy,Conv)</f>
        <v>0</v>
      </c>
      <c r="L276" s="18">
        <f>_xll.ciqfunctions.udf.CIQ($C$2, "IQ_OPERATING_LEASE_LIABILITIES_NONCASH",N$6,$F$2,,,Ccy,Conv)</f>
        <v>0</v>
      </c>
      <c r="M276" s="18"/>
      <c r="N276" s="18">
        <f>_xll.ciqfunctions.udf.CIQ($C$2, "IQ_OPERATING_LEASE_LIABILITIES_NONCASH",P$6,$F$2,,,Ccy,Conv)</f>
        <v>0</v>
      </c>
      <c r="O276" s="198"/>
      <c r="P276" s="198"/>
      <c r="Q276" s="198"/>
      <c r="R276" s="198"/>
      <c r="S276" s="198"/>
      <c r="T276" s="216"/>
      <c r="U276" s="216"/>
      <c r="V276" s="216"/>
      <c r="W276" s="215"/>
      <c r="X276" s="215"/>
      <c r="Y276" s="215"/>
      <c r="Z276" s="198"/>
      <c r="AA276" s="198"/>
      <c r="AB276" s="198"/>
      <c r="AC276" s="198"/>
      <c r="AD276" s="198"/>
      <c r="AE276" s="198"/>
      <c r="AF276" s="198"/>
      <c r="AG276" s="198"/>
      <c r="AH276" s="198"/>
      <c r="AI276" s="198"/>
      <c r="AJ276" s="198"/>
      <c r="AK276" s="198"/>
      <c r="AL276" s="198"/>
      <c r="AM276" s="198"/>
      <c r="AN276" s="198"/>
      <c r="AO276" s="198"/>
      <c r="AP276" s="198"/>
      <c r="AQ276" s="198"/>
      <c r="AR276" s="198"/>
      <c r="AS276" s="198"/>
      <c r="AT276" s="198"/>
      <c r="AU276" s="198"/>
      <c r="AV276" s="198"/>
      <c r="AW276" s="198"/>
      <c r="AX276" s="198"/>
      <c r="AY276" s="198"/>
      <c r="AZ276" s="198"/>
      <c r="BA276" s="198"/>
      <c r="BB276" s="198"/>
      <c r="BC276" s="198"/>
      <c r="BD276" s="198"/>
      <c r="BE276" s="198"/>
      <c r="BF276" s="198"/>
      <c r="BG276" s="198"/>
      <c r="BH276" s="198"/>
      <c r="BI276" s="198"/>
      <c r="BJ276" s="198"/>
      <c r="BK276" s="198"/>
      <c r="BL276" s="198"/>
      <c r="BM276" s="198"/>
      <c r="BN276" s="198"/>
      <c r="BO276" s="198"/>
      <c r="BP276" s="198"/>
      <c r="BQ276" s="198"/>
      <c r="BR276" s="198"/>
      <c r="BS276" s="198"/>
      <c r="BT276" s="198"/>
      <c r="BU276" s="198"/>
      <c r="BV276" s="198"/>
      <c r="BW276" s="198"/>
      <c r="BX276" s="198"/>
    </row>
    <row r="277" spans="1:76" x14ac:dyDescent="0.25">
      <c r="A277" s="2" t="str">
        <f>'Language Index'!A297</f>
        <v>Long-Term Debt Repaid, Excl. Leases</v>
      </c>
      <c r="B277" s="18">
        <f>_xll.ciqfunctions.udf.CIQ($C$2, "IQ_LONG_TERM_DEBT_REPAID_EXCL_LEASES",D$6,$F$2,,,Ccy,Conv)</f>
        <v>-4644</v>
      </c>
      <c r="C277" s="18">
        <f>_xll.ciqfunctions.udf.CIQ($C$2, "IQ_LONG_TERM_DEBT_REPAID_EXCL_LEASES",E$6,$F$2,,,Ccy,Conv)</f>
        <v>-5622</v>
      </c>
      <c r="D277" s="18">
        <f>_xll.ciqfunctions.udf.CIQ($C$2, "IQ_LONG_TERM_DEBT_REPAID_EXCL_LEASES",F$6,$F$2,,,Ccy,Conv)</f>
        <v>-6395</v>
      </c>
      <c r="E277" s="18">
        <f>_xll.ciqfunctions.udf.CIQ($C$2, "IQ_LONG_TERM_DEBT_REPAID_EXCL_LEASES",G$6,$F$2,,,Ccy,Conv)</f>
        <v>-6816</v>
      </c>
      <c r="F277" s="18">
        <f>_xll.ciqfunctions.udf.CIQ($C$2, "IQ_LONG_TERM_DEBT_REPAID_EXCL_LEASES",H$6,$F$2,,,Ccy,Conv)</f>
        <v>-8533</v>
      </c>
      <c r="G277" s="18">
        <f>_xll.ciqfunctions.udf.CIQ($C$2, "IQ_LONG_TERM_DEBT_REPAID_EXCL_LEASES",I$6,$F$2,,,Ccy,Conv)</f>
        <v>-12944</v>
      </c>
      <c r="H277" s="18">
        <f>_xll.ciqfunctions.udf.CIQ($C$2, "IQ_LONG_TERM_DEBT_REPAID_EXCL_LEASES",J$6,$F$2,,,Ccy,Conv)</f>
        <v>-13365</v>
      </c>
      <c r="I277" s="18">
        <f>_xll.ciqfunctions.udf.CIQ($C$2, "IQ_LONG_TERM_DEBT_REPAID_EXCL_LEASES",K$6,$F$2,,,Ccy,Conv)</f>
        <v>-8597</v>
      </c>
      <c r="J277" s="18">
        <f>_xll.ciqfunctions.udf.CIQ($C$2, "IQ_LONG_TERM_DEBT_REPAID_EXCL_LEASES",L$6,$F$2,,,Ccy,Conv)</f>
        <v>-6800</v>
      </c>
      <c r="K277" s="18">
        <f>_xll.ciqfunctions.udf.CIQ($C$2, "IQ_LONG_TERM_DEBT_REPAID_EXCL_LEASES",M$6,$F$2,,,Ccy,Conv)</f>
        <v>-5082</v>
      </c>
      <c r="L277" s="18">
        <f>_xll.ciqfunctions.udf.CIQ($C$2, "IQ_LONG_TERM_DEBT_REPAID_EXCL_LEASES",N$6,$F$2,,,Ccy,Conv)</f>
        <v>-6615</v>
      </c>
      <c r="M277" s="18"/>
      <c r="N277" s="18">
        <f>_xll.ciqfunctions.udf.CIQ($C$2, "IQ_LONG_TERM_DEBT_REPAID_EXCL_LEASES",P$6,$F$2,,,Ccy,Conv)</f>
        <v>-6615</v>
      </c>
      <c r="O277" s="198"/>
      <c r="P277" s="198"/>
      <c r="Q277" s="198"/>
      <c r="R277" s="198"/>
      <c r="S277" s="198"/>
      <c r="T277" s="216"/>
      <c r="U277" s="216"/>
      <c r="V277" s="216"/>
      <c r="W277" s="215"/>
      <c r="X277" s="215"/>
      <c r="Y277" s="215"/>
      <c r="Z277" s="198"/>
      <c r="AA277" s="198"/>
      <c r="AB277" s="198"/>
      <c r="AC277" s="198"/>
      <c r="AD277" s="198"/>
      <c r="AE277" s="198"/>
      <c r="AF277" s="198"/>
      <c r="AG277" s="198"/>
      <c r="AH277" s="198"/>
      <c r="AI277" s="198"/>
      <c r="AJ277" s="198"/>
      <c r="AK277" s="198"/>
      <c r="AL277" s="198"/>
      <c r="AM277" s="198"/>
      <c r="AN277" s="198"/>
      <c r="AO277" s="198"/>
      <c r="AP277" s="198"/>
      <c r="AQ277" s="198"/>
      <c r="AR277" s="198"/>
      <c r="AS277" s="198"/>
      <c r="AT277" s="198"/>
      <c r="AU277" s="198"/>
      <c r="AV277" s="198"/>
      <c r="AW277" s="198"/>
      <c r="AX277" s="198"/>
      <c r="AY277" s="198"/>
      <c r="AZ277" s="198"/>
      <c r="BA277" s="198"/>
      <c r="BB277" s="198"/>
      <c r="BC277" s="198"/>
      <c r="BD277" s="198"/>
      <c r="BE277" s="198"/>
      <c r="BF277" s="198"/>
      <c r="BG277" s="198"/>
      <c r="BH277" s="198"/>
      <c r="BI277" s="198"/>
      <c r="BJ277" s="198"/>
      <c r="BK277" s="198"/>
      <c r="BL277" s="198"/>
      <c r="BM277" s="198"/>
      <c r="BN277" s="198"/>
      <c r="BO277" s="198"/>
      <c r="BP277" s="198"/>
      <c r="BQ277" s="198"/>
      <c r="BR277" s="198"/>
      <c r="BS277" s="198"/>
      <c r="BT277" s="198"/>
      <c r="BU277" s="198"/>
      <c r="BV277" s="198"/>
      <c r="BW277" s="198"/>
      <c r="BX277" s="198"/>
    </row>
    <row r="278" spans="1:76" x14ac:dyDescent="0.25">
      <c r="A278" s="2" t="str">
        <f>'Language Index'!A298</f>
        <v>Total Debt Repaid, Excl. Leases</v>
      </c>
      <c r="B278" s="18">
        <f>_xll.ciqfunctions.udf.CIQ($C$2, "IQ_TOTAL_DEBT_REPAID_EXCL_LEASES",D$6,$F$2,,,Ccy,Conv)</f>
        <v>-6397</v>
      </c>
      <c r="C278" s="18">
        <f>_xll.ciqfunctions.udf.CIQ($C$2, "IQ_TOTAL_DEBT_REPAID_EXCL_LEASES",E$6,$F$2,,,Ccy,Conv)</f>
        <v>-5622</v>
      </c>
      <c r="D278" s="18">
        <f>_xll.ciqfunctions.udf.CIQ($C$2, "IQ_TOTAL_DEBT_REPAID_EXCL_LEASES",F$6,$F$2,,,Ccy,Conv)</f>
        <v>-6395</v>
      </c>
      <c r="E278" s="18">
        <f>_xll.ciqfunctions.udf.CIQ($C$2, "IQ_TOTAL_DEBT_REPAID_EXCL_LEASES",G$6,$F$2,,,Ccy,Conv)</f>
        <v>-6816</v>
      </c>
      <c r="F278" s="18">
        <f>_xll.ciqfunctions.udf.CIQ($C$2, "IQ_TOTAL_DEBT_REPAID_EXCL_LEASES",H$6,$F$2,,,Ccy,Conv)</f>
        <v>-8533</v>
      </c>
      <c r="G278" s="18">
        <f>_xll.ciqfunctions.udf.CIQ($C$2, "IQ_TOTAL_DEBT_REPAID_EXCL_LEASES",I$6,$F$2,,,Ccy,Conv)</f>
        <v>-15541</v>
      </c>
      <c r="H278" s="18">
        <f>_xll.ciqfunctions.udf.CIQ($C$2, "IQ_TOTAL_DEBT_REPAID_EXCL_LEASES",J$6,$F$2,,,Ccy,Conv)</f>
        <v>-14218</v>
      </c>
      <c r="I278" s="18">
        <f>_xll.ciqfunctions.udf.CIQ($C$2, "IQ_TOTAL_DEBT_REPAID_EXCL_LEASES",K$6,$F$2,,,Ccy,Conv)</f>
        <v>-8637</v>
      </c>
      <c r="J278" s="18">
        <f>_xll.ciqfunctions.udf.CIQ($C$2, "IQ_TOTAL_DEBT_REPAID_EXCL_LEASES",L$6,$F$2,,,Ccy,Conv)</f>
        <v>-6800</v>
      </c>
      <c r="K278" s="18">
        <f>_xll.ciqfunctions.udf.CIQ($C$2, "IQ_TOTAL_DEBT_REPAID_EXCL_LEASES",M$6,$F$2,,,Ccy,Conv)</f>
        <v>-5089</v>
      </c>
      <c r="L278" s="18">
        <f>_xll.ciqfunctions.udf.CIQ($C$2, "IQ_TOTAL_DEBT_REPAID_EXCL_LEASES",N$6,$F$2,,,Ccy,Conv)</f>
        <v>-6615</v>
      </c>
      <c r="M278" s="18"/>
      <c r="N278" s="18">
        <f>_xll.ciqfunctions.udf.CIQ($C$2, "IQ_TOTAL_DEBT_REPAID_EXCL_LEASES",P$6,$F$2,,,Ccy,Conv)</f>
        <v>-6615</v>
      </c>
      <c r="O278" s="198"/>
      <c r="P278" s="198"/>
      <c r="Q278" s="198"/>
      <c r="R278" s="198"/>
      <c r="S278" s="198"/>
      <c r="T278" s="216"/>
      <c r="U278" s="216"/>
      <c r="V278" s="216"/>
      <c r="W278" s="215"/>
      <c r="X278" s="215"/>
      <c r="Y278" s="215"/>
      <c r="Z278" s="198"/>
      <c r="AA278" s="198"/>
      <c r="AB278" s="198"/>
      <c r="AC278" s="198"/>
      <c r="AD278" s="198"/>
      <c r="AE278" s="198"/>
      <c r="AF278" s="198"/>
      <c r="AG278" s="198"/>
      <c r="AH278" s="198"/>
      <c r="AI278" s="198"/>
      <c r="AJ278" s="198"/>
      <c r="AK278" s="198"/>
      <c r="AL278" s="198"/>
      <c r="AM278" s="198"/>
      <c r="AN278" s="198"/>
      <c r="AO278" s="198"/>
      <c r="AP278" s="198"/>
      <c r="AQ278" s="198"/>
      <c r="AR278" s="198"/>
      <c r="AS278" s="198"/>
      <c r="AT278" s="198"/>
      <c r="AU278" s="198"/>
      <c r="AV278" s="198"/>
      <c r="AW278" s="198"/>
      <c r="AX278" s="198"/>
      <c r="AY278" s="198"/>
      <c r="AZ278" s="198"/>
      <c r="BA278" s="198"/>
      <c r="BB278" s="198"/>
      <c r="BC278" s="198"/>
      <c r="BD278" s="198"/>
      <c r="BE278" s="198"/>
      <c r="BF278" s="198"/>
      <c r="BG278" s="198"/>
      <c r="BH278" s="198"/>
      <c r="BI278" s="198"/>
      <c r="BJ278" s="198"/>
      <c r="BK278" s="198"/>
      <c r="BL278" s="198"/>
      <c r="BM278" s="198"/>
      <c r="BN278" s="198"/>
      <c r="BO278" s="198"/>
      <c r="BP278" s="198"/>
      <c r="BQ278" s="198"/>
      <c r="BR278" s="198"/>
      <c r="BS278" s="198"/>
      <c r="BT278" s="198"/>
      <c r="BU278" s="198"/>
      <c r="BV278" s="198"/>
      <c r="BW278" s="198"/>
      <c r="BX278" s="198"/>
    </row>
    <row r="279" spans="1:76" x14ac:dyDescent="0.25">
      <c r="A279" s="2" t="str">
        <f>'Language Index'!A299</f>
        <v>Gain on Bargain Acquisition - (CF)</v>
      </c>
      <c r="B279" s="18">
        <f>_xll.ciqfunctions.udf.CIQ($C$2, "IQ_GAIN_BARGAIN_ACQ_CF",D$6,$F$2,,,Ccy,Conv)</f>
        <v>0</v>
      </c>
      <c r="C279" s="18">
        <f>_xll.ciqfunctions.udf.CIQ($C$2, "IQ_GAIN_BARGAIN_ACQ_CF",E$6,$F$2,,,Ccy,Conv)</f>
        <v>0</v>
      </c>
      <c r="D279" s="18">
        <f>_xll.ciqfunctions.udf.CIQ($C$2, "IQ_GAIN_BARGAIN_ACQ_CF",F$6,$F$2,,,Ccy,Conv)</f>
        <v>0</v>
      </c>
      <c r="E279" s="18">
        <f>_xll.ciqfunctions.udf.CIQ($C$2, "IQ_GAIN_BARGAIN_ACQ_CF",G$6,$F$2,,,Ccy,Conv)</f>
        <v>0</v>
      </c>
      <c r="F279" s="18">
        <f>_xll.ciqfunctions.udf.CIQ($C$2, "IQ_GAIN_BARGAIN_ACQ_CF",H$6,$F$2,,,Ccy,Conv)</f>
        <v>0</v>
      </c>
      <c r="G279" s="18">
        <f>_xll.ciqfunctions.udf.CIQ($C$2, "IQ_GAIN_BARGAIN_ACQ_CF",I$6,$F$2,,,Ccy,Conv)</f>
        <v>0</v>
      </c>
      <c r="H279" s="18">
        <f>_xll.ciqfunctions.udf.CIQ($C$2, "IQ_GAIN_BARGAIN_ACQ_CF",J$6,$F$2,,,Ccy,Conv)</f>
        <v>0</v>
      </c>
      <c r="I279" s="18">
        <f>_xll.ciqfunctions.udf.CIQ($C$2, "IQ_GAIN_BARGAIN_ACQ_CF",K$6,$F$2,,,Ccy,Conv)</f>
        <v>0</v>
      </c>
      <c r="J279" s="18">
        <f>_xll.ciqfunctions.udf.CIQ($C$2, "IQ_GAIN_BARGAIN_ACQ_CF",L$6,$F$2,,,Ccy,Conv)</f>
        <v>0</v>
      </c>
      <c r="K279" s="18">
        <f>_xll.ciqfunctions.udf.CIQ($C$2, "IQ_GAIN_BARGAIN_ACQ_CF",M$6,$F$2,,,Ccy,Conv)</f>
        <v>0</v>
      </c>
      <c r="L279" s="18">
        <f>_xll.ciqfunctions.udf.CIQ($C$2, "IQ_GAIN_BARGAIN_ACQ_CF",N$6,$F$2,,,Ccy,Conv)</f>
        <v>0</v>
      </c>
      <c r="M279" s="18"/>
      <c r="N279" s="18">
        <f>_xll.ciqfunctions.udf.CIQ($C$2, "IQ_GAIN_BARGAIN_ACQ_CF",P$6,$F$2,,,Ccy,Conv)</f>
        <v>0</v>
      </c>
      <c r="O279" s="198"/>
      <c r="P279" s="198"/>
      <c r="Q279" s="198"/>
      <c r="R279" s="198"/>
      <c r="S279" s="198"/>
      <c r="T279" s="216"/>
      <c r="U279" s="216"/>
      <c r="V279" s="216"/>
      <c r="W279" s="215"/>
      <c r="X279" s="215"/>
      <c r="Y279" s="215"/>
      <c r="Z279" s="198"/>
      <c r="AA279" s="198"/>
      <c r="AB279" s="198"/>
      <c r="AC279" s="198"/>
      <c r="AD279" s="198"/>
      <c r="AE279" s="198"/>
      <c r="AF279" s="198"/>
      <c r="AG279" s="198"/>
      <c r="AH279" s="198"/>
      <c r="AI279" s="198"/>
      <c r="AJ279" s="198"/>
      <c r="AK279" s="198"/>
      <c r="AL279" s="198"/>
      <c r="AM279" s="198"/>
      <c r="AN279" s="198"/>
      <c r="AO279" s="198"/>
      <c r="AP279" s="198"/>
      <c r="AQ279" s="198"/>
      <c r="AR279" s="198"/>
      <c r="AS279" s="198"/>
      <c r="AT279" s="198"/>
      <c r="AU279" s="198"/>
      <c r="AV279" s="198"/>
      <c r="AW279" s="198"/>
      <c r="AX279" s="198"/>
      <c r="AY279" s="198"/>
      <c r="AZ279" s="198"/>
      <c r="BA279" s="198"/>
      <c r="BB279" s="198"/>
      <c r="BC279" s="198"/>
      <c r="BD279" s="198"/>
      <c r="BE279" s="198"/>
      <c r="BF279" s="198"/>
      <c r="BG279" s="198"/>
      <c r="BH279" s="198"/>
      <c r="BI279" s="198"/>
      <c r="BJ279" s="198"/>
      <c r="BK279" s="198"/>
      <c r="BL279" s="198"/>
      <c r="BM279" s="198"/>
      <c r="BN279" s="198"/>
      <c r="BO279" s="198"/>
      <c r="BP279" s="198"/>
      <c r="BQ279" s="198"/>
      <c r="BR279" s="198"/>
      <c r="BS279" s="198"/>
      <c r="BT279" s="198"/>
      <c r="BU279" s="198"/>
      <c r="BV279" s="198"/>
      <c r="BW279" s="198"/>
      <c r="BX279" s="198"/>
    </row>
    <row r="280" spans="1:76" x14ac:dyDescent="0.25">
      <c r="A280" s="2" t="str">
        <f>'Language Index'!A301</f>
        <v>Cash And Equivalents</v>
      </c>
      <c r="B280" s="18">
        <f>_xll.ciqfunctions.udf.CIQ($C$2, "IQ_CASH_EQUIV", D$6,$F$2,,,Ccy,Conv)</f>
        <v>8476</v>
      </c>
      <c r="C280" s="18">
        <f>_xll.ciqfunctions.udf.CIQ($C$2, "IQ_CASH_EQUIV", E$6,$F$2,,,Ccy,Conv)</f>
        <v>7686</v>
      </c>
      <c r="D280" s="18">
        <f>_xll.ciqfunctions.udf.CIQ($C$2, "IQ_CASH_EQUIV", F$6,$F$2,,,Ccy,Conv)</f>
        <v>7826</v>
      </c>
      <c r="E280" s="18">
        <f>_xll.ciqfunctions.udf.CIQ($C$2, "IQ_CASH_EQUIV", G$6,$F$2,,,Ccy,Conv)</f>
        <v>11972</v>
      </c>
      <c r="F280" s="18">
        <f>_xll.ciqfunctions.udf.CIQ($C$2, "IQ_CASH_EQUIV", H$6,$F$2,,,Ccy,Conv)</f>
        <v>11379</v>
      </c>
      <c r="G280" s="18">
        <f>_xll.ciqfunctions.udf.CIQ($C$2, "IQ_CASH_EQUIV", I$6,$F$2,,,Ccy,Conv)</f>
        <v>8172</v>
      </c>
      <c r="H280" s="18">
        <f>_xll.ciqfunctions.udf.CIQ($C$2, "IQ_CASH_EQUIV", J$6,$F$2,,,Ccy,Conv)</f>
        <v>13188</v>
      </c>
      <c r="I280" s="18">
        <f>_xll.ciqfunctions.udf.CIQ($C$2, "IQ_CASH_EQUIV", K$6,$F$2,,,Ccy,Conv)</f>
        <v>6650</v>
      </c>
      <c r="J280" s="18">
        <f>_xll.ciqfunctions.udf.CIQ($C$2, "IQ_CASH_EQUIV", L$6,$F$2,,,Ccy,Conv)</f>
        <v>7886</v>
      </c>
      <c r="K280" s="18">
        <f>_xll.ciqfunctions.udf.CIQ($C$2, "IQ_CASH_EQUIV", M$6,$F$2,,,Ccy,Conv)</f>
        <v>13068</v>
      </c>
      <c r="L280" s="18">
        <f>_xll.ciqfunctions.udf.CIQ($C$2, "IQ_CASH_EQUIV", N$6,$F$2,,,Ccy,Conv)</f>
        <v>13947</v>
      </c>
      <c r="M280" s="18"/>
      <c r="N280" s="18">
        <f>_xll.ciqfunctions.udf.CIQ($C$2, "IQ_CASH_EQUIV", P$6,$F$2,,,Ccy,Conv)</f>
        <v>13947</v>
      </c>
      <c r="O280" s="198"/>
      <c r="P280" s="198"/>
      <c r="Q280" s="198"/>
      <c r="R280" s="198"/>
      <c r="S280" s="198"/>
      <c r="T280" s="205"/>
      <c r="U280" s="205"/>
      <c r="V280" s="205"/>
      <c r="W280" s="198"/>
      <c r="X280" s="198"/>
      <c r="Y280" s="198"/>
      <c r="Z280" s="198"/>
      <c r="AA280" s="198"/>
      <c r="AB280" s="198"/>
      <c r="AC280" s="215"/>
      <c r="AD280" s="198"/>
      <c r="AE280" s="198"/>
      <c r="AF280" s="198"/>
      <c r="AG280" s="198"/>
      <c r="AH280" s="198"/>
      <c r="AI280" s="198"/>
      <c r="AJ280" s="198"/>
      <c r="AK280" s="198"/>
      <c r="AL280" s="198"/>
      <c r="AM280" s="198"/>
      <c r="AN280" s="198"/>
      <c r="AO280" s="198"/>
      <c r="AP280" s="198"/>
      <c r="AQ280" s="198"/>
      <c r="AR280" s="198"/>
      <c r="AS280" s="198"/>
      <c r="AT280" s="198"/>
      <c r="AU280" s="198"/>
      <c r="AV280" s="198"/>
      <c r="AW280" s="198"/>
      <c r="AX280" s="198"/>
      <c r="AY280" s="198"/>
      <c r="AZ280" s="198"/>
      <c r="BA280" s="198"/>
      <c r="BB280" s="198"/>
      <c r="BC280" s="198"/>
      <c r="BD280" s="198"/>
      <c r="BE280" s="198"/>
      <c r="BF280" s="198"/>
      <c r="BG280" s="198"/>
      <c r="BH280" s="198"/>
      <c r="BI280" s="198"/>
      <c r="BJ280" s="198"/>
      <c r="BK280" s="198"/>
      <c r="BL280" s="198"/>
      <c r="BM280" s="198"/>
      <c r="BN280" s="198"/>
      <c r="BO280" s="198"/>
      <c r="BP280" s="198"/>
      <c r="BQ280" s="198"/>
      <c r="BR280" s="198"/>
      <c r="BS280" s="198"/>
      <c r="BT280" s="198"/>
      <c r="BU280" s="198"/>
      <c r="BV280" s="198"/>
      <c r="BW280" s="198"/>
      <c r="BX280" s="198"/>
    </row>
    <row r="281" spans="1:76" x14ac:dyDescent="0.25">
      <c r="A281" s="2" t="str">
        <f>'Language Index'!A302</f>
        <v>Short Term Investments</v>
      </c>
      <c r="B281" s="18">
        <f>_xll.ciqfunctions.udf.CIQ($C$2, "IQ_ST_INVEST", D$6,$F$2,,,Ccy,Conv)</f>
        <v>0</v>
      </c>
      <c r="C281" s="18">
        <f>_xll.ciqfunctions.udf.CIQ($C$2, "IQ_ST_INVEST", E$6,$F$2,,,Ccy,Conv)</f>
        <v>508</v>
      </c>
      <c r="D281" s="18">
        <f>_xll.ciqfunctions.udf.CIQ($C$2, "IQ_ST_INVEST", F$6,$F$2,,,Ccy,Conv)</f>
        <v>701</v>
      </c>
      <c r="E281" s="18">
        <f>_xll.ciqfunctions.udf.CIQ($C$2, "IQ_ST_INVEST", G$6,$F$2,,,Ccy,Conv)</f>
        <v>608</v>
      </c>
      <c r="F281" s="18">
        <f>_xll.ciqfunctions.udf.CIQ($C$2, "IQ_ST_INVEST", H$6,$F$2,,,Ccy,Conv)</f>
        <v>618</v>
      </c>
      <c r="G281" s="18">
        <f>_xll.ciqfunctions.udf.CIQ($C$2, "IQ_ST_INVEST", I$6,$F$2,,,Ccy,Conv)</f>
        <v>696</v>
      </c>
      <c r="H281" s="18">
        <f>_xll.ciqfunctions.udf.CIQ($C$2, "IQ_ST_INVEST", J$6,$F$2,,,Ccy,Conv)</f>
        <v>600</v>
      </c>
      <c r="I281" s="18">
        <f>_xll.ciqfunctions.udf.CIQ($C$2, "IQ_ST_INVEST", K$6,$F$2,,,Ccy,Conv)</f>
        <v>600</v>
      </c>
      <c r="J281" s="18">
        <f>_xll.ciqfunctions.udf.CIQ($C$2, "IQ_ST_INVEST", L$6,$F$2,,,Ccy,Conv)</f>
        <v>852</v>
      </c>
      <c r="K281" s="18">
        <f>_xll.ciqfunctions.udf.CIQ($C$2, "IQ_ST_INVEST", M$6,$F$2,,,Ccy,Conv)</f>
        <v>373</v>
      </c>
      <c r="L281" s="18">
        <f>_xll.ciqfunctions.udf.CIQ($C$2, "IQ_ST_INVEST", N$6,$F$2,,,Ccy,Conv)</f>
        <v>644</v>
      </c>
      <c r="M281" s="18"/>
      <c r="N281" s="18">
        <f>_xll.ciqfunctions.udf.CIQ($C$2, "IQ_ST_INVEST", P$6,$F$2,,,Ccy,Conv)</f>
        <v>644</v>
      </c>
      <c r="O281" s="198"/>
      <c r="P281" s="198"/>
      <c r="Q281" s="198"/>
      <c r="R281" s="198"/>
      <c r="S281" s="198"/>
      <c r="T281" s="205"/>
      <c r="U281" s="205"/>
      <c r="V281" s="205"/>
      <c r="W281" s="198"/>
      <c r="X281" s="198"/>
      <c r="Y281" s="198"/>
      <c r="Z281" s="198"/>
      <c r="AA281" s="198"/>
      <c r="AB281" s="198"/>
      <c r="AC281" s="198"/>
      <c r="AD281" s="198"/>
      <c r="AE281" s="198"/>
      <c r="AF281" s="198"/>
      <c r="AG281" s="198"/>
      <c r="AH281" s="198"/>
      <c r="AI281" s="198"/>
      <c r="AJ281" s="198"/>
      <c r="AK281" s="198"/>
      <c r="AL281" s="198"/>
      <c r="AM281" s="198"/>
      <c r="AN281" s="198"/>
      <c r="AO281" s="198"/>
      <c r="AP281" s="198"/>
      <c r="AQ281" s="198"/>
      <c r="AR281" s="198"/>
      <c r="AS281" s="198"/>
      <c r="AT281" s="198"/>
      <c r="AU281" s="198"/>
      <c r="AV281" s="198"/>
      <c r="AW281" s="198"/>
      <c r="AX281" s="198"/>
      <c r="AY281" s="198"/>
      <c r="AZ281" s="198"/>
      <c r="BA281" s="198"/>
      <c r="BB281" s="198"/>
      <c r="BC281" s="198"/>
      <c r="BD281" s="198"/>
      <c r="BE281" s="198"/>
      <c r="BF281" s="198"/>
      <c r="BG281" s="198"/>
      <c r="BH281" s="198"/>
      <c r="BI281" s="198"/>
      <c r="BJ281" s="198"/>
      <c r="BK281" s="198"/>
      <c r="BL281" s="198"/>
      <c r="BM281" s="198"/>
      <c r="BN281" s="198"/>
      <c r="BO281" s="198"/>
      <c r="BP281" s="198"/>
      <c r="BQ281" s="198"/>
      <c r="BR281" s="198"/>
      <c r="BS281" s="198"/>
      <c r="BT281" s="198"/>
      <c r="BU281" s="198"/>
      <c r="BV281" s="198"/>
      <c r="BW281" s="198"/>
      <c r="BX281" s="198"/>
    </row>
    <row r="282" spans="1:76" x14ac:dyDescent="0.25">
      <c r="A282" s="2" t="str">
        <f>'Language Index'!A303</f>
        <v>Trading Asset Securities</v>
      </c>
      <c r="B282" s="18">
        <f>_xll.ciqfunctions.udf.CIQ($C$2, "IQ_TRADING_ASSETS", D$6,$F$2,,,Ccy,Conv)</f>
        <v>5</v>
      </c>
      <c r="C282" s="18">
        <f>_xll.ciqfunctions.udf.CIQ($C$2, "IQ_TRADING_ASSETS", E$6,$F$2,,,Ccy,Conv)</f>
        <v>0</v>
      </c>
      <c r="D282" s="18">
        <f>_xll.ciqfunctions.udf.CIQ($C$2, "IQ_TRADING_ASSETS", F$6,$F$2,,,Ccy,Conv)</f>
        <v>0</v>
      </c>
      <c r="E282" s="18">
        <f>_xll.ciqfunctions.udf.CIQ($C$2, "IQ_TRADING_ASSETS", G$6,$F$2,,,Ccy,Conv)</f>
        <v>2</v>
      </c>
      <c r="F282" s="18">
        <f>_xll.ciqfunctions.udf.CIQ($C$2, "IQ_TRADING_ASSETS", H$6,$F$2,,,Ccy,Conv)</f>
        <v>0</v>
      </c>
      <c r="G282" s="18">
        <f>_xll.ciqfunctions.udf.CIQ($C$2, "IQ_TRADING_ASSETS", I$6,$F$2,,,Ccy,Conv)</f>
        <v>0</v>
      </c>
      <c r="H282" s="18">
        <f>_xll.ciqfunctions.udf.CIQ($C$2, "IQ_TRADING_ASSETS", J$6,$F$2,,,Ccy,Conv)</f>
        <v>0</v>
      </c>
      <c r="I282" s="18">
        <f>_xll.ciqfunctions.udf.CIQ($C$2, "IQ_TRADING_ASSETS", K$6,$F$2,,,Ccy,Conv)</f>
        <v>0</v>
      </c>
      <c r="J282" s="18">
        <f>_xll.ciqfunctions.udf.CIQ($C$2, "IQ_TRADING_ASSETS", L$6,$F$2,,,Ccy,Conv)</f>
        <v>0</v>
      </c>
      <c r="K282" s="18">
        <f>_xll.ciqfunctions.udf.CIQ($C$2, "IQ_TRADING_ASSETS", M$6,$F$2,,,Ccy,Conv)</f>
        <v>0</v>
      </c>
      <c r="L282" s="18">
        <f>_xll.ciqfunctions.udf.CIQ($C$2, "IQ_TRADING_ASSETS", N$6,$F$2,,,Ccy,Conv)</f>
        <v>0</v>
      </c>
      <c r="M282" s="18"/>
      <c r="N282" s="18">
        <f>_xll.ciqfunctions.udf.CIQ($C$2, "IQ_TRADING_ASSETS", P$6,$F$2,,,Ccy,Conv)</f>
        <v>0</v>
      </c>
      <c r="O282" s="215"/>
      <c r="P282" s="198"/>
      <c r="Q282" s="198"/>
      <c r="R282" s="198"/>
      <c r="S282" s="198"/>
      <c r="T282" s="205"/>
      <c r="U282" s="205"/>
      <c r="V282" s="205"/>
      <c r="W282" s="198"/>
      <c r="X282" s="198"/>
      <c r="Y282" s="198"/>
      <c r="Z282" s="198"/>
      <c r="AA282" s="198"/>
      <c r="AB282" s="198"/>
      <c r="AC282" s="215"/>
      <c r="AD282" s="198"/>
      <c r="AE282" s="198"/>
      <c r="AF282" s="198"/>
      <c r="AG282" s="198"/>
      <c r="AH282" s="198"/>
      <c r="AI282" s="198"/>
      <c r="AJ282" s="198"/>
      <c r="AK282" s="198"/>
      <c r="AL282" s="198"/>
      <c r="AM282" s="198"/>
      <c r="AN282" s="198"/>
      <c r="AO282" s="198"/>
      <c r="AP282" s="198"/>
      <c r="AQ282" s="198"/>
      <c r="AR282" s="198"/>
      <c r="AS282" s="198"/>
      <c r="AT282" s="198"/>
      <c r="AU282" s="198"/>
      <c r="AV282" s="198"/>
      <c r="AW282" s="198"/>
      <c r="AX282" s="198"/>
      <c r="AY282" s="198"/>
      <c r="AZ282" s="198"/>
      <c r="BA282" s="198"/>
      <c r="BB282" s="198"/>
      <c r="BC282" s="198"/>
      <c r="BD282" s="198"/>
      <c r="BE282" s="198"/>
      <c r="BF282" s="198"/>
      <c r="BG282" s="198"/>
      <c r="BH282" s="198"/>
      <c r="BI282" s="198"/>
      <c r="BJ282" s="198"/>
      <c r="BK282" s="198"/>
      <c r="BL282" s="198"/>
      <c r="BM282" s="198"/>
      <c r="BN282" s="198"/>
      <c r="BO282" s="198"/>
      <c r="BP282" s="198"/>
      <c r="BQ282" s="198"/>
      <c r="BR282" s="198"/>
      <c r="BS282" s="198"/>
      <c r="BT282" s="198"/>
      <c r="BU282" s="198"/>
      <c r="BV282" s="198"/>
      <c r="BW282" s="198"/>
      <c r="BX282" s="198"/>
    </row>
    <row r="283" spans="1:76" x14ac:dyDescent="0.25">
      <c r="A283" s="19" t="str">
        <f>'Language Index'!A304</f>
        <v>Total Cash &amp; ST Investments</v>
      </c>
      <c r="B283" s="20">
        <f>_xll.ciqfunctions.udf.CIQ($C$2, "IQ_CASH_ST_INVEST", D$6,$F$2,,,Ccy,Conv)</f>
        <v>8481</v>
      </c>
      <c r="C283" s="20">
        <f>_xll.ciqfunctions.udf.CIQ($C$2, "IQ_CASH_ST_INVEST", E$6,$F$2,,,Ccy,Conv)</f>
        <v>8194</v>
      </c>
      <c r="D283" s="20">
        <f>_xll.ciqfunctions.udf.CIQ($C$2, "IQ_CASH_ST_INVEST", F$6,$F$2,,,Ccy,Conv)</f>
        <v>8527</v>
      </c>
      <c r="E283" s="20">
        <f>_xll.ciqfunctions.udf.CIQ($C$2, "IQ_CASH_ST_INVEST", G$6,$F$2,,,Ccy,Conv)</f>
        <v>12582</v>
      </c>
      <c r="F283" s="20">
        <f>_xll.ciqfunctions.udf.CIQ($C$2, "IQ_CASH_ST_INVEST", H$6,$F$2,,,Ccy,Conv)</f>
        <v>11997</v>
      </c>
      <c r="G283" s="20">
        <f>_xll.ciqfunctions.udf.CIQ($C$2, "IQ_CASH_ST_INVEST", I$6,$F$2,,,Ccy,Conv)</f>
        <v>8868</v>
      </c>
      <c r="H283" s="20">
        <f>_xll.ciqfunctions.udf.CIQ($C$2, "IQ_CASH_ST_INVEST", J$6,$F$2,,,Ccy,Conv)</f>
        <v>13788</v>
      </c>
      <c r="I283" s="20">
        <f>_xll.ciqfunctions.udf.CIQ($C$2, "IQ_CASH_ST_INVEST", K$6,$F$2,,,Ccy,Conv)</f>
        <v>7250</v>
      </c>
      <c r="J283" s="20">
        <f>_xll.ciqfunctions.udf.CIQ($C$2, "IQ_CASH_ST_INVEST", L$6,$F$2,,,Ccy,Conv)</f>
        <v>8738</v>
      </c>
      <c r="K283" s="20">
        <f>_xll.ciqfunctions.udf.CIQ($C$2, "IQ_CASH_ST_INVEST", M$6,$F$2,,,Ccy,Conv)</f>
        <v>13441</v>
      </c>
      <c r="L283" s="20">
        <f>_xll.ciqfunctions.udf.CIQ($C$2, "IQ_CASH_ST_INVEST", N$6,$F$2,,,Ccy,Conv)</f>
        <v>14591</v>
      </c>
      <c r="M283" s="21"/>
      <c r="N283" s="20">
        <f>_xll.ciqfunctions.udf.CIQ($C$2, "IQ_CASH_ST_INVEST", P$6,$F$2,,,Ccy,Conv)</f>
        <v>14591</v>
      </c>
      <c r="O283" s="198"/>
      <c r="P283" s="198"/>
      <c r="Q283" s="198"/>
      <c r="R283" s="198"/>
      <c r="S283" s="198"/>
      <c r="T283" s="216"/>
      <c r="U283" s="216"/>
      <c r="V283" s="216"/>
      <c r="W283" s="215"/>
      <c r="X283" s="215"/>
      <c r="Y283" s="215"/>
      <c r="Z283" s="215"/>
      <c r="AA283" s="215"/>
      <c r="AB283" s="215"/>
      <c r="AC283" s="198"/>
      <c r="AD283" s="198"/>
      <c r="AE283" s="198"/>
      <c r="AF283" s="215"/>
      <c r="AG283" s="198"/>
      <c r="AH283" s="198"/>
      <c r="AI283" s="198"/>
      <c r="AJ283" s="198"/>
      <c r="AK283" s="198"/>
      <c r="AL283" s="198"/>
      <c r="AM283" s="198"/>
      <c r="AN283" s="198"/>
      <c r="AO283" s="198"/>
      <c r="AP283" s="198"/>
      <c r="AQ283" s="198"/>
      <c r="AR283" s="198"/>
      <c r="AS283" s="198"/>
      <c r="AT283" s="198"/>
      <c r="AU283" s="198"/>
      <c r="AV283" s="198"/>
      <c r="AW283" s="198"/>
      <c r="AX283" s="198"/>
      <c r="AY283" s="198"/>
      <c r="AZ283" s="198"/>
      <c r="BA283" s="198"/>
      <c r="BB283" s="198"/>
      <c r="BC283" s="198"/>
      <c r="BD283" s="198"/>
      <c r="BE283" s="198"/>
      <c r="BF283" s="198"/>
      <c r="BG283" s="198"/>
      <c r="BH283" s="198"/>
      <c r="BI283" s="198"/>
      <c r="BJ283" s="198"/>
      <c r="BK283" s="198"/>
      <c r="BL283" s="198"/>
      <c r="BM283" s="198"/>
      <c r="BN283" s="198"/>
      <c r="BO283" s="198"/>
      <c r="BP283" s="198"/>
      <c r="BQ283" s="198"/>
      <c r="BR283" s="198"/>
      <c r="BS283" s="198"/>
      <c r="BT283" s="198"/>
      <c r="BU283" s="198"/>
      <c r="BV283" s="198"/>
      <c r="BW283" s="198"/>
      <c r="BX283" s="198"/>
    </row>
    <row r="284" spans="1:76" x14ac:dyDescent="0.25">
      <c r="A284" s="2" t="str">
        <f>'Language Index'!A305</f>
        <v>Accounts Receivable</v>
      </c>
      <c r="B284" s="18">
        <f>_xll.ciqfunctions.udf.CIQ($C$2, "IQ_AR", D$6,$F$2,,,Ccy,Conv)</f>
        <v>9090</v>
      </c>
      <c r="C284" s="18">
        <f>_xll.ciqfunctions.udf.CIQ($C$2, "IQ_AR", E$6,$F$2,,,Ccy,Conv)</f>
        <v>8333</v>
      </c>
      <c r="D284" s="18">
        <f>_xll.ciqfunctions.udf.CIQ($C$2, "IQ_AR", F$6,$F$2,,,Ccy,Conv)</f>
        <v>9182</v>
      </c>
      <c r="E284" s="18">
        <f>_xll.ciqfunctions.udf.CIQ($C$2, "IQ_AR", G$6,$F$2,,,Ccy,Conv)</f>
        <v>9399</v>
      </c>
      <c r="F284" s="18">
        <f>_xll.ciqfunctions.udf.CIQ($C$2, "IQ_AR", H$6,$F$2,,,Ccy,Conv)</f>
        <v>7902</v>
      </c>
      <c r="G284" s="18">
        <f>_xll.ciqfunctions.udf.CIQ($C$2, "IQ_AR", I$6,$F$2,,,Ccy,Conv)</f>
        <v>8362</v>
      </c>
      <c r="H284" s="18">
        <f>_xll.ciqfunctions.udf.CIQ($C$2, "IQ_AR", J$6,$F$2,,,Ccy,Conv)</f>
        <v>6215</v>
      </c>
      <c r="I284" s="18">
        <f>_xll.ciqfunctions.udf.CIQ($C$2, "IQ_AR", K$6,$F$2,,,Ccy,Conv)</f>
        <v>7225</v>
      </c>
      <c r="J284" s="18">
        <f>_xll.ciqfunctions.udf.CIQ($C$2, "IQ_AR", L$6,$F$2,,,Ccy,Conv)</f>
        <v>7005</v>
      </c>
      <c r="K284" s="18">
        <f>_xll.ciqfunctions.udf.CIQ($C$2, "IQ_AR", M$6,$F$2,,,Ccy,Conv)</f>
        <v>7719</v>
      </c>
      <c r="L284" s="18">
        <f>_xll.ciqfunctions.udf.CIQ($C$2, "IQ_AR", N$6,$F$2,,,Ccy,Conv)</f>
        <v>7237</v>
      </c>
      <c r="M284" s="18"/>
      <c r="N284" s="18">
        <f>_xll.ciqfunctions.udf.CIQ($C$2, "IQ_AR", P$6,$F$2,,,Ccy,Conv)</f>
        <v>7237</v>
      </c>
      <c r="O284" s="198"/>
      <c r="P284" s="198"/>
      <c r="Q284" s="198"/>
      <c r="R284" s="198"/>
      <c r="S284" s="198"/>
      <c r="T284" s="216"/>
      <c r="U284" s="216"/>
      <c r="V284" s="216"/>
      <c r="W284" s="215"/>
      <c r="X284" s="215"/>
      <c r="Y284" s="215"/>
      <c r="Z284" s="215"/>
      <c r="AA284" s="215"/>
      <c r="AB284" s="215"/>
      <c r="AC284" s="198"/>
      <c r="AD284" s="198"/>
      <c r="AE284" s="198"/>
      <c r="AF284" s="215"/>
      <c r="AG284" s="198"/>
      <c r="AH284" s="198"/>
      <c r="AI284" s="198"/>
      <c r="AJ284" s="198"/>
      <c r="AK284" s="198"/>
      <c r="AL284" s="198"/>
      <c r="AM284" s="198"/>
      <c r="AN284" s="198"/>
      <c r="AO284" s="198"/>
      <c r="AP284" s="198"/>
      <c r="AQ284" s="198"/>
      <c r="AR284" s="198"/>
      <c r="AS284" s="198"/>
      <c r="AT284" s="198"/>
      <c r="AU284" s="198"/>
      <c r="AV284" s="198"/>
      <c r="AW284" s="198"/>
      <c r="AX284" s="198"/>
      <c r="AY284" s="198"/>
      <c r="AZ284" s="198"/>
      <c r="BA284" s="198"/>
      <c r="BB284" s="198"/>
      <c r="BC284" s="198"/>
      <c r="BD284" s="198"/>
      <c r="BE284" s="198"/>
      <c r="BF284" s="198"/>
      <c r="BG284" s="198"/>
      <c r="BH284" s="198"/>
      <c r="BI284" s="198"/>
      <c r="BJ284" s="198"/>
      <c r="BK284" s="198"/>
      <c r="BL284" s="198"/>
      <c r="BM284" s="198"/>
      <c r="BN284" s="198"/>
      <c r="BO284" s="198"/>
      <c r="BP284" s="198"/>
      <c r="BQ284" s="198"/>
      <c r="BR284" s="198"/>
      <c r="BS284" s="198"/>
      <c r="BT284" s="198"/>
      <c r="BU284" s="198"/>
      <c r="BV284" s="198"/>
      <c r="BW284" s="198"/>
      <c r="BX284" s="198"/>
    </row>
    <row r="285" spans="1:76" x14ac:dyDescent="0.25">
      <c r="A285" s="2" t="str">
        <f>'Language Index'!A306</f>
        <v>Other Receivables</v>
      </c>
      <c r="B285" s="18">
        <f>_xll.ciqfunctions.udf.CIQ($C$2, "IQ_OTHER_RECEIV", D$6,$F$2,,,Ccy,Conv)</f>
        <v>2906</v>
      </c>
      <c r="C285" s="18">
        <f>_xll.ciqfunctions.udf.CIQ($C$2, "IQ_OTHER_RECEIV", E$6,$F$2,,,Ccy,Conv)</f>
        <v>1201</v>
      </c>
      <c r="D285" s="18">
        <f>_xll.ciqfunctions.udf.CIQ($C$2, "IQ_OTHER_RECEIV", F$6,$F$2,,,Ccy,Conv)</f>
        <v>1057</v>
      </c>
      <c r="E285" s="18">
        <f>_xll.ciqfunctions.udf.CIQ($C$2, "IQ_OTHER_RECEIV", G$6,$F$2,,,Ccy,Conv)</f>
        <v>981</v>
      </c>
      <c r="F285" s="18">
        <f>_xll.ciqfunctions.udf.CIQ($C$2, "IQ_OTHER_RECEIV", H$6,$F$2,,,Ccy,Conv)</f>
        <v>743</v>
      </c>
      <c r="G285" s="18">
        <f>_xll.ciqfunctions.udf.CIQ($C$2, "IQ_OTHER_RECEIV", I$6,$F$2,,,Ccy,Conv)</f>
        <v>1707</v>
      </c>
      <c r="H285" s="18">
        <f>_xll.ciqfunctions.udf.CIQ($C$2, "IQ_OTHER_RECEIV", J$6,$F$2,,,Ccy,Conv)</f>
        <v>695</v>
      </c>
      <c r="I285" s="18">
        <f>_xll.ciqfunctions.udf.CIQ($C$2, "IQ_OTHER_RECEIV", K$6,$F$2,,,Ccy,Conv)</f>
        <v>1000</v>
      </c>
      <c r="J285" s="18">
        <f>_xll.ciqfunctions.udf.CIQ($C$2, "IQ_OTHER_RECEIV", L$6,$F$2,,,Ccy,Conv)</f>
        <v>677</v>
      </c>
      <c r="K285" s="18">
        <f>_xll.ciqfunctions.udf.CIQ($C$2, "IQ_OTHER_RECEIV", M$6,$F$2,,,Ccy,Conv)</f>
        <v>629</v>
      </c>
      <c r="L285" s="18">
        <f>_xll.ciqfunctions.udf.CIQ($C$2, "IQ_OTHER_RECEIV", N$6,$F$2,,,Ccy,Conv)</f>
        <v>918</v>
      </c>
      <c r="M285" s="18"/>
      <c r="N285" s="18">
        <f>_xll.ciqfunctions.udf.CIQ($C$2, "IQ_OTHER_RECEIV", P$6,$F$2,,,Ccy,Conv)</f>
        <v>918</v>
      </c>
      <c r="O285" s="198"/>
      <c r="P285" s="198"/>
      <c r="Q285" s="198"/>
      <c r="R285" s="198"/>
      <c r="S285" s="198"/>
      <c r="T285" s="205"/>
      <c r="U285" s="205"/>
      <c r="V285" s="205"/>
      <c r="W285" s="198"/>
      <c r="X285" s="198"/>
      <c r="Y285" s="198"/>
      <c r="Z285" s="198"/>
      <c r="AA285" s="198"/>
      <c r="AB285" s="198"/>
      <c r="AC285" s="198"/>
      <c r="AD285" s="198"/>
      <c r="AE285" s="198"/>
      <c r="AF285" s="198"/>
      <c r="AG285" s="198"/>
      <c r="AH285" s="198"/>
      <c r="AI285" s="198"/>
      <c r="AJ285" s="198"/>
      <c r="AK285" s="198"/>
      <c r="AL285" s="198"/>
      <c r="AM285" s="198"/>
      <c r="AN285" s="198"/>
      <c r="AO285" s="198"/>
      <c r="AP285" s="198"/>
      <c r="AQ285" s="198"/>
      <c r="AR285" s="198"/>
      <c r="AS285" s="198"/>
      <c r="AT285" s="198"/>
      <c r="AU285" s="198"/>
      <c r="AV285" s="198"/>
      <c r="AW285" s="198"/>
      <c r="AX285" s="198"/>
      <c r="AY285" s="198"/>
      <c r="AZ285" s="198"/>
      <c r="BA285" s="198"/>
      <c r="BB285" s="198"/>
      <c r="BC285" s="198"/>
      <c r="BD285" s="198"/>
      <c r="BE285" s="198"/>
      <c r="BF285" s="198"/>
      <c r="BG285" s="198"/>
      <c r="BH285" s="198"/>
      <c r="BI285" s="198"/>
      <c r="BJ285" s="198"/>
      <c r="BK285" s="198"/>
      <c r="BL285" s="198"/>
      <c r="BM285" s="198"/>
      <c r="BN285" s="198"/>
      <c r="BO285" s="198"/>
      <c r="BP285" s="198"/>
      <c r="BQ285" s="198"/>
      <c r="BR285" s="198"/>
      <c r="BS285" s="198"/>
      <c r="BT285" s="198"/>
      <c r="BU285" s="198"/>
      <c r="BV285" s="198"/>
      <c r="BW285" s="198"/>
      <c r="BX285" s="198"/>
    </row>
    <row r="286" spans="1:76" x14ac:dyDescent="0.25">
      <c r="A286" s="2" t="str">
        <f>'Language Index'!A307</f>
        <v>Notes Receivable</v>
      </c>
      <c r="B286" s="18">
        <f>_xll.ciqfunctions.udf.CIQ($C$2, "IQ_ST_NOTE_RECEIV", D$6,$F$2,,,Ccy,Conv)</f>
        <v>0</v>
      </c>
      <c r="C286" s="18">
        <f>_xll.ciqfunctions.udf.CIQ($C$2, "IQ_ST_NOTE_RECEIV", E$6,$F$2,,,Ccy,Conv)</f>
        <v>0</v>
      </c>
      <c r="D286" s="18">
        <f>_xll.ciqfunctions.udf.CIQ($C$2, "IQ_ST_NOTE_RECEIV", F$6,$F$2,,,Ccy,Conv)</f>
        <v>0</v>
      </c>
      <c r="E286" s="18">
        <f>_xll.ciqfunctions.udf.CIQ($C$2, "IQ_ST_NOTE_RECEIV", G$6,$F$2,,,Ccy,Conv)</f>
        <v>0</v>
      </c>
      <c r="F286" s="18">
        <f>_xll.ciqfunctions.udf.CIQ($C$2, "IQ_ST_NOTE_RECEIV", H$6,$F$2,,,Ccy,Conv)</f>
        <v>0</v>
      </c>
      <c r="G286" s="18">
        <f>_xll.ciqfunctions.udf.CIQ($C$2, "IQ_ST_NOTE_RECEIV", I$6,$F$2,,,Ccy,Conv)</f>
        <v>0</v>
      </c>
      <c r="H286" s="18">
        <f>_xll.ciqfunctions.udf.CIQ($C$2, "IQ_ST_NOTE_RECEIV", J$6,$F$2,,,Ccy,Conv)</f>
        <v>0</v>
      </c>
      <c r="I286" s="18">
        <f>_xll.ciqfunctions.udf.CIQ($C$2, "IQ_ST_NOTE_RECEIV", K$6,$F$2,,,Ccy,Conv)</f>
        <v>0</v>
      </c>
      <c r="J286" s="18">
        <f>_xll.ciqfunctions.udf.CIQ($C$2, "IQ_ST_NOTE_RECEIV", L$6,$F$2,,,Ccy,Conv)</f>
        <v>0</v>
      </c>
      <c r="K286" s="18">
        <f>_xll.ciqfunctions.udf.CIQ($C$2, "IQ_ST_NOTE_RECEIV", M$6,$F$2,,,Ccy,Conv)</f>
        <v>0</v>
      </c>
      <c r="L286" s="18">
        <f>_xll.ciqfunctions.udf.CIQ($C$2, "IQ_ST_NOTE_RECEIV", N$6,$F$2,,,Ccy,Conv)</f>
        <v>0</v>
      </c>
      <c r="M286" s="18"/>
      <c r="N286" s="18">
        <f>_xll.ciqfunctions.udf.CIQ($C$2, "IQ_ST_NOTE_RECEIV", P$6,$F$2,,,Ccy,Conv)</f>
        <v>0</v>
      </c>
      <c r="O286" s="198"/>
      <c r="P286" s="198"/>
      <c r="Q286" s="198"/>
      <c r="R286" s="198"/>
      <c r="S286" s="198"/>
      <c r="T286" s="216"/>
      <c r="U286" s="216"/>
      <c r="V286" s="216"/>
      <c r="W286" s="215"/>
      <c r="X286" s="215"/>
      <c r="Y286" s="215"/>
      <c r="Z286" s="215"/>
      <c r="AA286" s="215"/>
      <c r="AB286" s="215"/>
      <c r="AC286" s="198"/>
      <c r="AD286" s="198"/>
      <c r="AE286" s="198"/>
      <c r="AF286" s="215"/>
      <c r="AG286" s="198"/>
      <c r="AH286" s="198"/>
      <c r="AI286" s="198"/>
      <c r="AJ286" s="198"/>
      <c r="AK286" s="198"/>
      <c r="AL286" s="198"/>
      <c r="AM286" s="198"/>
      <c r="AN286" s="198"/>
      <c r="AO286" s="198"/>
      <c r="AP286" s="198"/>
      <c r="AQ286" s="198"/>
      <c r="AR286" s="198"/>
      <c r="AS286" s="198"/>
      <c r="AT286" s="198"/>
      <c r="AU286" s="198"/>
      <c r="AV286" s="198"/>
      <c r="AW286" s="198"/>
      <c r="AX286" s="198"/>
      <c r="AY286" s="198"/>
      <c r="AZ286" s="198"/>
      <c r="BA286" s="198"/>
      <c r="BB286" s="198"/>
      <c r="BC286" s="198"/>
      <c r="BD286" s="198"/>
      <c r="BE286" s="198"/>
      <c r="BF286" s="198"/>
      <c r="BG286" s="198"/>
      <c r="BH286" s="198"/>
      <c r="BI286" s="198"/>
      <c r="BJ286" s="198"/>
      <c r="BK286" s="198"/>
      <c r="BL286" s="198"/>
      <c r="BM286" s="198"/>
      <c r="BN286" s="198"/>
      <c r="BO286" s="198"/>
      <c r="BP286" s="198"/>
      <c r="BQ286" s="198"/>
      <c r="BR286" s="198"/>
      <c r="BS286" s="198"/>
      <c r="BT286" s="198"/>
      <c r="BU286" s="198"/>
      <c r="BV286" s="198"/>
      <c r="BW286" s="198"/>
      <c r="BX286" s="198"/>
    </row>
    <row r="287" spans="1:76" x14ac:dyDescent="0.25">
      <c r="A287" s="19" t="str">
        <f>'Language Index'!A308</f>
        <v>Total Receivables</v>
      </c>
      <c r="B287" s="20">
        <f>_xll.ciqfunctions.udf.CIQ($C$2, "IQ_TOTAL_RECEIV", D$6,$F$2,,,Ccy,Conv)</f>
        <v>11996</v>
      </c>
      <c r="C287" s="20">
        <f>_xll.ciqfunctions.udf.CIQ($C$2, "IQ_TOTAL_RECEIV", E$6,$F$2,,,Ccy,Conv)</f>
        <v>9534</v>
      </c>
      <c r="D287" s="20">
        <f>_xll.ciqfunctions.udf.CIQ($C$2, "IQ_TOTAL_RECEIV", F$6,$F$2,,,Ccy,Conv)</f>
        <v>10239</v>
      </c>
      <c r="E287" s="20">
        <f>_xll.ciqfunctions.udf.CIQ($C$2, "IQ_TOTAL_RECEIV", G$6,$F$2,,,Ccy,Conv)</f>
        <v>10380</v>
      </c>
      <c r="F287" s="20">
        <f>_xll.ciqfunctions.udf.CIQ($C$2, "IQ_TOTAL_RECEIV", H$6,$F$2,,,Ccy,Conv)</f>
        <v>8645</v>
      </c>
      <c r="G287" s="20">
        <f>_xll.ciqfunctions.udf.CIQ($C$2, "IQ_TOTAL_RECEIV", I$6,$F$2,,,Ccy,Conv)</f>
        <v>10069</v>
      </c>
      <c r="H287" s="20">
        <f>_xll.ciqfunctions.udf.CIQ($C$2, "IQ_TOTAL_RECEIV", J$6,$F$2,,,Ccy,Conv)</f>
        <v>6910</v>
      </c>
      <c r="I287" s="20">
        <f>_xll.ciqfunctions.udf.CIQ($C$2, "IQ_TOTAL_RECEIV", K$6,$F$2,,,Ccy,Conv)</f>
        <v>8225</v>
      </c>
      <c r="J287" s="20">
        <f>_xll.ciqfunctions.udf.CIQ($C$2, "IQ_TOTAL_RECEIV", L$6,$F$2,,,Ccy,Conv)</f>
        <v>7682</v>
      </c>
      <c r="K287" s="20">
        <f>_xll.ciqfunctions.udf.CIQ($C$2, "IQ_TOTAL_RECEIV", M$6,$F$2,,,Ccy,Conv)</f>
        <v>8348</v>
      </c>
      <c r="L287" s="20">
        <f>_xll.ciqfunctions.udf.CIQ($C$2, "IQ_TOTAL_RECEIV", N$6,$F$2,,,Ccy,Conv)</f>
        <v>8155</v>
      </c>
      <c r="M287" s="21"/>
      <c r="N287" s="20">
        <f>_xll.ciqfunctions.udf.CIQ($C$2, "IQ_TOTAL_RECEIV", P$6,$F$2,,,Ccy,Conv)</f>
        <v>8155</v>
      </c>
      <c r="O287" s="198"/>
      <c r="P287" s="198"/>
      <c r="Q287" s="198"/>
      <c r="R287" s="198"/>
      <c r="S287" s="198"/>
      <c r="T287" s="205"/>
      <c r="U287" s="205"/>
      <c r="V287" s="205"/>
      <c r="W287" s="198"/>
      <c r="X287" s="198"/>
      <c r="Y287" s="198"/>
      <c r="Z287" s="198"/>
      <c r="AA287" s="198"/>
      <c r="AB287" s="198"/>
      <c r="AC287" s="198"/>
      <c r="AD287" s="198"/>
      <c r="AE287" s="198"/>
      <c r="AF287" s="198"/>
      <c r="AG287" s="198"/>
      <c r="AH287" s="198"/>
      <c r="AI287" s="198"/>
      <c r="AJ287" s="198"/>
      <c r="AK287" s="198"/>
      <c r="AL287" s="198"/>
      <c r="AM287" s="198"/>
      <c r="AN287" s="198"/>
      <c r="AO287" s="198"/>
      <c r="AP287" s="198"/>
      <c r="AQ287" s="198"/>
      <c r="AR287" s="198"/>
      <c r="AS287" s="198"/>
      <c r="AT287" s="198"/>
      <c r="AU287" s="198"/>
      <c r="AV287" s="198"/>
      <c r="AW287" s="198"/>
      <c r="AX287" s="198"/>
      <c r="AY287" s="198"/>
      <c r="AZ287" s="198"/>
      <c r="BA287" s="198"/>
      <c r="BB287" s="198"/>
      <c r="BC287" s="198"/>
      <c r="BD287" s="198"/>
      <c r="BE287" s="198"/>
      <c r="BF287" s="198"/>
      <c r="BG287" s="198"/>
      <c r="BH287" s="198"/>
      <c r="BI287" s="198"/>
      <c r="BJ287" s="198"/>
      <c r="BK287" s="198"/>
      <c r="BL287" s="198"/>
      <c r="BM287" s="198"/>
      <c r="BN287" s="198"/>
      <c r="BO287" s="198"/>
      <c r="BP287" s="198"/>
      <c r="BQ287" s="198"/>
      <c r="BR287" s="198"/>
      <c r="BS287" s="198"/>
      <c r="BT287" s="198"/>
      <c r="BU287" s="198"/>
      <c r="BV287" s="198"/>
      <c r="BW287" s="198"/>
      <c r="BX287" s="198"/>
    </row>
    <row r="288" spans="1:76" x14ac:dyDescent="0.25">
      <c r="A288" s="2" t="str">
        <f>'Language Index'!A309</f>
        <v>Inventory</v>
      </c>
      <c r="B288" s="18">
        <f>_xll.ciqfunctions.udf.CIQ($C$2, "IQ_INVENTORY", D$6,$F$2,,,Ccy,Conv)</f>
        <v>2103</v>
      </c>
      <c r="C288" s="18">
        <f>_xll.ciqfunctions.udf.CIQ($C$2, "IQ_INVENTORY", E$6,$F$2,,,Ccy,Conv)</f>
        <v>1551</v>
      </c>
      <c r="D288" s="18">
        <f>_xll.ciqfunctions.udf.CIQ($C$2, "IQ_INVENTORY", F$6,$F$2,,,Ccy,Conv)</f>
        <v>1553</v>
      </c>
      <c r="E288" s="18">
        <f>_xll.ciqfunctions.udf.CIQ($C$2, "IQ_INVENTORY", G$6,$F$2,,,Ccy,Conv)</f>
        <v>1583</v>
      </c>
      <c r="F288" s="18">
        <f>_xll.ciqfunctions.udf.CIQ($C$2, "IQ_INVENTORY", H$6,$F$2,,,Ccy,Conv)</f>
        <v>1682</v>
      </c>
      <c r="G288" s="18">
        <f>_xll.ciqfunctions.udf.CIQ($C$2, "IQ_INVENTORY", I$6,$F$2,,,Ccy,Conv)</f>
        <v>1619</v>
      </c>
      <c r="H288" s="18">
        <f>_xll.ciqfunctions.udf.CIQ($C$2, "IQ_INVENTORY", J$6,$F$2,,,Ccy,Conv)</f>
        <v>1812</v>
      </c>
      <c r="I288" s="18">
        <f>_xll.ciqfunctions.udf.CIQ($C$2, "IQ_INVENTORY", K$6,$F$2,,,Ccy,Conv)</f>
        <v>1649</v>
      </c>
      <c r="J288" s="18">
        <f>_xll.ciqfunctions.udf.CIQ($C$2, "IQ_INVENTORY", L$6,$F$2,,,Ccy,Conv)</f>
        <v>1552</v>
      </c>
      <c r="K288" s="18">
        <f>_xll.ciqfunctions.udf.CIQ($C$2, "IQ_INVENTORY", M$6,$F$2,,,Ccy,Conv)</f>
        <v>1161</v>
      </c>
      <c r="L288" s="18">
        <f>_xll.ciqfunctions.udf.CIQ($C$2, "IQ_INVENTORY", N$6,$F$2,,,Ccy,Conv)</f>
        <v>1289</v>
      </c>
      <c r="M288" s="18"/>
      <c r="N288" s="18">
        <f>_xll.ciqfunctions.udf.CIQ($C$2, "IQ_INVENTORY", P$6,$F$2,,,Ccy,Conv)</f>
        <v>1289</v>
      </c>
      <c r="O288" s="198"/>
      <c r="P288" s="198"/>
      <c r="Q288" s="198"/>
      <c r="R288" s="198"/>
      <c r="S288" s="198"/>
      <c r="T288" s="205"/>
      <c r="U288" s="205"/>
      <c r="V288" s="205"/>
      <c r="W288" s="198"/>
      <c r="X288" s="198"/>
      <c r="Y288" s="198"/>
      <c r="Z288" s="198"/>
      <c r="AA288" s="198"/>
      <c r="AB288" s="198"/>
      <c r="AC288" s="198"/>
      <c r="AD288" s="215"/>
      <c r="AE288" s="215"/>
      <c r="AF288" s="198"/>
      <c r="AG288" s="198"/>
      <c r="AH288" s="198"/>
      <c r="AI288" s="198"/>
      <c r="AJ288" s="198"/>
      <c r="AK288" s="198"/>
      <c r="AL288" s="198"/>
      <c r="AM288" s="198"/>
      <c r="AN288" s="198"/>
      <c r="AO288" s="198"/>
      <c r="AP288" s="198"/>
      <c r="AQ288" s="198"/>
      <c r="AR288" s="198"/>
      <c r="AS288" s="198"/>
      <c r="AT288" s="198"/>
      <c r="AU288" s="198"/>
      <c r="AV288" s="198"/>
      <c r="AW288" s="198"/>
      <c r="AX288" s="198"/>
      <c r="AY288" s="198"/>
      <c r="AZ288" s="198"/>
      <c r="BA288" s="198"/>
      <c r="BB288" s="198"/>
      <c r="BC288" s="198"/>
      <c r="BD288" s="198"/>
      <c r="BE288" s="198"/>
      <c r="BF288" s="198"/>
      <c r="BG288" s="198"/>
      <c r="BH288" s="198"/>
      <c r="BI288" s="198"/>
      <c r="BJ288" s="198"/>
      <c r="BK288" s="198"/>
      <c r="BL288" s="198"/>
      <c r="BM288" s="198"/>
      <c r="BN288" s="198"/>
      <c r="BO288" s="198"/>
      <c r="BP288" s="198"/>
      <c r="BQ288" s="198"/>
      <c r="BR288" s="198"/>
      <c r="BS288" s="198"/>
      <c r="BT288" s="198"/>
      <c r="BU288" s="198"/>
      <c r="BV288" s="198"/>
      <c r="BW288" s="198"/>
      <c r="BX288" s="198"/>
    </row>
    <row r="289" spans="1:76" x14ac:dyDescent="0.25">
      <c r="A289" s="2" t="str">
        <f>'Language Index'!A310</f>
        <v>Prepaid Exp.</v>
      </c>
      <c r="B289" s="18">
        <f>_xll.ciqfunctions.udf.CIQ($C$2, "IQ_PREPAID_EXP", D$6,$F$2,,,Ccy,Conv)</f>
        <v>4216</v>
      </c>
      <c r="C289" s="18">
        <f>_xll.ciqfunctions.udf.CIQ($C$2, "IQ_PREPAID_EXP", E$6,$F$2,,,Ccy,Conv)</f>
        <v>3912</v>
      </c>
      <c r="D289" s="18">
        <f>_xll.ciqfunctions.udf.CIQ($C$2, "IQ_PREPAID_EXP", F$6,$F$2,,,Ccy,Conv)</f>
        <v>4032</v>
      </c>
      <c r="E289" s="18">
        <f>_xll.ciqfunctions.udf.CIQ($C$2, "IQ_PREPAID_EXP", G$6,$F$2,,,Ccy,Conv)</f>
        <v>1203</v>
      </c>
      <c r="F289" s="18">
        <f>_xll.ciqfunctions.udf.CIQ($C$2, "IQ_PREPAID_EXP", H$6,$F$2,,,Ccy,Conv)</f>
        <v>1523</v>
      </c>
      <c r="G289" s="18">
        <f>_xll.ciqfunctions.udf.CIQ($C$2, "IQ_PREPAID_EXP", I$6,$F$2,,,Ccy,Conv)</f>
        <v>1460</v>
      </c>
      <c r="H289" s="18">
        <f>_xll.ciqfunctions.udf.CIQ($C$2, "IQ_PREPAID_EXP", J$6,$F$2,,,Ccy,Conv)</f>
        <v>1579</v>
      </c>
      <c r="I289" s="18">
        <f>_xll.ciqfunctions.udf.CIQ($C$2, "IQ_PREPAID_EXP", K$6,$F$2,,,Ccy,Conv)</f>
        <v>1830</v>
      </c>
      <c r="J289" s="18">
        <f>_xll.ciqfunctions.udf.CIQ($C$2, "IQ_PREPAID_EXP", L$6,$F$2,,,Ccy,Conv)</f>
        <v>1876</v>
      </c>
      <c r="K289" s="18">
        <f>_xll.ciqfunctions.udf.CIQ($C$2, "IQ_PREPAID_EXP", M$6,$F$2,,,Ccy,Conv)</f>
        <v>1768</v>
      </c>
      <c r="L289" s="18">
        <f>_xll.ciqfunctions.udf.CIQ($C$2, "IQ_PREPAID_EXP", N$6,$F$2,,,Ccy,Conv)</f>
        <v>1512</v>
      </c>
      <c r="M289" s="18"/>
      <c r="N289" s="18">
        <f>_xll.ciqfunctions.udf.CIQ($C$2, "IQ_PREPAID_EXP", P$6,$F$2,,,Ccy,Conv)</f>
        <v>1512</v>
      </c>
      <c r="O289" s="198"/>
      <c r="P289" s="198"/>
      <c r="Q289" s="198"/>
      <c r="R289" s="198"/>
      <c r="S289" s="198"/>
      <c r="T289" s="205"/>
      <c r="U289" s="205"/>
      <c r="V289" s="205"/>
      <c r="W289" s="198"/>
      <c r="X289" s="198"/>
      <c r="Y289" s="198"/>
      <c r="Z289" s="198"/>
      <c r="AA289" s="198"/>
      <c r="AB289" s="198"/>
      <c r="AC289" s="198"/>
      <c r="AD289" s="198"/>
      <c r="AE289" s="198"/>
      <c r="AF289" s="198"/>
      <c r="AG289" s="198"/>
      <c r="AH289" s="198"/>
      <c r="AI289" s="198"/>
      <c r="AJ289" s="198"/>
      <c r="AK289" s="198"/>
      <c r="AL289" s="198"/>
      <c r="AM289" s="198"/>
      <c r="AN289" s="198"/>
      <c r="AO289" s="198"/>
      <c r="AP289" s="198"/>
      <c r="AQ289" s="198"/>
      <c r="AR289" s="198"/>
      <c r="AS289" s="198"/>
      <c r="AT289" s="198"/>
      <c r="AU289" s="198"/>
      <c r="AV289" s="198"/>
      <c r="AW289" s="198"/>
      <c r="AX289" s="198"/>
      <c r="AY289" s="198"/>
      <c r="AZ289" s="198"/>
      <c r="BA289" s="198"/>
      <c r="BB289" s="198"/>
      <c r="BC289" s="198"/>
      <c r="BD289" s="198"/>
      <c r="BE289" s="198"/>
      <c r="BF289" s="198"/>
      <c r="BG289" s="198"/>
      <c r="BH289" s="198"/>
      <c r="BI289" s="198"/>
      <c r="BJ289" s="198"/>
      <c r="BK289" s="198"/>
      <c r="BL289" s="198"/>
      <c r="BM289" s="198"/>
      <c r="BN289" s="198"/>
      <c r="BO289" s="198"/>
      <c r="BP289" s="198"/>
      <c r="BQ289" s="198"/>
      <c r="BR289" s="198"/>
      <c r="BS289" s="198"/>
      <c r="BT289" s="198"/>
      <c r="BU289" s="198"/>
      <c r="BV289" s="198"/>
      <c r="BW289" s="198"/>
      <c r="BX289" s="198"/>
    </row>
    <row r="290" spans="1:76" x14ac:dyDescent="0.25">
      <c r="A290" s="2" t="str">
        <f>'Language Index'!A311</f>
        <v>Finance Div. Loans and Leases, ST</v>
      </c>
      <c r="B290" s="18">
        <f>_xll.ciqfunctions.udf.CIQ($C$2, "IQ_FIN_DIV_LOANS_CURRENT", D$6,$F$2,,,Ccy,Conv)</f>
        <v>19835</v>
      </c>
      <c r="C290" s="18">
        <f>_xll.ciqfunctions.udf.CIQ($C$2, "IQ_FIN_DIV_LOANS_CURRENT", E$6,$F$2,,,Ccy,Conv)</f>
        <v>19020</v>
      </c>
      <c r="D290" s="18">
        <f>_xll.ciqfunctions.udf.CIQ($C$2, "IQ_FIN_DIV_LOANS_CURRENT", F$6,$F$2,,,Ccy,Conv)</f>
        <v>19006</v>
      </c>
      <c r="E290" s="18">
        <f>_xll.ciqfunctions.udf.CIQ($C$2, "IQ_FIN_DIV_LOANS_CURRENT", G$6,$F$2,,,Ccy,Conv)</f>
        <v>21721</v>
      </c>
      <c r="F290" s="18">
        <f>_xll.ciqfunctions.udf.CIQ($C$2, "IQ_FIN_DIV_LOANS_CURRENT", H$6,$F$2,,,Ccy,Conv)</f>
        <v>22388</v>
      </c>
      <c r="G290" s="18">
        <f>_xll.ciqfunctions.udf.CIQ($C$2, "IQ_FIN_DIV_LOANS_CURRENT", I$6,$F$2,,,Ccy,Conv)</f>
        <v>14192</v>
      </c>
      <c r="H290" s="18">
        <f>_xll.ciqfunctions.udf.CIQ($C$2, "IQ_FIN_DIV_LOANS_CURRENT", J$6,$F$2,,,Ccy,Conv)</f>
        <v>10509</v>
      </c>
      <c r="I290" s="18">
        <f>_xll.ciqfunctions.udf.CIQ($C$2, "IQ_FIN_DIV_LOANS_CURRENT", K$6,$F$2,,,Ccy,Conv)</f>
        <v>7221</v>
      </c>
      <c r="J290" s="18">
        <f>_xll.ciqfunctions.udf.CIQ($C$2, "IQ_FIN_DIV_LOANS_CURRENT", L$6,$F$2,,,Ccy,Conv)</f>
        <v>6851</v>
      </c>
      <c r="K290" s="18">
        <f>_xll.ciqfunctions.udf.CIQ($C$2, "IQ_FIN_DIV_LOANS_CURRENT", M$6,$F$2,,,Ccy,Conv)</f>
        <v>6102</v>
      </c>
      <c r="L290" s="18">
        <f>_xll.ciqfunctions.udf.CIQ($C$2, "IQ_FIN_DIV_LOANS_CURRENT", N$6,$F$2,,,Ccy,Conv)</f>
        <v>6259</v>
      </c>
      <c r="M290" s="18"/>
      <c r="N290" s="18">
        <f>_xll.ciqfunctions.udf.CIQ($C$2, "IQ_FIN_DIV_LOANS_CURRENT", P$6,$F$2,,,Ccy,Conv)</f>
        <v>6259</v>
      </c>
      <c r="O290" s="215"/>
      <c r="P290" s="198"/>
      <c r="Q290" s="198"/>
      <c r="R290" s="198"/>
      <c r="S290" s="198"/>
      <c r="T290" s="205"/>
      <c r="U290" s="205"/>
      <c r="V290" s="205"/>
      <c r="W290" s="198"/>
      <c r="X290" s="198"/>
      <c r="Y290" s="198"/>
      <c r="Z290" s="198"/>
      <c r="AA290" s="198"/>
      <c r="AB290" s="198"/>
      <c r="AC290" s="198"/>
      <c r="AD290" s="198"/>
      <c r="AE290" s="198"/>
      <c r="AF290" s="198"/>
      <c r="AG290" s="198"/>
      <c r="AH290" s="198"/>
      <c r="AI290" s="198"/>
      <c r="AJ290" s="198"/>
      <c r="AK290" s="198"/>
      <c r="AL290" s="198"/>
      <c r="AM290" s="198"/>
      <c r="AN290" s="198"/>
      <c r="AO290" s="198"/>
      <c r="AP290" s="198"/>
      <c r="AQ290" s="198"/>
      <c r="AR290" s="198"/>
      <c r="AS290" s="198"/>
      <c r="AT290" s="198"/>
      <c r="AU290" s="198"/>
      <c r="AV290" s="198"/>
      <c r="AW290" s="198"/>
      <c r="AX290" s="198"/>
      <c r="AY290" s="198"/>
      <c r="AZ290" s="198"/>
      <c r="BA290" s="198"/>
      <c r="BB290" s="198"/>
      <c r="BC290" s="198"/>
      <c r="BD290" s="198"/>
      <c r="BE290" s="198"/>
      <c r="BF290" s="198"/>
      <c r="BG290" s="198"/>
      <c r="BH290" s="198"/>
      <c r="BI290" s="198"/>
      <c r="BJ290" s="198"/>
      <c r="BK290" s="198"/>
      <c r="BL290" s="198"/>
      <c r="BM290" s="198"/>
      <c r="BN290" s="198"/>
      <c r="BO290" s="198"/>
      <c r="BP290" s="198"/>
      <c r="BQ290" s="198"/>
      <c r="BR290" s="198"/>
      <c r="BS290" s="198"/>
      <c r="BT290" s="198"/>
      <c r="BU290" s="198"/>
      <c r="BV290" s="198"/>
      <c r="BW290" s="198"/>
      <c r="BX290" s="198"/>
    </row>
    <row r="291" spans="1:76" x14ac:dyDescent="0.25">
      <c r="A291" s="2" t="str">
        <f>'Language Index'!A312</f>
        <v>Finance Div. Other Curr. Assets</v>
      </c>
      <c r="B291" s="18">
        <f>_xll.ciqfunctions.udf.CIQ($C$2, "IQ_FIN_DIV_ASSETS_CURRENT", D$6,$F$2,,,Ccy,Conv)</f>
        <v>0</v>
      </c>
      <c r="C291" s="18">
        <f>_xll.ciqfunctions.udf.CIQ($C$2, "IQ_FIN_DIV_ASSETS_CURRENT", E$6,$F$2,,,Ccy,Conv)</f>
        <v>0</v>
      </c>
      <c r="D291" s="18">
        <f>_xll.ciqfunctions.udf.CIQ($C$2, "IQ_FIN_DIV_ASSETS_CURRENT", F$6,$F$2,,,Ccy,Conv)</f>
        <v>0</v>
      </c>
      <c r="E291" s="18">
        <f>_xll.ciqfunctions.udf.CIQ($C$2, "IQ_FIN_DIV_ASSETS_CURRENT", G$6,$F$2,,,Ccy,Conv)</f>
        <v>0</v>
      </c>
      <c r="F291" s="18">
        <f>_xll.ciqfunctions.udf.CIQ($C$2, "IQ_FIN_DIV_ASSETS_CURRENT", H$6,$F$2,,,Ccy,Conv)</f>
        <v>0</v>
      </c>
      <c r="G291" s="18">
        <f>_xll.ciqfunctions.udf.CIQ($C$2, "IQ_FIN_DIV_ASSETS_CURRENT", I$6,$F$2,,,Ccy,Conv)</f>
        <v>0</v>
      </c>
      <c r="H291" s="18">
        <f>_xll.ciqfunctions.udf.CIQ($C$2, "IQ_FIN_DIV_ASSETS_CURRENT", J$6,$F$2,,,Ccy,Conv)</f>
        <v>383</v>
      </c>
      <c r="I291" s="18">
        <f>_xll.ciqfunctions.udf.CIQ($C$2, "IQ_FIN_DIV_ASSETS_CURRENT", K$6,$F$2,,,Ccy,Conv)</f>
        <v>793</v>
      </c>
      <c r="J291" s="18">
        <f>_xll.ciqfunctions.udf.CIQ($C$2, "IQ_FIN_DIV_ASSETS_CURRENT", L$6,$F$2,,,Ccy,Conv)</f>
        <v>939</v>
      </c>
      <c r="K291" s="18">
        <f>_xll.ciqfunctions.udf.CIQ($C$2, "IQ_FIN_DIV_ASSETS_CURRENT", M$6,$F$2,,,Ccy,Conv)</f>
        <v>692</v>
      </c>
      <c r="L291" s="18">
        <f>_xll.ciqfunctions.udf.CIQ($C$2, "IQ_FIN_DIV_ASSETS_CURRENT", N$6,$F$2,,,Ccy,Conv)</f>
        <v>900</v>
      </c>
      <c r="M291" s="18"/>
      <c r="N291" s="18">
        <f>_xll.ciqfunctions.udf.CIQ($C$2, "IQ_FIN_DIV_ASSETS_CURRENT", P$6,$F$2,,,Ccy,Conv)</f>
        <v>900</v>
      </c>
      <c r="O291" s="198"/>
      <c r="P291" s="198"/>
      <c r="Q291" s="198"/>
      <c r="R291" s="198"/>
      <c r="S291" s="198"/>
      <c r="T291" s="205"/>
      <c r="U291" s="205"/>
      <c r="V291" s="205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198"/>
      <c r="AJ291" s="198"/>
      <c r="AK291" s="198"/>
      <c r="AL291" s="198"/>
      <c r="AM291" s="198"/>
      <c r="AN291" s="198"/>
      <c r="AO291" s="198"/>
      <c r="AP291" s="198"/>
      <c r="AQ291" s="198"/>
      <c r="AR291" s="198"/>
      <c r="AS291" s="198"/>
      <c r="AT291" s="198"/>
      <c r="AU291" s="198"/>
      <c r="AV291" s="198"/>
      <c r="AW291" s="198"/>
      <c r="AX291" s="198"/>
      <c r="AY291" s="198"/>
      <c r="AZ291" s="198"/>
      <c r="BA291" s="198"/>
      <c r="BB291" s="198"/>
      <c r="BC291" s="198"/>
      <c r="BD291" s="198"/>
      <c r="BE291" s="198"/>
      <c r="BF291" s="198"/>
      <c r="BG291" s="198"/>
      <c r="BH291" s="198"/>
      <c r="BI291" s="198"/>
      <c r="BJ291" s="198"/>
      <c r="BK291" s="198"/>
      <c r="BL291" s="198"/>
      <c r="BM291" s="198"/>
      <c r="BN291" s="198"/>
      <c r="BO291" s="198"/>
      <c r="BP291" s="198"/>
      <c r="BQ291" s="198"/>
      <c r="BR291" s="198"/>
      <c r="BS291" s="198"/>
      <c r="BT291" s="198"/>
      <c r="BU291" s="198"/>
      <c r="BV291" s="198"/>
      <c r="BW291" s="198"/>
      <c r="BX291" s="198"/>
    </row>
    <row r="292" spans="1:76" x14ac:dyDescent="0.25">
      <c r="A292" s="2" t="str">
        <f>'Language Index'!A313</f>
        <v>Loans Held For Sale</v>
      </c>
      <c r="B292" s="18">
        <f>_xll.ciqfunctions.udf.CIQ($C$2, "IQ_LOANS_FOR_SALE", D$6,$F$2,,,Ccy,Conv)</f>
        <v>0</v>
      </c>
      <c r="C292" s="18">
        <f>_xll.ciqfunctions.udf.CIQ($C$2, "IQ_LOANS_FOR_SALE", E$6,$F$2,,,Ccy,Conv)</f>
        <v>0</v>
      </c>
      <c r="D292" s="18">
        <f>_xll.ciqfunctions.udf.CIQ($C$2, "IQ_LOANS_FOR_SALE", F$6,$F$2,,,Ccy,Conv)</f>
        <v>0</v>
      </c>
      <c r="E292" s="18">
        <f>_xll.ciqfunctions.udf.CIQ($C$2, "IQ_LOANS_FOR_SALE", G$6,$F$2,,,Ccy,Conv)</f>
        <v>0</v>
      </c>
      <c r="F292" s="18">
        <f>_xll.ciqfunctions.udf.CIQ($C$2, "IQ_LOANS_FOR_SALE", H$6,$F$2,,,Ccy,Conv)</f>
        <v>0</v>
      </c>
      <c r="G292" s="18">
        <f>_xll.ciqfunctions.udf.CIQ($C$2, "IQ_LOANS_FOR_SALE", I$6,$F$2,,,Ccy,Conv)</f>
        <v>0</v>
      </c>
      <c r="H292" s="18">
        <f>_xll.ciqfunctions.udf.CIQ($C$2, "IQ_LOANS_FOR_SALE", J$6,$F$2,,,Ccy,Conv)</f>
        <v>0</v>
      </c>
      <c r="I292" s="18">
        <f>_xll.ciqfunctions.udf.CIQ($C$2, "IQ_LOANS_FOR_SALE", K$6,$F$2,,,Ccy,Conv)</f>
        <v>0</v>
      </c>
      <c r="J292" s="18">
        <f>_xll.ciqfunctions.udf.CIQ($C$2, "IQ_LOANS_FOR_SALE", L$6,$F$2,,,Ccy,Conv)</f>
        <v>0</v>
      </c>
      <c r="K292" s="18">
        <f>_xll.ciqfunctions.udf.CIQ($C$2, "IQ_LOANS_FOR_SALE", M$6,$F$2,,,Ccy,Conv)</f>
        <v>0</v>
      </c>
      <c r="L292" s="18">
        <f>_xll.ciqfunctions.udf.CIQ($C$2, "IQ_LOANS_FOR_SALE", N$6,$F$2,,,Ccy,Conv)</f>
        <v>0</v>
      </c>
      <c r="M292" s="18"/>
      <c r="N292" s="18">
        <f>_xll.ciqfunctions.udf.CIQ($C$2, "IQ_LOANS_FOR_SALE", P$6,$F$2,,,Ccy,Conv)</f>
        <v>0</v>
      </c>
      <c r="O292" s="215"/>
      <c r="P292" s="198"/>
      <c r="Q292" s="198"/>
      <c r="R292" s="198"/>
      <c r="S292" s="198"/>
      <c r="T292" s="205"/>
      <c r="U292" s="205"/>
      <c r="V292" s="205"/>
      <c r="W292" s="198"/>
      <c r="X292" s="198"/>
      <c r="Y292" s="198"/>
      <c r="Z292" s="198"/>
      <c r="AA292" s="198"/>
      <c r="AB292" s="198"/>
      <c r="AC292" s="198"/>
      <c r="AD292" s="198"/>
      <c r="AE292" s="198"/>
      <c r="AF292" s="198"/>
      <c r="AG292" s="198"/>
      <c r="AH292" s="198"/>
      <c r="AI292" s="198"/>
      <c r="AJ292" s="198"/>
      <c r="AK292" s="198"/>
      <c r="AL292" s="198"/>
      <c r="AM292" s="198"/>
      <c r="AN292" s="198"/>
      <c r="AO292" s="198"/>
      <c r="AP292" s="198"/>
      <c r="AQ292" s="198"/>
      <c r="AR292" s="198"/>
      <c r="AS292" s="198"/>
      <c r="AT292" s="198"/>
      <c r="AU292" s="198"/>
      <c r="AV292" s="198"/>
      <c r="AW292" s="198"/>
      <c r="AX292" s="198"/>
      <c r="AY292" s="198"/>
      <c r="AZ292" s="198"/>
      <c r="BA292" s="198"/>
      <c r="BB292" s="198"/>
      <c r="BC292" s="198"/>
      <c r="BD292" s="198"/>
      <c r="BE292" s="198"/>
      <c r="BF292" s="198"/>
      <c r="BG292" s="198"/>
      <c r="BH292" s="198"/>
      <c r="BI292" s="198"/>
      <c r="BJ292" s="198"/>
      <c r="BK292" s="198"/>
      <c r="BL292" s="198"/>
      <c r="BM292" s="198"/>
      <c r="BN292" s="198"/>
      <c r="BO292" s="198"/>
      <c r="BP292" s="198"/>
      <c r="BQ292" s="198"/>
      <c r="BR292" s="198"/>
      <c r="BS292" s="198"/>
      <c r="BT292" s="198"/>
      <c r="BU292" s="198"/>
      <c r="BV292" s="198"/>
      <c r="BW292" s="198"/>
      <c r="BX292" s="198"/>
    </row>
    <row r="293" spans="1:76" x14ac:dyDescent="0.25">
      <c r="A293" s="2" t="str">
        <f>'Language Index'!A314</f>
        <v>Deferred Tax Assets, Curr.</v>
      </c>
      <c r="B293" s="18">
        <f>_xll.ciqfunctions.udf.CIQ($C$2, "IQ_DEF_TAX_ASSETS_CURRENT", D$6,$F$2,,,Ccy,Conv)</f>
        <v>0</v>
      </c>
      <c r="C293" s="18">
        <f>_xll.ciqfunctions.udf.CIQ($C$2, "IQ_DEF_TAX_ASSETS_CURRENT", E$6,$F$2,,,Ccy,Conv)</f>
        <v>0</v>
      </c>
      <c r="D293" s="18">
        <f>_xll.ciqfunctions.udf.CIQ($C$2, "IQ_DEF_TAX_ASSETS_CURRENT", F$6,$F$2,,,Ccy,Conv)</f>
        <v>0</v>
      </c>
      <c r="E293" s="18">
        <f>_xll.ciqfunctions.udf.CIQ($C$2, "IQ_DEF_TAX_ASSETS_CURRENT", G$6,$F$2,,,Ccy,Conv)</f>
        <v>0</v>
      </c>
      <c r="F293" s="18">
        <f>_xll.ciqfunctions.udf.CIQ($C$2, "IQ_DEF_TAX_ASSETS_CURRENT", H$6,$F$2,,,Ccy,Conv)</f>
        <v>0</v>
      </c>
      <c r="G293" s="18">
        <f>_xll.ciqfunctions.udf.CIQ($C$2, "IQ_DEF_TAX_ASSETS_CURRENT", I$6,$F$2,,,Ccy,Conv)</f>
        <v>0</v>
      </c>
      <c r="H293" s="18">
        <f>_xll.ciqfunctions.udf.CIQ($C$2, "IQ_DEF_TAX_ASSETS_CURRENT", J$6,$F$2,,,Ccy,Conv)</f>
        <v>0</v>
      </c>
      <c r="I293" s="18">
        <f>_xll.ciqfunctions.udf.CIQ($C$2, "IQ_DEF_TAX_ASSETS_CURRENT", K$6,$F$2,,,Ccy,Conv)</f>
        <v>0</v>
      </c>
      <c r="J293" s="18">
        <f>_xll.ciqfunctions.udf.CIQ($C$2, "IQ_DEF_TAX_ASSETS_CURRENT", L$6,$F$2,,,Ccy,Conv)</f>
        <v>0</v>
      </c>
      <c r="K293" s="18">
        <f>_xll.ciqfunctions.udf.CIQ($C$2, "IQ_DEF_TAX_ASSETS_CURRENT", M$6,$F$2,,,Ccy,Conv)</f>
        <v>0</v>
      </c>
      <c r="L293" s="18">
        <f>_xll.ciqfunctions.udf.CIQ($C$2, "IQ_DEF_TAX_ASSETS_CURRENT", N$6,$F$2,,,Ccy,Conv)</f>
        <v>0</v>
      </c>
      <c r="M293" s="18"/>
      <c r="N293" s="18">
        <f>_xll.ciqfunctions.udf.CIQ($C$2, "IQ_DEF_TAX_ASSETS_CURRENT", P$6,$F$2,,,Ccy,Conv)</f>
        <v>0</v>
      </c>
      <c r="O293" s="198"/>
      <c r="P293" s="198"/>
      <c r="Q293" s="198"/>
      <c r="R293" s="198"/>
      <c r="S293" s="198"/>
      <c r="T293" s="205"/>
      <c r="U293" s="205"/>
      <c r="V293" s="205"/>
      <c r="W293" s="198"/>
      <c r="X293" s="198"/>
      <c r="Y293" s="198"/>
      <c r="Z293" s="198"/>
      <c r="AA293" s="198"/>
      <c r="AB293" s="198"/>
      <c r="AC293" s="198"/>
      <c r="AD293" s="198"/>
      <c r="AE293" s="198"/>
      <c r="AF293" s="198"/>
      <c r="AG293" s="198"/>
      <c r="AH293" s="198"/>
      <c r="AI293" s="198"/>
      <c r="AJ293" s="198"/>
      <c r="AK293" s="198"/>
      <c r="AL293" s="198"/>
      <c r="AM293" s="198"/>
      <c r="AN293" s="198"/>
      <c r="AO293" s="198"/>
      <c r="AP293" s="198"/>
      <c r="AQ293" s="198"/>
      <c r="AR293" s="198"/>
      <c r="AS293" s="198"/>
      <c r="AT293" s="198"/>
      <c r="AU293" s="198"/>
      <c r="AV293" s="198"/>
      <c r="AW293" s="198"/>
      <c r="AX293" s="198"/>
      <c r="AY293" s="198"/>
      <c r="AZ293" s="198"/>
      <c r="BA293" s="198"/>
      <c r="BB293" s="198"/>
      <c r="BC293" s="198"/>
      <c r="BD293" s="198"/>
      <c r="BE293" s="198"/>
      <c r="BF293" s="198"/>
      <c r="BG293" s="198"/>
      <c r="BH293" s="198"/>
      <c r="BI293" s="198"/>
      <c r="BJ293" s="198"/>
      <c r="BK293" s="198"/>
      <c r="BL293" s="198"/>
      <c r="BM293" s="198"/>
      <c r="BN293" s="198"/>
      <c r="BO293" s="198"/>
      <c r="BP293" s="198"/>
      <c r="BQ293" s="198"/>
      <c r="BR293" s="198"/>
      <c r="BS293" s="198"/>
      <c r="BT293" s="198"/>
      <c r="BU293" s="198"/>
      <c r="BV293" s="198"/>
      <c r="BW293" s="198"/>
      <c r="BX293" s="198"/>
    </row>
    <row r="294" spans="1:76" x14ac:dyDescent="0.25">
      <c r="A294" s="2" t="str">
        <f>'Language Index'!A315</f>
        <v>Restricted Cash</v>
      </c>
      <c r="B294" s="18">
        <f>_xll.ciqfunctions.udf.CIQ($C$2, "IQ_RESTRICTED_CASH", D$6,$F$2,,,Ccy,Conv)</f>
        <v>0</v>
      </c>
      <c r="C294" s="18">
        <f>_xll.ciqfunctions.udf.CIQ($C$2, "IQ_RESTRICTED_CASH", E$6,$F$2,,,Ccy,Conv)</f>
        <v>0</v>
      </c>
      <c r="D294" s="18">
        <f>_xll.ciqfunctions.udf.CIQ($C$2, "IQ_RESTRICTED_CASH", F$6,$F$2,,,Ccy,Conv)</f>
        <v>0</v>
      </c>
      <c r="E294" s="18">
        <f>_xll.ciqfunctions.udf.CIQ($C$2, "IQ_RESTRICTED_CASH", G$6,$F$2,,,Ccy,Conv)</f>
        <v>262</v>
      </c>
      <c r="F294" s="18">
        <f>_xll.ciqfunctions.udf.CIQ($C$2, "IQ_RESTRICTED_CASH", H$6,$F$2,,,Ccy,Conv)</f>
        <v>225</v>
      </c>
      <c r="G294" s="18">
        <f>_xll.ciqfunctions.udf.CIQ($C$2, "IQ_RESTRICTED_CASH", I$6,$F$2,,,Ccy,Conv)</f>
        <v>141</v>
      </c>
      <c r="H294" s="18">
        <f>_xll.ciqfunctions.udf.CIQ($C$2, "IQ_RESTRICTED_CASH", J$6,$F$2,,,Ccy,Conv)</f>
        <v>463</v>
      </c>
      <c r="I294" s="18">
        <f>_xll.ciqfunctions.udf.CIQ($C$2, "IQ_RESTRICTED_CASH", K$6,$F$2,,,Ccy,Conv)</f>
        <v>307</v>
      </c>
      <c r="J294" s="18">
        <f>_xll.ciqfunctions.udf.CIQ($C$2, "IQ_RESTRICTED_CASH", L$6,$F$2,,,Ccy,Conv)</f>
        <v>103</v>
      </c>
      <c r="K294" s="18">
        <f>_xll.ciqfunctions.udf.CIQ($C$2, "IQ_RESTRICTED_CASH", M$6,$F$2,,,Ccy,Conv)</f>
        <v>21</v>
      </c>
      <c r="L294" s="18">
        <f>_xll.ciqfunctions.udf.CIQ($C$2, "IQ_RESTRICTED_CASH", N$6,$F$2,,,Ccy,Conv)</f>
        <v>214</v>
      </c>
      <c r="M294" s="18"/>
      <c r="N294" s="18">
        <f>_xll.ciqfunctions.udf.CIQ($C$2, "IQ_RESTRICTED_CASH", P$6,$F$2,,,Ccy,Conv)</f>
        <v>214</v>
      </c>
      <c r="O294" s="215"/>
      <c r="P294" s="198"/>
      <c r="Q294" s="198"/>
      <c r="R294" s="198"/>
      <c r="S294" s="198"/>
      <c r="T294" s="205"/>
      <c r="U294" s="205"/>
      <c r="V294" s="205"/>
      <c r="W294" s="198"/>
      <c r="X294" s="198"/>
      <c r="Y294" s="198"/>
      <c r="Z294" s="198"/>
      <c r="AA294" s="198"/>
      <c r="AB294" s="198"/>
      <c r="AC294" s="198"/>
      <c r="AD294" s="198"/>
      <c r="AE294" s="198"/>
      <c r="AF294" s="198"/>
      <c r="AG294" s="198"/>
      <c r="AH294" s="198"/>
      <c r="AI294" s="198"/>
      <c r="AJ294" s="198"/>
      <c r="AK294" s="198"/>
      <c r="AL294" s="198"/>
      <c r="AM294" s="198"/>
      <c r="AN294" s="198"/>
      <c r="AO294" s="198"/>
      <c r="AP294" s="198"/>
      <c r="AQ294" s="198"/>
      <c r="AR294" s="198"/>
      <c r="AS294" s="198"/>
      <c r="AT294" s="198"/>
      <c r="AU294" s="198"/>
      <c r="AV294" s="198"/>
      <c r="AW294" s="198"/>
      <c r="AX294" s="198"/>
      <c r="AY294" s="198"/>
      <c r="AZ294" s="198"/>
      <c r="BA294" s="198"/>
      <c r="BB294" s="198"/>
      <c r="BC294" s="198"/>
      <c r="BD294" s="198"/>
      <c r="BE294" s="198"/>
      <c r="BF294" s="198"/>
      <c r="BG294" s="198"/>
      <c r="BH294" s="198"/>
      <c r="BI294" s="198"/>
      <c r="BJ294" s="198"/>
      <c r="BK294" s="198"/>
      <c r="BL294" s="198"/>
      <c r="BM294" s="198"/>
      <c r="BN294" s="198"/>
      <c r="BO294" s="198"/>
      <c r="BP294" s="198"/>
      <c r="BQ294" s="198"/>
      <c r="BR294" s="198"/>
      <c r="BS294" s="198"/>
      <c r="BT294" s="198"/>
      <c r="BU294" s="198"/>
      <c r="BV294" s="198"/>
      <c r="BW294" s="198"/>
      <c r="BX294" s="198"/>
    </row>
    <row r="295" spans="1:76" x14ac:dyDescent="0.25">
      <c r="A295" s="2" t="str">
        <f>'Language Index'!A316</f>
        <v>Other Current Assets</v>
      </c>
      <c r="B295" s="18">
        <f>_xll.ciqfunctions.udf.CIQ($C$2, "IQ_OTHER_CA_SUPPL", D$6,$F$2,,,Ccy,Conv)</f>
        <v>746</v>
      </c>
      <c r="C295" s="18">
        <f>_xll.ciqfunctions.udf.CIQ($C$2, "IQ_OTHER_CA_SUPPL", E$6,$F$2,,,Ccy,Conv)</f>
        <v>293</v>
      </c>
      <c r="D295" s="18">
        <f>_xll.ciqfunctions.udf.CIQ($C$2, "IQ_OTHER_CA_SUPPL", F$6,$F$2,,,Ccy,Conv)</f>
        <v>532</v>
      </c>
      <c r="E295" s="18">
        <f>_xll.ciqfunctions.udf.CIQ($C$2, "IQ_OTHER_CA_SUPPL", G$6,$F$2,,,Ccy,Conv)</f>
        <v>2004</v>
      </c>
      <c r="F295" s="18">
        <f>_xll.ciqfunctions.udf.CIQ($C$2, "IQ_OTHER_CA_SUPPL", H$6,$F$2,,,Ccy,Conv)</f>
        <v>2686</v>
      </c>
      <c r="G295" s="18">
        <f>_xll.ciqfunctions.udf.CIQ($C$2, "IQ_OTHER_CA_SUPPL", I$6,$F$2,,,Ccy,Conv)</f>
        <v>2071</v>
      </c>
      <c r="H295" s="18">
        <f>_xll.ciqfunctions.udf.CIQ($C$2, "IQ_OTHER_CA_SUPPL", J$6,$F$2,,,Ccy,Conv)</f>
        <v>3721</v>
      </c>
      <c r="I295" s="18">
        <f>_xll.ciqfunctions.udf.CIQ($C$2, "IQ_OTHER_CA_SUPPL", K$6,$F$2,,,Ccy,Conv)</f>
        <v>2264</v>
      </c>
      <c r="J295" s="18">
        <f>_xll.ciqfunctions.udf.CIQ($C$2, "IQ_OTHER_CA_SUPPL", L$6,$F$2,,,Ccy,Conv)</f>
        <v>1377</v>
      </c>
      <c r="K295" s="18">
        <f>_xll.ciqfunctions.udf.CIQ($C$2, "IQ_OTHER_CA_SUPPL", M$6,$F$2,,,Ccy,Conv)</f>
        <v>1375</v>
      </c>
      <c r="L295" s="18">
        <f>_xll.ciqfunctions.udf.CIQ($C$2, "IQ_OTHER_CA_SUPPL", N$6,$F$2,,,Ccy,Conv)</f>
        <v>1562</v>
      </c>
      <c r="M295" s="18"/>
      <c r="N295" s="18">
        <f>_xll.ciqfunctions.udf.CIQ($C$2, "IQ_OTHER_CA_SUPPL", P$6,$F$2,,,Ccy,Conv)</f>
        <v>1562</v>
      </c>
      <c r="O295" s="198"/>
      <c r="P295" s="198"/>
      <c r="Q295" s="198"/>
      <c r="R295" s="198"/>
      <c r="S295" s="198"/>
      <c r="T295" s="205"/>
      <c r="U295" s="205"/>
      <c r="V295" s="205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8"/>
      <c r="AG295" s="198"/>
      <c r="AH295" s="198"/>
      <c r="AI295" s="198"/>
      <c r="AJ295" s="198"/>
      <c r="AK295" s="198"/>
      <c r="AL295" s="198"/>
      <c r="AM295" s="198"/>
      <c r="AN295" s="198"/>
      <c r="AO295" s="198"/>
      <c r="AP295" s="198"/>
      <c r="AQ295" s="198"/>
      <c r="AR295" s="198"/>
      <c r="AS295" s="198"/>
      <c r="AT295" s="198"/>
      <c r="AU295" s="198"/>
      <c r="AV295" s="198"/>
      <c r="AW295" s="198"/>
      <c r="AX295" s="198"/>
      <c r="AY295" s="198"/>
      <c r="AZ295" s="198"/>
      <c r="BA295" s="198"/>
      <c r="BB295" s="198"/>
      <c r="BC295" s="198"/>
      <c r="BD295" s="198"/>
      <c r="BE295" s="198"/>
      <c r="BF295" s="198"/>
      <c r="BG295" s="198"/>
      <c r="BH295" s="198"/>
      <c r="BI295" s="198"/>
      <c r="BJ295" s="198"/>
      <c r="BK295" s="198"/>
      <c r="BL295" s="198"/>
      <c r="BM295" s="198"/>
      <c r="BN295" s="198"/>
      <c r="BO295" s="198"/>
      <c r="BP295" s="198"/>
      <c r="BQ295" s="198"/>
      <c r="BR295" s="198"/>
      <c r="BS295" s="198"/>
      <c r="BT295" s="198"/>
      <c r="BU295" s="198"/>
      <c r="BV295" s="198"/>
      <c r="BW295" s="198"/>
      <c r="BX295" s="198"/>
    </row>
    <row r="296" spans="1:76" x14ac:dyDescent="0.25">
      <c r="A296" s="19" t="str">
        <f>'Language Index'!A317</f>
        <v>Total Current Assets</v>
      </c>
      <c r="B296" s="20">
        <f>_xll.ciqfunctions.udf.CIQ($C$2, "IQ_TOTAL_CA", D$6,$F$2,,,Ccy,Conv)</f>
        <v>47377</v>
      </c>
      <c r="C296" s="20">
        <f>_xll.ciqfunctions.udf.CIQ($C$2, "IQ_TOTAL_CA", E$6,$F$2,,,Ccy,Conv)</f>
        <v>42504</v>
      </c>
      <c r="D296" s="20">
        <f>_xll.ciqfunctions.udf.CIQ($C$2, "IQ_TOTAL_CA", F$6,$F$2,,,Ccy,Conv)</f>
        <v>43889</v>
      </c>
      <c r="E296" s="20">
        <f>_xll.ciqfunctions.udf.CIQ($C$2, "IQ_TOTAL_CA", G$6,$F$2,,,Ccy,Conv)</f>
        <v>49735</v>
      </c>
      <c r="F296" s="20">
        <f>_xll.ciqfunctions.udf.CIQ($C$2, "IQ_TOTAL_CA", H$6,$F$2,,,Ccy,Conv)</f>
        <v>49146</v>
      </c>
      <c r="G296" s="20">
        <f>_xll.ciqfunctions.udf.CIQ($C$2, "IQ_TOTAL_CA", I$6,$F$2,,,Ccy,Conv)</f>
        <v>38420</v>
      </c>
      <c r="H296" s="20">
        <f>_xll.ciqfunctions.udf.CIQ($C$2, "IQ_TOTAL_CA", J$6,$F$2,,,Ccy,Conv)</f>
        <v>39165</v>
      </c>
      <c r="I296" s="20">
        <f>_xll.ciqfunctions.udf.CIQ($C$2, "IQ_TOTAL_CA", K$6,$F$2,,,Ccy,Conv)</f>
        <v>29539</v>
      </c>
      <c r="J296" s="20">
        <f>_xll.ciqfunctions.udf.CIQ($C$2, "IQ_TOTAL_CA", L$6,$F$2,,,Ccy,Conv)</f>
        <v>29118</v>
      </c>
      <c r="K296" s="20">
        <f>_xll.ciqfunctions.udf.CIQ($C$2, "IQ_TOTAL_CA", M$6,$F$2,,,Ccy,Conv)</f>
        <v>32908</v>
      </c>
      <c r="L296" s="20">
        <f>_xll.ciqfunctions.udf.CIQ($C$2, "IQ_TOTAL_CA", N$6,$F$2,,,Ccy,Conv)</f>
        <v>34482</v>
      </c>
      <c r="M296" s="21"/>
      <c r="N296" s="20">
        <f>_xll.ciqfunctions.udf.CIQ($C$2, "IQ_TOTAL_CA", P$6,$F$2,,,Ccy,Conv)</f>
        <v>34482</v>
      </c>
      <c r="O296" s="215"/>
      <c r="P296" s="198"/>
      <c r="Q296" s="198"/>
      <c r="R296" s="198"/>
      <c r="S296" s="198"/>
      <c r="T296" s="205"/>
      <c r="U296" s="205"/>
      <c r="V296" s="205"/>
      <c r="W296" s="198"/>
      <c r="X296" s="198"/>
      <c r="Y296" s="198"/>
      <c r="Z296" s="198"/>
      <c r="AA296" s="198"/>
      <c r="AB296" s="198"/>
      <c r="AC296" s="198"/>
      <c r="AD296" s="198"/>
      <c r="AE296" s="198"/>
      <c r="AF296" s="198"/>
      <c r="AG296" s="198"/>
      <c r="AH296" s="198"/>
      <c r="AI296" s="198"/>
      <c r="AJ296" s="198"/>
      <c r="AK296" s="198"/>
      <c r="AL296" s="198"/>
      <c r="AM296" s="198"/>
      <c r="AN296" s="198"/>
      <c r="AO296" s="198"/>
      <c r="AP296" s="198"/>
      <c r="AQ296" s="198"/>
      <c r="AR296" s="198"/>
      <c r="AS296" s="198"/>
      <c r="AT296" s="198"/>
      <c r="AU296" s="198"/>
      <c r="AV296" s="198"/>
      <c r="AW296" s="198"/>
      <c r="AX296" s="198"/>
      <c r="AY296" s="198"/>
      <c r="AZ296" s="198"/>
      <c r="BA296" s="198"/>
      <c r="BB296" s="198"/>
      <c r="BC296" s="198"/>
      <c r="BD296" s="198"/>
      <c r="BE296" s="198"/>
      <c r="BF296" s="198"/>
      <c r="BG296" s="198"/>
      <c r="BH296" s="198"/>
      <c r="BI296" s="198"/>
      <c r="BJ296" s="198"/>
      <c r="BK296" s="198"/>
      <c r="BL296" s="198"/>
      <c r="BM296" s="198"/>
      <c r="BN296" s="198"/>
      <c r="BO296" s="198"/>
      <c r="BP296" s="198"/>
      <c r="BQ296" s="198"/>
      <c r="BR296" s="198"/>
      <c r="BS296" s="198"/>
      <c r="BT296" s="198"/>
      <c r="BU296" s="198"/>
      <c r="BV296" s="198"/>
      <c r="BW296" s="198"/>
      <c r="BX296" s="198"/>
    </row>
    <row r="297" spans="1:76" x14ac:dyDescent="0.25">
      <c r="A297" s="2" t="str">
        <f>'Language Index'!A318</f>
        <v>Gross Property, Plant &amp; Equipment</v>
      </c>
      <c r="B297" s="18">
        <f>_xll.ciqfunctions.udf.CIQ($C$2, "IQ_GPPE", D$6,$F$2,,,Ccy,Conv)</f>
        <v>39034</v>
      </c>
      <c r="C297" s="18">
        <f>_xll.ciqfunctions.udf.CIQ($C$2, "IQ_GPPE", E$6,$F$2,,,Ccy,Conv)</f>
        <v>29343</v>
      </c>
      <c r="D297" s="18">
        <f>_xll.ciqfunctions.udf.CIQ($C$2, "IQ_GPPE", F$6,$F$2,,,Ccy,Conv)</f>
        <v>30133</v>
      </c>
      <c r="E297" s="18">
        <f>_xll.ciqfunctions.udf.CIQ($C$2, "IQ_GPPE", G$6,$F$2,,,Ccy,Conv)</f>
        <v>32331</v>
      </c>
      <c r="F297" s="18">
        <f>_xll.ciqfunctions.udf.CIQ($C$2, "IQ_GPPE", H$6,$F$2,,,Ccy,Conv)</f>
        <v>32460</v>
      </c>
      <c r="G297" s="18">
        <f>_xll.ciqfunctions.udf.CIQ($C$2, "IQ_GPPE", I$6,$F$2,,,Ccy,Conv)</f>
        <v>37024</v>
      </c>
      <c r="H297" s="18">
        <f>_xll.ciqfunctions.udf.CIQ($C$2, "IQ_GPPE", J$6,$F$2,,,Ccy,Conv)</f>
        <v>23667</v>
      </c>
      <c r="I297" s="18">
        <f>_xll.ciqfunctions.udf.CIQ($C$2, "IQ_GPPE", K$6,$F$2,,,Ccy,Conv)</f>
        <v>23306</v>
      </c>
      <c r="J297" s="18">
        <f>_xll.ciqfunctions.udf.CIQ($C$2, "IQ_GPPE", L$6,$F$2,,,Ccy,Conv)</f>
        <v>21573</v>
      </c>
      <c r="K297" s="18">
        <f>_xll.ciqfunctions.udf.CIQ($C$2, "IQ_GPPE", M$6,$F$2,,,Ccy,Conv)</f>
        <v>21342</v>
      </c>
      <c r="L297" s="18">
        <f>_xll.ciqfunctions.udf.CIQ($C$2, "IQ_GPPE", N$6,$F$2,,,Ccy,Conv)</f>
        <v>20888</v>
      </c>
      <c r="M297" s="18"/>
      <c r="N297" s="18">
        <f>_xll.ciqfunctions.udf.CIQ($C$2, "IQ_GPPE", P$6,$F$2,,,Ccy,Conv)</f>
        <v>20888</v>
      </c>
      <c r="O297" s="198"/>
      <c r="P297" s="198"/>
      <c r="Q297" s="198"/>
      <c r="R297" s="198"/>
      <c r="S297" s="198"/>
      <c r="T297" s="205"/>
      <c r="U297" s="205"/>
      <c r="V297" s="205"/>
      <c r="W297" s="198"/>
      <c r="X297" s="198"/>
      <c r="Y297" s="198"/>
      <c r="Z297" s="198"/>
      <c r="AA297" s="198"/>
      <c r="AB297" s="198"/>
      <c r="AC297" s="198"/>
      <c r="AD297" s="198"/>
      <c r="AE297" s="198"/>
      <c r="AF297" s="198"/>
      <c r="AG297" s="198"/>
      <c r="AH297" s="198"/>
      <c r="AI297" s="198"/>
      <c r="AJ297" s="198"/>
      <c r="AK297" s="198"/>
      <c r="AL297" s="198"/>
      <c r="AM297" s="198"/>
      <c r="AN297" s="198"/>
      <c r="AO297" s="198"/>
      <c r="AP297" s="198"/>
      <c r="AQ297" s="198"/>
      <c r="AR297" s="198"/>
      <c r="AS297" s="198"/>
      <c r="AT297" s="198"/>
      <c r="AU297" s="198"/>
      <c r="AV297" s="198"/>
      <c r="AW297" s="198"/>
      <c r="AX297" s="198"/>
      <c r="AY297" s="198"/>
      <c r="AZ297" s="198"/>
      <c r="BA297" s="198"/>
      <c r="BB297" s="198"/>
      <c r="BC297" s="198"/>
      <c r="BD297" s="198"/>
      <c r="BE297" s="198"/>
      <c r="BF297" s="198"/>
      <c r="BG297" s="198"/>
      <c r="BH297" s="198"/>
      <c r="BI297" s="198"/>
      <c r="BJ297" s="198"/>
      <c r="BK297" s="198"/>
      <c r="BL297" s="198"/>
      <c r="BM297" s="198"/>
      <c r="BN297" s="198"/>
      <c r="BO297" s="198"/>
      <c r="BP297" s="198"/>
      <c r="BQ297" s="198"/>
      <c r="BR297" s="198"/>
      <c r="BS297" s="198"/>
      <c r="BT297" s="198"/>
      <c r="BU297" s="198"/>
      <c r="BV297" s="198"/>
      <c r="BW297" s="198"/>
      <c r="BX297" s="198"/>
    </row>
    <row r="298" spans="1:76" x14ac:dyDescent="0.25">
      <c r="A298" s="2" t="str">
        <f>'Language Index'!A319</f>
        <v>Accumulated Depreciation</v>
      </c>
      <c r="B298" s="18">
        <f>_xll.ciqfunctions.udf.CIQ($C$2, "IQ_AD", D$6,$F$2,,,Ccy,Conv)</f>
        <v>-28263</v>
      </c>
      <c r="C298" s="18">
        <f>_xll.ciqfunctions.udf.CIQ($C$2, "IQ_AD", E$6,$F$2,,,Ccy,Conv)</f>
        <v>-18616</v>
      </c>
      <c r="D298" s="18">
        <f>_xll.ciqfunctions.udf.CIQ($C$2, "IQ_AD", F$6,$F$2,,,Ccy,Conv)</f>
        <v>-19303</v>
      </c>
      <c r="E298" s="18">
        <f>_xll.ciqfunctions.udf.CIQ($C$2, "IQ_AD", G$6,$F$2,,,Ccy,Conv)</f>
        <v>-21215</v>
      </c>
      <c r="F298" s="18">
        <f>_xll.ciqfunctions.udf.CIQ($C$2, "IQ_AD", H$6,$F$2,,,Ccy,Conv)</f>
        <v>-21668</v>
      </c>
      <c r="G298" s="18">
        <f>_xll.ciqfunctions.udf.CIQ($C$2, "IQ_AD", I$6,$F$2,,,Ccy,Conv)</f>
        <v>-22018</v>
      </c>
      <c r="H298" s="18">
        <f>_xll.ciqfunctions.udf.CIQ($C$2, "IQ_AD", J$6,$F$2,,,Ccy,Conv)</f>
        <v>-13896</v>
      </c>
      <c r="I298" s="18">
        <f>_xll.ciqfunctions.udf.CIQ($C$2, "IQ_AD", K$6,$F$2,,,Ccy,Conv)</f>
        <v>-14390</v>
      </c>
      <c r="J298" s="18">
        <f>_xll.ciqfunctions.udf.CIQ($C$2, "IQ_AD", L$6,$F$2,,,Ccy,Conv)</f>
        <v>-13361</v>
      </c>
      <c r="K298" s="18">
        <f>_xll.ciqfunctions.udf.CIQ($C$2, "IQ_AD", M$6,$F$2,,,Ccy,Conv)</f>
        <v>-12621</v>
      </c>
      <c r="L298" s="18">
        <f>_xll.ciqfunctions.udf.CIQ($C$2, "IQ_AD", N$6,$F$2,,,Ccy,Conv)</f>
        <v>-11959</v>
      </c>
      <c r="M298" s="18"/>
      <c r="N298" s="18">
        <f>_xll.ciqfunctions.udf.CIQ($C$2, "IQ_AD", P$6,$F$2,,,Ccy,Conv)</f>
        <v>-11959</v>
      </c>
      <c r="O298" s="198"/>
      <c r="P298" s="198"/>
      <c r="Q298" s="198"/>
      <c r="R298" s="198"/>
      <c r="S298" s="198"/>
      <c r="T298" s="205"/>
      <c r="U298" s="205"/>
      <c r="V298" s="205"/>
      <c r="W298" s="198"/>
      <c r="X298" s="198"/>
      <c r="Y298" s="198"/>
      <c r="Z298" s="198"/>
      <c r="AA298" s="198"/>
      <c r="AB298" s="198"/>
      <c r="AC298" s="198"/>
      <c r="AD298" s="215"/>
      <c r="AE298" s="215"/>
      <c r="AF298" s="198"/>
      <c r="AG298" s="198"/>
      <c r="AH298" s="198"/>
      <c r="AI298" s="198"/>
      <c r="AJ298" s="198"/>
      <c r="AK298" s="198"/>
      <c r="AL298" s="198"/>
      <c r="AM298" s="198"/>
      <c r="AN298" s="198"/>
      <c r="AO298" s="198"/>
      <c r="AP298" s="198"/>
      <c r="AQ298" s="198"/>
      <c r="AR298" s="198"/>
      <c r="AS298" s="198"/>
      <c r="AT298" s="198"/>
      <c r="AU298" s="198"/>
      <c r="AV298" s="198"/>
      <c r="AW298" s="198"/>
      <c r="AX298" s="198"/>
      <c r="AY298" s="198"/>
      <c r="AZ298" s="198"/>
      <c r="BA298" s="198"/>
      <c r="BB298" s="198"/>
      <c r="BC298" s="198"/>
      <c r="BD298" s="198"/>
      <c r="BE298" s="198"/>
      <c r="BF298" s="198"/>
      <c r="BG298" s="198"/>
      <c r="BH298" s="198"/>
      <c r="BI298" s="198"/>
      <c r="BJ298" s="198"/>
      <c r="BK298" s="198"/>
      <c r="BL298" s="198"/>
      <c r="BM298" s="198"/>
      <c r="BN298" s="198"/>
      <c r="BO298" s="198"/>
      <c r="BP298" s="198"/>
      <c r="BQ298" s="198"/>
      <c r="BR298" s="198"/>
      <c r="BS298" s="198"/>
      <c r="BT298" s="198"/>
      <c r="BU298" s="198"/>
      <c r="BV298" s="198"/>
      <c r="BW298" s="198"/>
      <c r="BX298" s="198"/>
    </row>
    <row r="299" spans="1:76" x14ac:dyDescent="0.25">
      <c r="A299" s="19" t="str">
        <f>'Language Index'!A320</f>
        <v>Net Property, Plant &amp; Equipment</v>
      </c>
      <c r="B299" s="20">
        <f>_xll.ciqfunctions.udf.CIQ($C$2, "IQ_NPPE", D$6,$F$2,,,Ccy,Conv)</f>
        <v>10771</v>
      </c>
      <c r="C299" s="20">
        <f>_xll.ciqfunctions.udf.CIQ($C$2, "IQ_NPPE", E$6,$F$2,,,Ccy,Conv)</f>
        <v>10727</v>
      </c>
      <c r="D299" s="20">
        <f>_xll.ciqfunctions.udf.CIQ($C$2, "IQ_NPPE", F$6,$F$2,,,Ccy,Conv)</f>
        <v>10830</v>
      </c>
      <c r="E299" s="20">
        <f>_xll.ciqfunctions.udf.CIQ($C$2, "IQ_NPPE", G$6,$F$2,,,Ccy,Conv)</f>
        <v>11116</v>
      </c>
      <c r="F299" s="20">
        <f>_xll.ciqfunctions.udf.CIQ($C$2, "IQ_NPPE", H$6,$F$2,,,Ccy,Conv)</f>
        <v>10792</v>
      </c>
      <c r="G299" s="20">
        <f>_xll.ciqfunctions.udf.CIQ($C$2, "IQ_NPPE", I$6,$F$2,,,Ccy,Conv)</f>
        <v>15006</v>
      </c>
      <c r="H299" s="20">
        <f>_xll.ciqfunctions.udf.CIQ($C$2, "IQ_NPPE", J$6,$F$2,,,Ccy,Conv)</f>
        <v>9771</v>
      </c>
      <c r="I299" s="20">
        <f>_xll.ciqfunctions.udf.CIQ($C$2, "IQ_NPPE", K$6,$F$2,,,Ccy,Conv)</f>
        <v>8916</v>
      </c>
      <c r="J299" s="20">
        <f>_xll.ciqfunctions.udf.CIQ($C$2, "IQ_NPPE", L$6,$F$2,,,Ccy,Conv)</f>
        <v>8212</v>
      </c>
      <c r="K299" s="20">
        <f>_xll.ciqfunctions.udf.CIQ($C$2, "IQ_NPPE", M$6,$F$2,,,Ccy,Conv)</f>
        <v>8721</v>
      </c>
      <c r="L299" s="20">
        <f>_xll.ciqfunctions.udf.CIQ($C$2, "IQ_NPPE", N$6,$F$2,,,Ccy,Conv)</f>
        <v>8929</v>
      </c>
      <c r="M299" s="21"/>
      <c r="N299" s="20">
        <f>_xll.ciqfunctions.udf.CIQ($C$2, "IQ_NPPE", P$6,$F$2,,,Ccy,Conv)</f>
        <v>8929</v>
      </c>
      <c r="O299" s="198"/>
      <c r="P299" s="198"/>
      <c r="Q299" s="198"/>
      <c r="R299" s="198"/>
      <c r="S299" s="198"/>
      <c r="T299" s="216"/>
      <c r="U299" s="216"/>
      <c r="V299" s="216"/>
      <c r="W299" s="215"/>
      <c r="X299" s="215"/>
      <c r="Y299" s="215"/>
      <c r="Z299" s="215"/>
      <c r="AA299" s="215"/>
      <c r="AB299" s="215"/>
      <c r="AC299" s="198"/>
      <c r="AD299" s="198"/>
      <c r="AE299" s="198"/>
      <c r="AF299" s="215"/>
      <c r="AG299" s="198"/>
      <c r="AH299" s="198"/>
      <c r="AI299" s="198"/>
      <c r="AJ299" s="198"/>
      <c r="AK299" s="198"/>
      <c r="AL299" s="198"/>
      <c r="AM299" s="198"/>
      <c r="AN299" s="198"/>
      <c r="AO299" s="198"/>
      <c r="AP299" s="198"/>
      <c r="AQ299" s="198"/>
      <c r="AR299" s="198"/>
      <c r="AS299" s="198"/>
      <c r="AT299" s="198"/>
      <c r="AU299" s="198"/>
      <c r="AV299" s="198"/>
      <c r="AW299" s="198"/>
      <c r="AX299" s="198"/>
      <c r="AY299" s="198"/>
      <c r="AZ299" s="198"/>
      <c r="BA299" s="198"/>
      <c r="BB299" s="198"/>
      <c r="BC299" s="198"/>
      <c r="BD299" s="198"/>
      <c r="BE299" s="198"/>
      <c r="BF299" s="198"/>
      <c r="BG299" s="198"/>
      <c r="BH299" s="198"/>
      <c r="BI299" s="198"/>
      <c r="BJ299" s="198"/>
      <c r="BK299" s="198"/>
      <c r="BL299" s="198"/>
      <c r="BM299" s="198"/>
      <c r="BN299" s="198"/>
      <c r="BO299" s="198"/>
      <c r="BP299" s="198"/>
      <c r="BQ299" s="198"/>
      <c r="BR299" s="198"/>
      <c r="BS299" s="198"/>
      <c r="BT299" s="198"/>
      <c r="BU299" s="198"/>
      <c r="BV299" s="198"/>
      <c r="BW299" s="198"/>
      <c r="BX299" s="198"/>
    </row>
    <row r="300" spans="1:76" x14ac:dyDescent="0.25">
      <c r="A300" s="2" t="str">
        <f>'Language Index'!A321</f>
        <v>Long-term Investments</v>
      </c>
      <c r="B300" s="18">
        <f>_xll.ciqfunctions.udf.CIQ($C$2, "IQ_LT_INVEST", D$6,$F$2,,,Ccy,Conv)</f>
        <v>1222</v>
      </c>
      <c r="C300" s="18">
        <f>_xll.ciqfunctions.udf.CIQ($C$2, "IQ_LT_INVEST", E$6,$F$2,,,Ccy,Conv)</f>
        <v>1131</v>
      </c>
      <c r="D300" s="18">
        <f>_xll.ciqfunctions.udf.CIQ($C$2, "IQ_LT_INVEST", F$6,$F$2,,,Ccy,Conv)</f>
        <v>659</v>
      </c>
      <c r="E300" s="18">
        <f>_xll.ciqfunctions.udf.CIQ($C$2, "IQ_LT_INVEST", G$6,$F$2,,,Ccy,Conv)</f>
        <v>581</v>
      </c>
      <c r="F300" s="18">
        <f>_xll.ciqfunctions.udf.CIQ($C$2, "IQ_LT_INVEST", H$6,$F$2,,,Ccy,Conv)</f>
        <v>226</v>
      </c>
      <c r="G300" s="18">
        <f>_xll.ciqfunctions.udf.CIQ($C$2, "IQ_LT_INVEST", I$6,$F$2,,,Ccy,Conv)</f>
        <v>222</v>
      </c>
      <c r="H300" s="18">
        <f>_xll.ciqfunctions.udf.CIQ($C$2, "IQ_LT_INVEST", J$6,$F$2,,,Ccy,Conv)</f>
        <v>216</v>
      </c>
      <c r="I300" s="18">
        <f>_xll.ciqfunctions.udf.CIQ($C$2, "IQ_LT_INVEST", K$6,$F$2,,,Ccy,Conv)</f>
        <v>1783</v>
      </c>
      <c r="J300" s="18">
        <f>_xll.ciqfunctions.udf.CIQ($C$2, "IQ_LT_INVEST", L$6,$F$2,,,Ccy,Conv)</f>
        <v>1610</v>
      </c>
      <c r="K300" s="18">
        <f>_xll.ciqfunctions.udf.CIQ($C$2, "IQ_LT_INVEST", M$6,$F$2,,,Ccy,Conv)</f>
        <v>1589</v>
      </c>
      <c r="L300" s="18">
        <f>_xll.ciqfunctions.udf.CIQ($C$2, "IQ_LT_INVEST", N$6,$F$2,,,Ccy,Conv)</f>
        <v>1691</v>
      </c>
      <c r="M300" s="18"/>
      <c r="N300" s="18">
        <f>_xll.ciqfunctions.udf.CIQ($C$2, "IQ_LT_INVEST", P$6,$F$2,,,Ccy,Conv)</f>
        <v>1691</v>
      </c>
      <c r="O300" s="198"/>
      <c r="P300" s="198"/>
      <c r="Q300" s="198"/>
      <c r="R300" s="198"/>
      <c r="S300" s="198"/>
      <c r="T300" s="205"/>
      <c r="U300" s="205"/>
      <c r="V300" s="205"/>
      <c r="W300" s="198"/>
      <c r="X300" s="198"/>
      <c r="Y300" s="198"/>
      <c r="Z300" s="198"/>
      <c r="AA300" s="198"/>
      <c r="AB300" s="198"/>
      <c r="AC300" s="198"/>
      <c r="AD300" s="198"/>
      <c r="AE300" s="198"/>
      <c r="AF300" s="198"/>
      <c r="AG300" s="198"/>
      <c r="AH300" s="198"/>
      <c r="AI300" s="198"/>
      <c r="AJ300" s="198"/>
      <c r="AK300" s="198"/>
      <c r="AL300" s="198"/>
      <c r="AM300" s="198"/>
      <c r="AN300" s="198"/>
      <c r="AO300" s="198"/>
      <c r="AP300" s="198"/>
      <c r="AQ300" s="198"/>
      <c r="AR300" s="198"/>
      <c r="AS300" s="198"/>
      <c r="AT300" s="198"/>
      <c r="AU300" s="198"/>
      <c r="AV300" s="198"/>
      <c r="AW300" s="198"/>
      <c r="AX300" s="198"/>
      <c r="AY300" s="198"/>
      <c r="AZ300" s="198"/>
      <c r="BA300" s="198"/>
      <c r="BB300" s="198"/>
      <c r="BC300" s="198"/>
      <c r="BD300" s="198"/>
      <c r="BE300" s="198"/>
      <c r="BF300" s="198"/>
      <c r="BG300" s="198"/>
      <c r="BH300" s="198"/>
      <c r="BI300" s="198"/>
      <c r="BJ300" s="198"/>
      <c r="BK300" s="198"/>
      <c r="BL300" s="198"/>
      <c r="BM300" s="198"/>
      <c r="BN300" s="198"/>
      <c r="BO300" s="198"/>
      <c r="BP300" s="198"/>
      <c r="BQ300" s="198"/>
      <c r="BR300" s="198"/>
      <c r="BS300" s="198"/>
      <c r="BT300" s="198"/>
      <c r="BU300" s="198"/>
      <c r="BV300" s="198"/>
      <c r="BW300" s="198"/>
      <c r="BX300" s="198"/>
    </row>
    <row r="301" spans="1:76" x14ac:dyDescent="0.25">
      <c r="A301" s="2" t="str">
        <f>'Language Index'!A322</f>
        <v>Goodwill</v>
      </c>
      <c r="B301" s="18">
        <f>_xll.ciqfunctions.udf.CIQ($C$2, "IQ_GW", D$6,$F$2,,,Ccy,Conv)</f>
        <v>30556</v>
      </c>
      <c r="C301" s="18">
        <f>_xll.ciqfunctions.udf.CIQ($C$2, "IQ_GW", E$6,$F$2,,,Ccy,Conv)</f>
        <v>32021</v>
      </c>
      <c r="D301" s="18">
        <f>_xll.ciqfunctions.udf.CIQ($C$2, "IQ_GW", F$6,$F$2,,,Ccy,Conv)</f>
        <v>36199</v>
      </c>
      <c r="E301" s="18">
        <f>_xll.ciqfunctions.udf.CIQ($C$2, "IQ_GW", G$6,$F$2,,,Ccy,Conv)</f>
        <v>36788</v>
      </c>
      <c r="F301" s="18">
        <f>_xll.ciqfunctions.udf.CIQ($C$2, "IQ_GW", H$6,$F$2,,,Ccy,Conv)</f>
        <v>36265</v>
      </c>
      <c r="G301" s="18">
        <f>_xll.ciqfunctions.udf.CIQ($C$2, "IQ_GW", I$6,$F$2,,,Ccy,Conv)</f>
        <v>58222</v>
      </c>
      <c r="H301" s="18">
        <f>_xll.ciqfunctions.udf.CIQ($C$2, "IQ_GW", J$6,$F$2,,,Ccy,Conv)</f>
        <v>53765</v>
      </c>
      <c r="I301" s="18">
        <f>_xll.ciqfunctions.udf.CIQ($C$2, "IQ_GW", K$6,$F$2,,,Ccy,Conv)</f>
        <v>55643</v>
      </c>
      <c r="J301" s="18">
        <f>_xll.ciqfunctions.udf.CIQ($C$2, "IQ_GW", L$6,$F$2,,,Ccy,Conv)</f>
        <v>55949</v>
      </c>
      <c r="K301" s="18">
        <f>_xll.ciqfunctions.udf.CIQ($C$2, "IQ_GW", M$6,$F$2,,,Ccy,Conv)</f>
        <v>60178</v>
      </c>
      <c r="L301" s="18">
        <f>_xll.ciqfunctions.udf.CIQ($C$2, "IQ_GW", N$6,$F$2,,,Ccy,Conv)</f>
        <v>60706</v>
      </c>
      <c r="M301" s="18"/>
      <c r="N301" s="18">
        <f>_xll.ciqfunctions.udf.CIQ($C$2, "IQ_GW", P$6,$F$2,,,Ccy,Conv)</f>
        <v>60706</v>
      </c>
      <c r="O301" s="198"/>
      <c r="P301" s="198"/>
      <c r="Q301" s="198"/>
      <c r="R301" s="198"/>
      <c r="S301" s="198"/>
      <c r="T301" s="205"/>
      <c r="U301" s="205"/>
      <c r="V301" s="205"/>
      <c r="W301" s="198"/>
      <c r="X301" s="198"/>
      <c r="Y301" s="198"/>
      <c r="Z301" s="198"/>
      <c r="AA301" s="198"/>
      <c r="AB301" s="198"/>
      <c r="AC301" s="198"/>
      <c r="AD301" s="198"/>
      <c r="AE301" s="198"/>
      <c r="AF301" s="198"/>
      <c r="AG301" s="198"/>
      <c r="AH301" s="198"/>
      <c r="AI301" s="198"/>
      <c r="AJ301" s="198"/>
      <c r="AK301" s="198"/>
      <c r="AL301" s="198"/>
      <c r="AM301" s="198"/>
      <c r="AN301" s="198"/>
      <c r="AO301" s="198"/>
      <c r="AP301" s="198"/>
      <c r="AQ301" s="198"/>
      <c r="AR301" s="198"/>
      <c r="AS301" s="198"/>
      <c r="AT301" s="198"/>
      <c r="AU301" s="198"/>
      <c r="AV301" s="198"/>
      <c r="AW301" s="198"/>
      <c r="AX301" s="198"/>
      <c r="AY301" s="198"/>
      <c r="AZ301" s="198"/>
      <c r="BA301" s="198"/>
      <c r="BB301" s="198"/>
      <c r="BC301" s="198"/>
      <c r="BD301" s="198"/>
      <c r="BE301" s="198"/>
      <c r="BF301" s="198"/>
      <c r="BG301" s="198"/>
      <c r="BH301" s="198"/>
      <c r="BI301" s="198"/>
      <c r="BJ301" s="198"/>
      <c r="BK301" s="198"/>
      <c r="BL301" s="198"/>
      <c r="BM301" s="198"/>
      <c r="BN301" s="198"/>
      <c r="BO301" s="198"/>
      <c r="BP301" s="198"/>
      <c r="BQ301" s="198"/>
      <c r="BR301" s="198"/>
      <c r="BS301" s="198"/>
      <c r="BT301" s="198"/>
      <c r="BU301" s="198"/>
      <c r="BV301" s="198"/>
      <c r="BW301" s="198"/>
      <c r="BX301" s="198"/>
    </row>
    <row r="302" spans="1:76" x14ac:dyDescent="0.25">
      <c r="A302" s="2" t="str">
        <f>'Language Index'!A323</f>
        <v>Other Intangibles</v>
      </c>
      <c r="B302" s="18">
        <f>_xll.ciqfunctions.udf.CIQ($C$2, "IQ_OTHER_INTAN", D$6,$F$2,,,Ccy,Conv)</f>
        <v>3104</v>
      </c>
      <c r="C302" s="18">
        <f>_xll.ciqfunctions.udf.CIQ($C$2, "IQ_OTHER_INTAN", E$6,$F$2,,,Ccy,Conv)</f>
        <v>3487</v>
      </c>
      <c r="D302" s="18">
        <f>_xll.ciqfunctions.udf.CIQ($C$2, "IQ_OTHER_INTAN", F$6,$F$2,,,Ccy,Conv)</f>
        <v>4688</v>
      </c>
      <c r="E302" s="18">
        <f>_xll.ciqfunctions.udf.CIQ($C$2, "IQ_OTHER_INTAN", G$6,$F$2,,,Ccy,Conv)</f>
        <v>3742</v>
      </c>
      <c r="F302" s="18">
        <f>_xll.ciqfunctions.udf.CIQ($C$2, "IQ_OTHER_INTAN", H$6,$F$2,,,Ccy,Conv)</f>
        <v>3087</v>
      </c>
      <c r="G302" s="18">
        <f>_xll.ciqfunctions.udf.CIQ($C$2, "IQ_OTHER_INTAN", I$6,$F$2,,,Ccy,Conv)</f>
        <v>15235</v>
      </c>
      <c r="H302" s="18">
        <f>_xll.ciqfunctions.udf.CIQ($C$2, "IQ_OTHER_INTAN", J$6,$F$2,,,Ccy,Conv)</f>
        <v>13739</v>
      </c>
      <c r="I302" s="18">
        <f>_xll.ciqfunctions.udf.CIQ($C$2, "IQ_OTHER_INTAN", K$6,$F$2,,,Ccy,Conv)</f>
        <v>12511</v>
      </c>
      <c r="J302" s="18">
        <f>_xll.ciqfunctions.udf.CIQ($C$2, "IQ_OTHER_INTAN", L$6,$F$2,,,Ccy,Conv)</f>
        <v>11184</v>
      </c>
      <c r="K302" s="18">
        <f>_xll.ciqfunctions.udf.CIQ($C$2, "IQ_OTHER_INTAN", M$6,$F$2,,,Ccy,Conv)</f>
        <v>11036</v>
      </c>
      <c r="L302" s="18">
        <f>_xll.ciqfunctions.udf.CIQ($C$2, "IQ_OTHER_INTAN", N$6,$F$2,,,Ccy,Conv)</f>
        <v>10660</v>
      </c>
      <c r="M302" s="18"/>
      <c r="N302" s="18">
        <f>_xll.ciqfunctions.udf.CIQ($C$2, "IQ_OTHER_INTAN", P$6,$F$2,,,Ccy,Conv)</f>
        <v>10660</v>
      </c>
      <c r="O302" s="198"/>
      <c r="P302" s="198"/>
      <c r="Q302" s="198"/>
      <c r="R302" s="198"/>
      <c r="S302" s="198"/>
      <c r="T302" s="205"/>
      <c r="U302" s="205"/>
      <c r="V302" s="205"/>
      <c r="W302" s="198"/>
      <c r="X302" s="198"/>
      <c r="Y302" s="198"/>
      <c r="Z302" s="198"/>
      <c r="AA302" s="198"/>
      <c r="AB302" s="198"/>
      <c r="AC302" s="198"/>
      <c r="AD302" s="198"/>
      <c r="AE302" s="198"/>
      <c r="AF302" s="198"/>
      <c r="AG302" s="198"/>
      <c r="AH302" s="198"/>
      <c r="AI302" s="198"/>
      <c r="AJ302" s="198"/>
      <c r="AK302" s="198"/>
      <c r="AL302" s="198"/>
      <c r="AM302" s="198"/>
      <c r="AN302" s="198"/>
      <c r="AO302" s="198"/>
      <c r="AP302" s="198"/>
      <c r="AQ302" s="198"/>
      <c r="AR302" s="198"/>
      <c r="AS302" s="198"/>
      <c r="AT302" s="198"/>
      <c r="AU302" s="198"/>
      <c r="AV302" s="198"/>
      <c r="AW302" s="198"/>
      <c r="AX302" s="198"/>
      <c r="AY302" s="198"/>
      <c r="AZ302" s="198"/>
      <c r="BA302" s="198"/>
      <c r="BB302" s="198"/>
      <c r="BC302" s="198"/>
      <c r="BD302" s="198"/>
      <c r="BE302" s="198"/>
      <c r="BF302" s="198"/>
      <c r="BG302" s="198"/>
      <c r="BH302" s="198"/>
      <c r="BI302" s="198"/>
      <c r="BJ302" s="198"/>
      <c r="BK302" s="198"/>
      <c r="BL302" s="198"/>
      <c r="BM302" s="198"/>
      <c r="BN302" s="198"/>
      <c r="BO302" s="198"/>
      <c r="BP302" s="198"/>
      <c r="BQ302" s="198"/>
      <c r="BR302" s="198"/>
      <c r="BS302" s="198"/>
      <c r="BT302" s="198"/>
      <c r="BU302" s="198"/>
      <c r="BV302" s="198"/>
      <c r="BW302" s="198"/>
      <c r="BX302" s="198"/>
    </row>
    <row r="303" spans="1:76" x14ac:dyDescent="0.25">
      <c r="A303" s="2" t="str">
        <f>'Language Index'!A324</f>
        <v>Finance Div. Loans and Leases, LT</v>
      </c>
      <c r="B303" s="18">
        <f>_xll.ciqfunctions.udf.CIQ($C$2, "IQ_FIN_DIV_LOANS_LT", D$6,$F$2,,,Ccy,Conv)</f>
        <v>11109</v>
      </c>
      <c r="C303" s="18">
        <f>_xll.ciqfunctions.udf.CIQ($C$2, "IQ_FIN_DIV_LOANS_LT", E$6,$F$2,,,Ccy,Conv)</f>
        <v>10013</v>
      </c>
      <c r="D303" s="18">
        <f>_xll.ciqfunctions.udf.CIQ($C$2, "IQ_FIN_DIV_LOANS_LT", F$6,$F$2,,,Ccy,Conv)</f>
        <v>9021</v>
      </c>
      <c r="E303" s="18">
        <f>_xll.ciqfunctions.udf.CIQ($C$2, "IQ_FIN_DIV_LOANS_LT", G$6,$F$2,,,Ccy,Conv)</f>
        <v>9550</v>
      </c>
      <c r="F303" s="18">
        <f>_xll.ciqfunctions.udf.CIQ($C$2, "IQ_FIN_DIV_LOANS_LT", H$6,$F$2,,,Ccy,Conv)</f>
        <v>9148</v>
      </c>
      <c r="G303" s="18">
        <f>_xll.ciqfunctions.udf.CIQ($C$2, "IQ_FIN_DIV_LOANS_LT", I$6,$F$2,,,Ccy,Conv)</f>
        <v>8712</v>
      </c>
      <c r="H303" s="18">
        <f>_xll.ciqfunctions.udf.CIQ($C$2, "IQ_FIN_DIV_LOANS_LT", J$6,$F$2,,,Ccy,Conv)</f>
        <v>7086</v>
      </c>
      <c r="I303" s="18">
        <f>_xll.ciqfunctions.udf.CIQ($C$2, "IQ_FIN_DIV_LOANS_LT", K$6,$F$2,,,Ccy,Conv)</f>
        <v>5425</v>
      </c>
      <c r="J303" s="18">
        <f>_xll.ciqfunctions.udf.CIQ($C$2, "IQ_FIN_DIV_LOANS_LT", L$6,$F$2,,,Ccy,Conv)</f>
        <v>5806</v>
      </c>
      <c r="K303" s="18">
        <f>_xll.ciqfunctions.udf.CIQ($C$2, "IQ_FIN_DIV_LOANS_LT", M$6,$F$2,,,Ccy,Conv)</f>
        <v>5766</v>
      </c>
      <c r="L303" s="18">
        <f>_xll.ciqfunctions.udf.CIQ($C$2, "IQ_FIN_DIV_LOANS_LT", N$6,$F$2,,,Ccy,Conv)</f>
        <v>5353</v>
      </c>
      <c r="M303" s="18"/>
      <c r="N303" s="18">
        <f>_xll.ciqfunctions.udf.CIQ($C$2, "IQ_FIN_DIV_LOANS_LT", P$6,$F$2,,,Ccy,Conv)</f>
        <v>5353</v>
      </c>
      <c r="O303" s="198"/>
      <c r="P303" s="198"/>
      <c r="Q303" s="198"/>
      <c r="R303" s="198"/>
      <c r="S303" s="198"/>
      <c r="T303" s="205"/>
      <c r="U303" s="205"/>
      <c r="V303" s="205"/>
      <c r="W303" s="198"/>
      <c r="X303" s="198"/>
      <c r="Y303" s="198"/>
      <c r="Z303" s="198"/>
      <c r="AA303" s="198"/>
      <c r="AB303" s="198"/>
      <c r="AC303" s="198"/>
      <c r="AD303" s="198"/>
      <c r="AE303" s="198"/>
      <c r="AF303" s="198"/>
      <c r="AG303" s="198"/>
      <c r="AH303" s="198"/>
      <c r="AI303" s="198"/>
      <c r="AJ303" s="198"/>
      <c r="AK303" s="198"/>
      <c r="AL303" s="198"/>
      <c r="AM303" s="198"/>
      <c r="AN303" s="198"/>
      <c r="AO303" s="198"/>
      <c r="AP303" s="198"/>
      <c r="AQ303" s="198"/>
      <c r="AR303" s="198"/>
      <c r="AS303" s="198"/>
      <c r="AT303" s="198"/>
      <c r="AU303" s="198"/>
      <c r="AV303" s="198"/>
      <c r="AW303" s="198"/>
      <c r="AX303" s="198"/>
      <c r="AY303" s="198"/>
      <c r="AZ303" s="198"/>
      <c r="BA303" s="198"/>
      <c r="BB303" s="198"/>
      <c r="BC303" s="198"/>
      <c r="BD303" s="198"/>
      <c r="BE303" s="198"/>
      <c r="BF303" s="198"/>
      <c r="BG303" s="198"/>
      <c r="BH303" s="198"/>
      <c r="BI303" s="198"/>
      <c r="BJ303" s="198"/>
      <c r="BK303" s="198"/>
      <c r="BL303" s="198"/>
      <c r="BM303" s="198"/>
      <c r="BN303" s="198"/>
      <c r="BO303" s="198"/>
      <c r="BP303" s="198"/>
      <c r="BQ303" s="198"/>
      <c r="BR303" s="198"/>
      <c r="BS303" s="198"/>
      <c r="BT303" s="198"/>
      <c r="BU303" s="198"/>
      <c r="BV303" s="198"/>
      <c r="BW303" s="198"/>
      <c r="BX303" s="198"/>
    </row>
    <row r="304" spans="1:76" x14ac:dyDescent="0.25">
      <c r="A304" s="2" t="str">
        <f>'Language Index'!A325</f>
        <v>Finance Div. Other LT Assets</v>
      </c>
      <c r="B304" s="18">
        <f>_xll.ciqfunctions.udf.CIQ($C$2, "IQ_FIN_DIV_ASSETS_LT", D$6,$F$2,,,Ccy,Conv)</f>
        <v>0</v>
      </c>
      <c r="C304" s="18">
        <f>_xll.ciqfunctions.udf.CIQ($C$2, "IQ_FIN_DIV_ASSETS_LT", E$6,$F$2,,,Ccy,Conv)</f>
        <v>0</v>
      </c>
      <c r="D304" s="18">
        <f>_xll.ciqfunctions.udf.CIQ($C$2, "IQ_FIN_DIV_ASSETS_LT", F$6,$F$2,,,Ccy,Conv)</f>
        <v>0</v>
      </c>
      <c r="E304" s="18">
        <f>_xll.ciqfunctions.udf.CIQ($C$2, "IQ_FIN_DIV_ASSETS_LT", G$6,$F$2,,,Ccy,Conv)</f>
        <v>0</v>
      </c>
      <c r="F304" s="18">
        <f>_xll.ciqfunctions.udf.CIQ($C$2, "IQ_FIN_DIV_ASSETS_LT", H$6,$F$2,,,Ccy,Conv)</f>
        <v>0</v>
      </c>
      <c r="G304" s="18">
        <f>_xll.ciqfunctions.udf.CIQ($C$2, "IQ_FIN_DIV_ASSETS_LT", I$6,$F$2,,,Ccy,Conv)</f>
        <v>0</v>
      </c>
      <c r="H304" s="18">
        <f>_xll.ciqfunctions.udf.CIQ($C$2, "IQ_FIN_DIV_ASSETS_LT", J$6,$F$2,,,Ccy,Conv)</f>
        <v>0</v>
      </c>
      <c r="I304" s="18">
        <f>_xll.ciqfunctions.udf.CIQ($C$2, "IQ_FIN_DIV_ASSETS_LT", K$6,$F$2,,,Ccy,Conv)</f>
        <v>0</v>
      </c>
      <c r="J304" s="18">
        <f>_xll.ciqfunctions.udf.CIQ($C$2, "IQ_FIN_DIV_ASSETS_LT", L$6,$F$2,,,Ccy,Conv)</f>
        <v>0</v>
      </c>
      <c r="K304" s="18">
        <f>_xll.ciqfunctions.udf.CIQ($C$2, "IQ_FIN_DIV_ASSETS_LT", M$6,$F$2,,,Ccy,Conv)</f>
        <v>0</v>
      </c>
      <c r="L304" s="18">
        <f>_xll.ciqfunctions.udf.CIQ($C$2, "IQ_FIN_DIV_ASSETS_LT", N$6,$F$2,,,Ccy,Conv)</f>
        <v>0</v>
      </c>
      <c r="M304" s="18"/>
      <c r="N304" s="18">
        <f>_xll.ciqfunctions.udf.CIQ($C$2, "IQ_FIN_DIV_ASSETS_LT", P$6,$F$2,,,Ccy,Conv)</f>
        <v>0</v>
      </c>
      <c r="O304" s="215"/>
      <c r="P304" s="198"/>
      <c r="Q304" s="198"/>
      <c r="R304" s="198"/>
      <c r="S304" s="198"/>
      <c r="T304" s="205"/>
      <c r="U304" s="205"/>
      <c r="V304" s="205"/>
      <c r="W304" s="198"/>
      <c r="X304" s="198"/>
      <c r="Y304" s="198"/>
      <c r="Z304" s="198"/>
      <c r="AA304" s="198"/>
      <c r="AB304" s="198"/>
      <c r="AC304" s="198"/>
      <c r="AD304" s="198"/>
      <c r="AE304" s="198"/>
      <c r="AF304" s="198"/>
      <c r="AG304" s="198"/>
      <c r="AH304" s="198"/>
      <c r="AI304" s="198"/>
      <c r="AJ304" s="198"/>
      <c r="AK304" s="198"/>
      <c r="AL304" s="198"/>
      <c r="AM304" s="198"/>
      <c r="AN304" s="198"/>
      <c r="AO304" s="198"/>
      <c r="AP304" s="198"/>
      <c r="AQ304" s="198"/>
      <c r="AR304" s="198"/>
      <c r="AS304" s="198"/>
      <c r="AT304" s="198"/>
      <c r="AU304" s="198"/>
      <c r="AV304" s="198"/>
      <c r="AW304" s="198"/>
      <c r="AX304" s="198"/>
      <c r="AY304" s="198"/>
      <c r="AZ304" s="198"/>
      <c r="BA304" s="198"/>
      <c r="BB304" s="198"/>
      <c r="BC304" s="198"/>
      <c r="BD304" s="198"/>
      <c r="BE304" s="198"/>
      <c r="BF304" s="198"/>
      <c r="BG304" s="198"/>
      <c r="BH304" s="198"/>
      <c r="BI304" s="198"/>
      <c r="BJ304" s="198"/>
      <c r="BK304" s="198"/>
      <c r="BL304" s="198"/>
      <c r="BM304" s="198"/>
      <c r="BN304" s="198"/>
      <c r="BO304" s="198"/>
      <c r="BP304" s="198"/>
      <c r="BQ304" s="198"/>
      <c r="BR304" s="198"/>
      <c r="BS304" s="198"/>
      <c r="BT304" s="198"/>
      <c r="BU304" s="198"/>
      <c r="BV304" s="198"/>
      <c r="BW304" s="198"/>
      <c r="BX304" s="198"/>
    </row>
    <row r="305" spans="1:76" x14ac:dyDescent="0.25">
      <c r="A305" s="2" t="str">
        <f>'Language Index'!A326</f>
        <v>Accounts Receivable Long-Term</v>
      </c>
      <c r="B305" s="18">
        <f>_xll.ciqfunctions.udf.CIQ($C$2, "IQ_AR_LT", D$6,$F$2,,,Ccy,Conv)</f>
        <v>0</v>
      </c>
      <c r="C305" s="18">
        <f>_xll.ciqfunctions.udf.CIQ($C$2, "IQ_AR_LT", E$6,$F$2,,,Ccy,Conv)</f>
        <v>0</v>
      </c>
      <c r="D305" s="18">
        <f>_xll.ciqfunctions.udf.CIQ($C$2, "IQ_AR_LT", F$6,$F$2,,,Ccy,Conv)</f>
        <v>0</v>
      </c>
      <c r="E305" s="18">
        <f>_xll.ciqfunctions.udf.CIQ($C$2, "IQ_AR_LT", G$6,$F$2,,,Ccy,Conv)</f>
        <v>0</v>
      </c>
      <c r="F305" s="18">
        <f>_xll.ciqfunctions.udf.CIQ($C$2, "IQ_AR_LT", H$6,$F$2,,,Ccy,Conv)</f>
        <v>0</v>
      </c>
      <c r="G305" s="18">
        <f>_xll.ciqfunctions.udf.CIQ($C$2, "IQ_AR_LT", I$6,$F$2,,,Ccy,Conv)</f>
        <v>0</v>
      </c>
      <c r="H305" s="18">
        <f>_xll.ciqfunctions.udf.CIQ($C$2, "IQ_AR_LT", J$6,$F$2,,,Ccy,Conv)</f>
        <v>0</v>
      </c>
      <c r="I305" s="18">
        <f>_xll.ciqfunctions.udf.CIQ($C$2, "IQ_AR_LT", K$6,$F$2,,,Ccy,Conv)</f>
        <v>0</v>
      </c>
      <c r="J305" s="18">
        <f>_xll.ciqfunctions.udf.CIQ($C$2, "IQ_AR_LT", L$6,$F$2,,,Ccy,Conv)</f>
        <v>0</v>
      </c>
      <c r="K305" s="18">
        <f>_xll.ciqfunctions.udf.CIQ($C$2, "IQ_AR_LT", M$6,$F$2,,,Ccy,Conv)</f>
        <v>0</v>
      </c>
      <c r="L305" s="18">
        <f>_xll.ciqfunctions.udf.CIQ($C$2, "IQ_AR_LT", N$6,$F$2,,,Ccy,Conv)</f>
        <v>0</v>
      </c>
      <c r="M305" s="18"/>
      <c r="N305" s="18">
        <f>_xll.ciqfunctions.udf.CIQ($C$2, "IQ_AR_LT", P$6,$F$2,,,Ccy,Conv)</f>
        <v>0</v>
      </c>
      <c r="O305" s="198"/>
      <c r="P305" s="198"/>
      <c r="Q305" s="198"/>
      <c r="R305" s="198"/>
      <c r="S305" s="198"/>
      <c r="T305" s="205"/>
      <c r="U305" s="205"/>
      <c r="V305" s="205"/>
      <c r="W305" s="198"/>
      <c r="X305" s="198"/>
      <c r="Y305" s="198"/>
      <c r="Z305" s="198"/>
      <c r="AA305" s="198"/>
      <c r="AB305" s="198"/>
      <c r="AC305" s="198"/>
      <c r="AD305" s="198"/>
      <c r="AE305" s="198"/>
      <c r="AF305" s="198"/>
      <c r="AG305" s="198"/>
      <c r="AH305" s="198"/>
      <c r="AI305" s="198"/>
      <c r="AJ305" s="198"/>
      <c r="AK305" s="198"/>
      <c r="AL305" s="198"/>
      <c r="AM305" s="198"/>
      <c r="AN305" s="198"/>
      <c r="AO305" s="198"/>
      <c r="AP305" s="198"/>
      <c r="AQ305" s="198"/>
      <c r="AR305" s="198"/>
      <c r="AS305" s="198"/>
      <c r="AT305" s="198"/>
      <c r="AU305" s="198"/>
      <c r="AV305" s="198"/>
      <c r="AW305" s="198"/>
      <c r="AX305" s="198"/>
      <c r="AY305" s="198"/>
      <c r="AZ305" s="198"/>
      <c r="BA305" s="198"/>
      <c r="BB305" s="198"/>
      <c r="BC305" s="198"/>
      <c r="BD305" s="198"/>
      <c r="BE305" s="198"/>
      <c r="BF305" s="198"/>
      <c r="BG305" s="198"/>
      <c r="BH305" s="198"/>
      <c r="BI305" s="198"/>
      <c r="BJ305" s="198"/>
      <c r="BK305" s="198"/>
      <c r="BL305" s="198"/>
      <c r="BM305" s="198"/>
      <c r="BN305" s="198"/>
      <c r="BO305" s="198"/>
      <c r="BP305" s="198"/>
      <c r="BQ305" s="198"/>
      <c r="BR305" s="198"/>
      <c r="BS305" s="198"/>
      <c r="BT305" s="198"/>
      <c r="BU305" s="198"/>
      <c r="BV305" s="198"/>
      <c r="BW305" s="198"/>
      <c r="BX305" s="198"/>
    </row>
    <row r="306" spans="1:76" x14ac:dyDescent="0.25">
      <c r="A306" s="2" t="str">
        <f>'Language Index'!A327</f>
        <v>Loans Receivable Long-Term</v>
      </c>
      <c r="B306" s="18">
        <f>_xll.ciqfunctions.udf.CIQ($C$2, "IQ_LOANS_RECEIV_LT", D$6,$F$2,,,Ccy,Conv)</f>
        <v>0</v>
      </c>
      <c r="C306" s="18">
        <f>_xll.ciqfunctions.udf.CIQ($C$2, "IQ_LOANS_RECEIV_LT", E$6,$F$2,,,Ccy,Conv)</f>
        <v>0</v>
      </c>
      <c r="D306" s="18">
        <f>_xll.ciqfunctions.udf.CIQ($C$2, "IQ_LOANS_RECEIV_LT", F$6,$F$2,,,Ccy,Conv)</f>
        <v>0</v>
      </c>
      <c r="E306" s="18">
        <f>_xll.ciqfunctions.udf.CIQ($C$2, "IQ_LOANS_RECEIV_LT", G$6,$F$2,,,Ccy,Conv)</f>
        <v>0</v>
      </c>
      <c r="F306" s="18">
        <f>_xll.ciqfunctions.udf.CIQ($C$2, "IQ_LOANS_RECEIV_LT", H$6,$F$2,,,Ccy,Conv)</f>
        <v>0</v>
      </c>
      <c r="G306" s="18">
        <f>_xll.ciqfunctions.udf.CIQ($C$2, "IQ_LOANS_RECEIV_LT", I$6,$F$2,,,Ccy,Conv)</f>
        <v>0</v>
      </c>
      <c r="H306" s="18">
        <f>_xll.ciqfunctions.udf.CIQ($C$2, "IQ_LOANS_RECEIV_LT", J$6,$F$2,,,Ccy,Conv)</f>
        <v>0</v>
      </c>
      <c r="I306" s="18">
        <f>_xll.ciqfunctions.udf.CIQ($C$2, "IQ_LOANS_RECEIV_LT", K$6,$F$2,,,Ccy,Conv)</f>
        <v>0</v>
      </c>
      <c r="J306" s="18">
        <f>_xll.ciqfunctions.udf.CIQ($C$2, "IQ_LOANS_RECEIV_LT", L$6,$F$2,,,Ccy,Conv)</f>
        <v>0</v>
      </c>
      <c r="K306" s="18">
        <f>_xll.ciqfunctions.udf.CIQ($C$2, "IQ_LOANS_RECEIV_LT", M$6,$F$2,,,Ccy,Conv)</f>
        <v>0</v>
      </c>
      <c r="L306" s="18">
        <f>_xll.ciqfunctions.udf.CIQ($C$2, "IQ_LOANS_RECEIV_LT", N$6,$F$2,,,Ccy,Conv)</f>
        <v>0</v>
      </c>
      <c r="M306" s="18"/>
      <c r="N306" s="18">
        <f>_xll.ciqfunctions.udf.CIQ($C$2, "IQ_LOANS_RECEIV_LT", P$6,$F$2,,,Ccy,Conv)</f>
        <v>0</v>
      </c>
      <c r="O306" s="198"/>
      <c r="P306" s="198"/>
      <c r="Q306" s="198"/>
      <c r="R306" s="198"/>
      <c r="S306" s="198"/>
      <c r="T306" s="205"/>
      <c r="U306" s="205"/>
      <c r="V306" s="205"/>
      <c r="W306" s="198"/>
      <c r="X306" s="198"/>
      <c r="Y306" s="198"/>
      <c r="Z306" s="198"/>
      <c r="AA306" s="198"/>
      <c r="AB306" s="198"/>
      <c r="AC306" s="215"/>
      <c r="AD306" s="198"/>
      <c r="AE306" s="198"/>
      <c r="AF306" s="198"/>
      <c r="AG306" s="198"/>
      <c r="AH306" s="198"/>
      <c r="AI306" s="198"/>
      <c r="AJ306" s="198"/>
      <c r="AK306" s="198"/>
      <c r="AL306" s="198"/>
      <c r="AM306" s="198"/>
      <c r="AN306" s="198"/>
      <c r="AO306" s="198"/>
      <c r="AP306" s="198"/>
      <c r="AQ306" s="198"/>
      <c r="AR306" s="198"/>
      <c r="AS306" s="198"/>
      <c r="AT306" s="198"/>
      <c r="AU306" s="198"/>
      <c r="AV306" s="198"/>
      <c r="AW306" s="198"/>
      <c r="AX306" s="198"/>
      <c r="AY306" s="198"/>
      <c r="AZ306" s="198"/>
      <c r="BA306" s="198"/>
      <c r="BB306" s="198"/>
      <c r="BC306" s="198"/>
      <c r="BD306" s="198"/>
      <c r="BE306" s="198"/>
      <c r="BF306" s="198"/>
      <c r="BG306" s="198"/>
      <c r="BH306" s="198"/>
      <c r="BI306" s="198"/>
      <c r="BJ306" s="198"/>
      <c r="BK306" s="198"/>
      <c r="BL306" s="198"/>
      <c r="BM306" s="198"/>
      <c r="BN306" s="198"/>
      <c r="BO306" s="198"/>
      <c r="BP306" s="198"/>
      <c r="BQ306" s="198"/>
      <c r="BR306" s="198"/>
      <c r="BS306" s="198"/>
      <c r="BT306" s="198"/>
      <c r="BU306" s="198"/>
      <c r="BV306" s="198"/>
      <c r="BW306" s="198"/>
      <c r="BX306" s="198"/>
    </row>
    <row r="307" spans="1:76" x14ac:dyDescent="0.25">
      <c r="A307" s="2" t="str">
        <f>'Language Index'!A328</f>
        <v>Deferred Tax Assets, LT</v>
      </c>
      <c r="B307" s="18">
        <f>_xll.ciqfunctions.udf.CIQ($C$2, "IQ_DEF_TAX_ASSETS_LT", D$6,$F$2,,,Ccy,Conv)</f>
        <v>6675</v>
      </c>
      <c r="C307" s="18">
        <f>_xll.ciqfunctions.udf.CIQ($C$2, "IQ_DEF_TAX_ASSETS_LT", E$6,$F$2,,,Ccy,Conv)</f>
        <v>4822</v>
      </c>
      <c r="D307" s="18">
        <f>_xll.ciqfunctions.udf.CIQ($C$2, "IQ_DEF_TAX_ASSETS_LT", F$6,$F$2,,,Ccy,Conv)</f>
        <v>5224</v>
      </c>
      <c r="E307" s="18">
        <f>_xll.ciqfunctions.udf.CIQ($C$2, "IQ_DEF_TAX_ASSETS_LT", G$6,$F$2,,,Ccy,Conv)</f>
        <v>4862</v>
      </c>
      <c r="F307" s="18">
        <f>_xll.ciqfunctions.udf.CIQ($C$2, "IQ_DEF_TAX_ASSETS_LT", H$6,$F$2,,,Ccy,Conv)</f>
        <v>5216</v>
      </c>
      <c r="G307" s="18">
        <f>_xll.ciqfunctions.udf.CIQ($C$2, "IQ_DEF_TAX_ASSETS_LT", I$6,$F$2,,,Ccy,Conv)</f>
        <v>5182</v>
      </c>
      <c r="H307" s="18">
        <f>_xll.ciqfunctions.udf.CIQ($C$2, "IQ_DEF_TAX_ASSETS_LT", J$6,$F$2,,,Ccy,Conv)</f>
        <v>8404</v>
      </c>
      <c r="I307" s="18">
        <f>_xll.ciqfunctions.udf.CIQ($C$2, "IQ_DEF_TAX_ASSETS_LT", K$6,$F$2,,,Ccy,Conv)</f>
        <v>7370</v>
      </c>
      <c r="J307" s="18">
        <f>_xll.ciqfunctions.udf.CIQ($C$2, "IQ_DEF_TAX_ASSETS_LT", L$6,$F$2,,,Ccy,Conv)</f>
        <v>6256</v>
      </c>
      <c r="K307" s="18">
        <f>_xll.ciqfunctions.udf.CIQ($C$2, "IQ_DEF_TAX_ASSETS_LT", M$6,$F$2,,,Ccy,Conv)</f>
        <v>6656</v>
      </c>
      <c r="L307" s="18">
        <f>_xll.ciqfunctions.udf.CIQ($C$2, "IQ_DEF_TAX_ASSETS_LT", N$6,$F$2,,,Ccy,Conv)</f>
        <v>6978</v>
      </c>
      <c r="M307" s="18"/>
      <c r="N307" s="18">
        <f>_xll.ciqfunctions.udf.CIQ($C$2, "IQ_DEF_TAX_ASSETS_LT", P$6,$F$2,,,Ccy,Conv)</f>
        <v>6978</v>
      </c>
      <c r="O307" s="215"/>
      <c r="P307" s="198"/>
      <c r="Q307" s="198"/>
      <c r="R307" s="198"/>
      <c r="S307" s="198"/>
      <c r="T307" s="205"/>
      <c r="U307" s="205"/>
      <c r="V307" s="205"/>
      <c r="W307" s="198"/>
      <c r="X307" s="198"/>
      <c r="Y307" s="198"/>
      <c r="Z307" s="198"/>
      <c r="AA307" s="198"/>
      <c r="AB307" s="198"/>
      <c r="AC307" s="198"/>
      <c r="AD307" s="198"/>
      <c r="AE307" s="198"/>
      <c r="AF307" s="198"/>
      <c r="AG307" s="198"/>
      <c r="AH307" s="198"/>
      <c r="AI307" s="198"/>
      <c r="AJ307" s="198"/>
      <c r="AK307" s="198"/>
      <c r="AL307" s="198"/>
      <c r="AM307" s="198"/>
      <c r="AN307" s="198"/>
      <c r="AO307" s="198"/>
      <c r="AP307" s="198"/>
      <c r="AQ307" s="198"/>
      <c r="AR307" s="198"/>
      <c r="AS307" s="198"/>
      <c r="AT307" s="198"/>
      <c r="AU307" s="198"/>
      <c r="AV307" s="198"/>
      <c r="AW307" s="198"/>
      <c r="AX307" s="198"/>
      <c r="AY307" s="198"/>
      <c r="AZ307" s="198"/>
      <c r="BA307" s="198"/>
      <c r="BB307" s="198"/>
      <c r="BC307" s="198"/>
      <c r="BD307" s="198"/>
      <c r="BE307" s="198"/>
      <c r="BF307" s="198"/>
      <c r="BG307" s="198"/>
      <c r="BH307" s="198"/>
      <c r="BI307" s="198"/>
      <c r="BJ307" s="198"/>
      <c r="BK307" s="198"/>
      <c r="BL307" s="198"/>
      <c r="BM307" s="198"/>
      <c r="BN307" s="198"/>
      <c r="BO307" s="198"/>
      <c r="BP307" s="198"/>
      <c r="BQ307" s="198"/>
      <c r="BR307" s="198"/>
      <c r="BS307" s="198"/>
      <c r="BT307" s="198"/>
      <c r="BU307" s="198"/>
      <c r="BV307" s="198"/>
      <c r="BW307" s="198"/>
      <c r="BX307" s="198"/>
    </row>
    <row r="308" spans="1:76" x14ac:dyDescent="0.25">
      <c r="A308" s="2" t="str">
        <f>'Language Index'!A329</f>
        <v>Deferred Charges, LT</v>
      </c>
      <c r="B308" s="18">
        <f>_xll.ciqfunctions.udf.CIQ($C$2, "IQ_DEF_CHARGES_LT", D$6,$F$2,,,Ccy,Conv)</f>
        <v>1524</v>
      </c>
      <c r="C308" s="18">
        <f>_xll.ciqfunctions.udf.CIQ($C$2, "IQ_DEF_CHARGES_LT", E$6,$F$2,,,Ccy,Conv)</f>
        <v>1626</v>
      </c>
      <c r="D308" s="18">
        <f>_xll.ciqfunctions.udf.CIQ($C$2, "IQ_DEF_CHARGES_LT", F$6,$F$2,,,Ccy,Conv)</f>
        <v>1496</v>
      </c>
      <c r="E308" s="18">
        <f>_xll.ciqfunctions.udf.CIQ($C$2, "IQ_DEF_CHARGES_LT", G$6,$F$2,,,Ccy,Conv)</f>
        <v>2136</v>
      </c>
      <c r="F308" s="18">
        <f>_xll.ciqfunctions.udf.CIQ($C$2, "IQ_DEF_CHARGES_LT", H$6,$F$2,,,Ccy,Conv)</f>
        <v>2676</v>
      </c>
      <c r="G308" s="18">
        <f>_xll.ciqfunctions.udf.CIQ($C$2, "IQ_DEF_CHARGES_LT", I$6,$F$2,,,Ccy,Conv)</f>
        <v>2472</v>
      </c>
      <c r="H308" s="18">
        <f>_xll.ciqfunctions.udf.CIQ($C$2, "IQ_DEF_CHARGES_LT", J$6,$F$2,,,Ccy,Conv)</f>
        <v>1150</v>
      </c>
      <c r="I308" s="18">
        <f>_xll.ciqfunctions.udf.CIQ($C$2, "IQ_DEF_CHARGES_LT", K$6,$F$2,,,Ccy,Conv)</f>
        <v>924</v>
      </c>
      <c r="J308" s="18">
        <f>_xll.ciqfunctions.udf.CIQ($C$2, "IQ_DEF_CHARGES_LT", L$6,$F$2,,,Ccy,Conv)</f>
        <v>866</v>
      </c>
      <c r="K308" s="18">
        <f>_xll.ciqfunctions.udf.CIQ($C$2, "IQ_DEF_CHARGES_LT", M$6,$F$2,,,Ccy,Conv)</f>
        <v>842</v>
      </c>
      <c r="L308" s="18">
        <f>_xll.ciqfunctions.udf.CIQ($C$2, "IQ_DEF_CHARGES_LT", N$6,$F$2,,,Ccy,Conv)</f>
        <v>788</v>
      </c>
      <c r="M308" s="18"/>
      <c r="N308" s="18">
        <f>_xll.ciqfunctions.udf.CIQ($C$2, "IQ_DEF_CHARGES_LT", P$6,$F$2,,,Ccy,Conv)</f>
        <v>788</v>
      </c>
      <c r="O308" s="198"/>
      <c r="P308" s="198"/>
      <c r="Q308" s="198"/>
      <c r="R308" s="198"/>
      <c r="S308" s="198"/>
      <c r="T308" s="205"/>
      <c r="U308" s="205"/>
      <c r="V308" s="205"/>
      <c r="W308" s="198"/>
      <c r="X308" s="198"/>
      <c r="Y308" s="198"/>
      <c r="Z308" s="198"/>
      <c r="AA308" s="198"/>
      <c r="AB308" s="198"/>
      <c r="AC308" s="215"/>
      <c r="AD308" s="215"/>
      <c r="AE308" s="215"/>
      <c r="AF308" s="198"/>
      <c r="AG308" s="198"/>
      <c r="AH308" s="198"/>
      <c r="AI308" s="198"/>
      <c r="AJ308" s="198"/>
      <c r="AK308" s="198"/>
      <c r="AL308" s="198"/>
      <c r="AM308" s="198"/>
      <c r="AN308" s="198"/>
      <c r="AO308" s="198"/>
      <c r="AP308" s="198"/>
      <c r="AQ308" s="198"/>
      <c r="AR308" s="198"/>
      <c r="AS308" s="198"/>
      <c r="AT308" s="198"/>
      <c r="AU308" s="198"/>
      <c r="AV308" s="198"/>
      <c r="AW308" s="198"/>
      <c r="AX308" s="198"/>
      <c r="AY308" s="198"/>
      <c r="AZ308" s="198"/>
      <c r="BA308" s="198"/>
      <c r="BB308" s="198"/>
      <c r="BC308" s="198"/>
      <c r="BD308" s="198"/>
      <c r="BE308" s="198"/>
      <c r="BF308" s="198"/>
      <c r="BG308" s="198"/>
      <c r="BH308" s="198"/>
      <c r="BI308" s="198"/>
      <c r="BJ308" s="198"/>
      <c r="BK308" s="198"/>
      <c r="BL308" s="198"/>
      <c r="BM308" s="198"/>
      <c r="BN308" s="198"/>
      <c r="BO308" s="198"/>
      <c r="BP308" s="198"/>
      <c r="BQ308" s="198"/>
      <c r="BR308" s="198"/>
      <c r="BS308" s="198"/>
      <c r="BT308" s="198"/>
      <c r="BU308" s="198"/>
      <c r="BV308" s="198"/>
      <c r="BW308" s="198"/>
      <c r="BX308" s="198"/>
    </row>
    <row r="309" spans="1:76" x14ac:dyDescent="0.25">
      <c r="A309" s="2" t="str">
        <f>'Language Index'!A330</f>
        <v>Other Long-Term Assets</v>
      </c>
      <c r="B309" s="18">
        <f>_xll.ciqfunctions.udf.CIQ($C$2, "IQ_OTHER_LT_ASSETS", D$6,$F$2,,,Ccy,Conv)</f>
        <v>4933</v>
      </c>
      <c r="C309" s="18">
        <f>_xll.ciqfunctions.udf.CIQ($C$2, "IQ_OTHER_LT_ASSETS", E$6,$F$2,,,Ccy,Conv)</f>
        <v>4164</v>
      </c>
      <c r="D309" s="18">
        <f>_xll.ciqfunctions.udf.CIQ($C$2, "IQ_OTHER_LT_ASSETS", F$6,$F$2,,,Ccy,Conv)</f>
        <v>5464</v>
      </c>
      <c r="E309" s="18">
        <f>_xll.ciqfunctions.udf.CIQ($C$2, "IQ_OTHER_LT_ASSETS", G$6,$F$2,,,Ccy,Conv)</f>
        <v>6846</v>
      </c>
      <c r="F309" s="18">
        <f>_xll.ciqfunctions.udf.CIQ($C$2, "IQ_OTHER_LT_ASSETS", H$6,$F$2,,,Ccy,Conv)</f>
        <v>6826</v>
      </c>
      <c r="G309" s="18">
        <f>_xll.ciqfunctions.udf.CIQ($C$2, "IQ_OTHER_LT_ASSETS", I$6,$F$2,,,Ccy,Conv)</f>
        <v>8715</v>
      </c>
      <c r="H309" s="18">
        <f>_xll.ciqfunctions.udf.CIQ($C$2, "IQ_OTHER_LT_ASSETS", J$6,$F$2,,,Ccy,Conv)</f>
        <v>22675</v>
      </c>
      <c r="I309" s="18">
        <f>_xll.ciqfunctions.udf.CIQ($C$2, "IQ_OTHER_LT_ASSETS", K$6,$F$2,,,Ccy,Conv)</f>
        <v>9890</v>
      </c>
      <c r="J309" s="18">
        <f>_xll.ciqfunctions.udf.CIQ($C$2, "IQ_OTHER_LT_ASSETS", L$6,$F$2,,,Ccy,Conv)</f>
        <v>8242</v>
      </c>
      <c r="K309" s="18">
        <f>_xll.ciqfunctions.udf.CIQ($C$2, "IQ_OTHER_LT_ASSETS", M$6,$F$2,,,Ccy,Conv)</f>
        <v>7545</v>
      </c>
      <c r="L309" s="18">
        <f>_xll.ciqfunctions.udf.CIQ($C$2, "IQ_OTHER_LT_ASSETS", N$6,$F$2,,,Ccy,Conv)</f>
        <v>7588</v>
      </c>
      <c r="M309" s="18"/>
      <c r="N309" s="18">
        <f>_xll.ciqfunctions.udf.CIQ($C$2, "IQ_OTHER_LT_ASSETS", P$6,$F$2,,,Ccy,Conv)</f>
        <v>7588</v>
      </c>
      <c r="O309" s="198"/>
      <c r="P309" s="198"/>
      <c r="Q309" s="198"/>
      <c r="R309" s="198"/>
      <c r="S309" s="198"/>
      <c r="T309" s="216"/>
      <c r="U309" s="216"/>
      <c r="V309" s="216"/>
      <c r="W309" s="215"/>
      <c r="X309" s="215"/>
      <c r="Y309" s="215"/>
      <c r="Z309" s="215"/>
      <c r="AA309" s="215"/>
      <c r="AB309" s="215"/>
      <c r="AC309" s="198"/>
      <c r="AD309" s="198"/>
      <c r="AE309" s="198"/>
      <c r="AF309" s="215"/>
      <c r="AG309" s="198"/>
      <c r="AH309" s="198"/>
      <c r="AI309" s="198"/>
      <c r="AJ309" s="198"/>
      <c r="AK309" s="198"/>
      <c r="AL309" s="198"/>
      <c r="AM309" s="198"/>
      <c r="AN309" s="198"/>
      <c r="AO309" s="198"/>
      <c r="AP309" s="198"/>
      <c r="AQ309" s="198"/>
      <c r="AR309" s="198"/>
      <c r="AS309" s="198"/>
      <c r="AT309" s="198"/>
      <c r="AU309" s="198"/>
      <c r="AV309" s="198"/>
      <c r="AW309" s="198"/>
      <c r="AX309" s="198"/>
      <c r="AY309" s="198"/>
      <c r="AZ309" s="198"/>
      <c r="BA309" s="198"/>
      <c r="BB309" s="198"/>
      <c r="BC309" s="198"/>
      <c r="BD309" s="198"/>
      <c r="BE309" s="198"/>
      <c r="BF309" s="198"/>
      <c r="BG309" s="198"/>
      <c r="BH309" s="198"/>
      <c r="BI309" s="198"/>
      <c r="BJ309" s="198"/>
      <c r="BK309" s="198"/>
      <c r="BL309" s="198"/>
      <c r="BM309" s="198"/>
      <c r="BN309" s="198"/>
      <c r="BO309" s="198"/>
      <c r="BP309" s="198"/>
      <c r="BQ309" s="198"/>
      <c r="BR309" s="198"/>
      <c r="BS309" s="198"/>
      <c r="BT309" s="198"/>
      <c r="BU309" s="198"/>
      <c r="BV309" s="198"/>
      <c r="BW309" s="198"/>
      <c r="BX309" s="198"/>
    </row>
    <row r="310" spans="1:76" ht="13.8" thickBot="1" x14ac:dyDescent="0.3">
      <c r="A310" s="19" t="str">
        <f>'Language Index'!A331</f>
        <v>Total Assets</v>
      </c>
      <c r="B310" s="23">
        <f>_xll.ciqfunctions.udf.CIQ($C$2, "IQ_TOTAL_ASSETS", D$6,$F$2,,,Ccy,Conv)</f>
        <v>117271</v>
      </c>
      <c r="C310" s="23">
        <f>_xll.ciqfunctions.udf.CIQ($C$2, "IQ_TOTAL_ASSETS", E$6,$F$2,,,Ccy,Conv)</f>
        <v>110495</v>
      </c>
      <c r="D310" s="23">
        <f>_xll.ciqfunctions.udf.CIQ($C$2, "IQ_TOTAL_ASSETS", F$6,$F$2,,,Ccy,Conv)</f>
        <v>117470</v>
      </c>
      <c r="E310" s="23">
        <f>_xll.ciqfunctions.udf.CIQ($C$2, "IQ_TOTAL_ASSETS", G$6,$F$2,,,Ccy,Conv)</f>
        <v>125356</v>
      </c>
      <c r="F310" s="23">
        <f>_xll.ciqfunctions.udf.CIQ($C$2, "IQ_TOTAL_ASSETS", H$6,$F$2,,,Ccy,Conv)</f>
        <v>123382</v>
      </c>
      <c r="G310" s="23">
        <f>_xll.ciqfunctions.udf.CIQ($C$2, "IQ_TOTAL_ASSETS", I$6,$F$2,,,Ccy,Conv)</f>
        <v>152186</v>
      </c>
      <c r="H310" s="23">
        <f>_xll.ciqfunctions.udf.CIQ($C$2, "IQ_TOTAL_ASSETS", J$6,$F$2,,,Ccy,Conv)</f>
        <v>155971</v>
      </c>
      <c r="I310" s="23">
        <f>_xll.ciqfunctions.udf.CIQ($C$2, "IQ_TOTAL_ASSETS", K$6,$F$2,,,Ccy,Conv)</f>
        <v>132001</v>
      </c>
      <c r="J310" s="23">
        <f>_xll.ciqfunctions.udf.CIQ($C$2, "IQ_TOTAL_ASSETS", L$6,$F$2,,,Ccy,Conv)</f>
        <v>127243</v>
      </c>
      <c r="K310" s="23">
        <f>_xll.ciqfunctions.udf.CIQ($C$2, "IQ_TOTAL_ASSETS", M$6,$F$2,,,Ccy,Conv)</f>
        <v>135241</v>
      </c>
      <c r="L310" s="23">
        <f>_xll.ciqfunctions.udf.CIQ($C$2, "IQ_TOTAL_ASSETS", N$6,$F$2,,,Ccy,Conv)</f>
        <v>137175</v>
      </c>
      <c r="M310" s="21"/>
      <c r="N310" s="23">
        <f>_xll.ciqfunctions.udf.CIQ($C$2, "IQ_TOTAL_ASSETS", P$6,$F$2,,,Ccy,Conv)</f>
        <v>137175</v>
      </c>
      <c r="O310" s="198"/>
      <c r="P310" s="198"/>
      <c r="Q310" s="198"/>
      <c r="R310" s="198"/>
      <c r="S310" s="198"/>
      <c r="T310" s="205"/>
      <c r="U310" s="205"/>
      <c r="V310" s="205"/>
      <c r="W310" s="198"/>
      <c r="X310" s="198"/>
      <c r="Y310" s="198"/>
      <c r="Z310" s="198"/>
      <c r="AA310" s="198"/>
      <c r="AB310" s="198"/>
      <c r="AC310" s="198"/>
      <c r="AD310" s="215"/>
      <c r="AE310" s="215"/>
      <c r="AF310" s="198"/>
      <c r="AG310" s="198"/>
      <c r="AH310" s="198"/>
      <c r="AI310" s="198"/>
      <c r="AJ310" s="198"/>
      <c r="AK310" s="198"/>
      <c r="AL310" s="198"/>
      <c r="AM310" s="198"/>
      <c r="AN310" s="198"/>
      <c r="AO310" s="198"/>
      <c r="AP310" s="198"/>
      <c r="AQ310" s="198"/>
      <c r="AR310" s="198"/>
      <c r="AS310" s="198"/>
      <c r="AT310" s="198"/>
      <c r="AU310" s="198"/>
      <c r="AV310" s="198"/>
      <c r="AW310" s="198"/>
      <c r="AX310" s="198"/>
      <c r="AY310" s="198"/>
      <c r="AZ310" s="198"/>
      <c r="BA310" s="198"/>
      <c r="BB310" s="198"/>
      <c r="BC310" s="198"/>
      <c r="BD310" s="198"/>
      <c r="BE310" s="198"/>
      <c r="BF310" s="198"/>
      <c r="BG310" s="198"/>
      <c r="BH310" s="198"/>
      <c r="BI310" s="198"/>
      <c r="BJ310" s="198"/>
      <c r="BK310" s="198"/>
      <c r="BL310" s="198"/>
      <c r="BM310" s="198"/>
      <c r="BN310" s="198"/>
      <c r="BO310" s="198"/>
      <c r="BP310" s="198"/>
      <c r="BQ310" s="198"/>
      <c r="BR310" s="198"/>
      <c r="BS310" s="198"/>
      <c r="BT310" s="198"/>
      <c r="BU310" s="198"/>
      <c r="BV310" s="198"/>
      <c r="BW310" s="198"/>
      <c r="BX310" s="198"/>
    </row>
    <row r="311" spans="1:76" ht="13.8" thickTop="1" x14ac:dyDescent="0.25">
      <c r="A311" s="2" t="str">
        <f>'Language Index'!A333</f>
        <v>Accounts Payable</v>
      </c>
      <c r="B311" s="18">
        <f>_xll.ciqfunctions.udf.CIQ($C$2, "IQ_AP", D$6,$F$2,,,Ccy,Conv)</f>
        <v>6864</v>
      </c>
      <c r="C311" s="18">
        <f>_xll.ciqfunctions.udf.CIQ($C$2, "IQ_AP", E$6,$F$2,,,Ccy,Conv)</f>
        <v>6028</v>
      </c>
      <c r="D311" s="18">
        <f>_xll.ciqfunctions.udf.CIQ($C$2, "IQ_AP", F$6,$F$2,,,Ccy,Conv)</f>
        <v>6209</v>
      </c>
      <c r="E311" s="18">
        <f>_xll.ciqfunctions.udf.CIQ($C$2, "IQ_AP", G$6,$F$2,,,Ccy,Conv)</f>
        <v>6451</v>
      </c>
      <c r="F311" s="18">
        <f>_xll.ciqfunctions.udf.CIQ($C$2, "IQ_AP", H$6,$F$2,,,Ccy,Conv)</f>
        <v>6558</v>
      </c>
      <c r="G311" s="18">
        <f>_xll.ciqfunctions.udf.CIQ($C$2, "IQ_AP", I$6,$F$2,,,Ccy,Conv)</f>
        <v>4896</v>
      </c>
      <c r="H311" s="18">
        <f>_xll.ciqfunctions.udf.CIQ($C$2, "IQ_AP", J$6,$F$2,,,Ccy,Conv)</f>
        <v>4033</v>
      </c>
      <c r="I311" s="18">
        <f>_xll.ciqfunctions.udf.CIQ($C$2, "IQ_AP", K$6,$F$2,,,Ccy,Conv)</f>
        <v>3955</v>
      </c>
      <c r="J311" s="18">
        <f>_xll.ciqfunctions.udf.CIQ($C$2, "IQ_AP", L$6,$F$2,,,Ccy,Conv)</f>
        <v>4051</v>
      </c>
      <c r="K311" s="18">
        <f>_xll.ciqfunctions.udf.CIQ($C$2, "IQ_AP", M$6,$F$2,,,Ccy,Conv)</f>
        <v>4132</v>
      </c>
      <c r="L311" s="18">
        <f>_xll.ciqfunctions.udf.CIQ($C$2, "IQ_AP", N$6,$F$2,,,Ccy,Conv)</f>
        <v>4032</v>
      </c>
      <c r="M311" s="18"/>
      <c r="N311" s="18">
        <f>_xll.ciqfunctions.udf.CIQ($C$2, "IQ_AP", P$6,$F$2,,,Ccy,Conv)</f>
        <v>4032</v>
      </c>
      <c r="O311" s="198"/>
      <c r="P311" s="198"/>
      <c r="Q311" s="198"/>
      <c r="R311" s="198"/>
      <c r="S311" s="198"/>
      <c r="T311" s="205"/>
      <c r="U311" s="205"/>
      <c r="V311" s="205"/>
      <c r="W311" s="198"/>
      <c r="X311" s="198"/>
      <c r="Y311" s="198"/>
      <c r="Z311" s="198"/>
      <c r="AA311" s="198"/>
      <c r="AB311" s="198"/>
      <c r="AC311" s="198"/>
      <c r="AD311" s="198"/>
      <c r="AE311" s="198"/>
      <c r="AF311" s="198"/>
      <c r="AG311" s="198"/>
      <c r="AH311" s="198"/>
      <c r="AI311" s="198"/>
      <c r="AJ311" s="198"/>
      <c r="AK311" s="198"/>
      <c r="AL311" s="198"/>
      <c r="AM311" s="198"/>
      <c r="AN311" s="198"/>
      <c r="AO311" s="198"/>
      <c r="AP311" s="198"/>
      <c r="AQ311" s="198"/>
      <c r="AR311" s="198"/>
      <c r="AS311" s="198"/>
      <c r="AT311" s="198"/>
      <c r="AU311" s="198"/>
      <c r="AV311" s="198"/>
      <c r="AW311" s="198"/>
      <c r="AX311" s="198"/>
      <c r="AY311" s="198"/>
      <c r="AZ311" s="198"/>
      <c r="BA311" s="198"/>
      <c r="BB311" s="198"/>
      <c r="BC311" s="198"/>
      <c r="BD311" s="198"/>
      <c r="BE311" s="198"/>
      <c r="BF311" s="198"/>
      <c r="BG311" s="198"/>
      <c r="BH311" s="198"/>
      <c r="BI311" s="198"/>
      <c r="BJ311" s="198"/>
      <c r="BK311" s="198"/>
      <c r="BL311" s="198"/>
      <c r="BM311" s="198"/>
      <c r="BN311" s="198"/>
      <c r="BO311" s="198"/>
      <c r="BP311" s="198"/>
      <c r="BQ311" s="198"/>
      <c r="BR311" s="198"/>
      <c r="BS311" s="198"/>
      <c r="BT311" s="198"/>
      <c r="BU311" s="198"/>
      <c r="BV311" s="198"/>
      <c r="BW311" s="198"/>
      <c r="BX311" s="198"/>
    </row>
    <row r="312" spans="1:76" x14ac:dyDescent="0.25">
      <c r="A312" s="2" t="str">
        <f>'Language Index'!A334</f>
        <v>Accrued Exp.</v>
      </c>
      <c r="B312" s="18">
        <f>_xll.ciqfunctions.udf.CIQ($C$2, "IQ_AE", D$6,$F$2,,,Ccy,Conv)</f>
        <v>9593</v>
      </c>
      <c r="C312" s="18">
        <f>_xll.ciqfunctions.udf.CIQ($C$2, "IQ_AE", E$6,$F$2,,,Ccy,Conv)</f>
        <v>7499</v>
      </c>
      <c r="D312" s="18">
        <f>_xll.ciqfunctions.udf.CIQ($C$2, "IQ_AE", F$6,$F$2,,,Ccy,Conv)</f>
        <v>7860</v>
      </c>
      <c r="E312" s="18">
        <f>_xll.ciqfunctions.udf.CIQ($C$2, "IQ_AE", G$6,$F$2,,,Ccy,Conv)</f>
        <v>7474</v>
      </c>
      <c r="F312" s="18">
        <f>_xll.ciqfunctions.udf.CIQ($C$2, "IQ_AE", H$6,$F$2,,,Ccy,Conv)</f>
        <v>6803</v>
      </c>
      <c r="G312" s="18">
        <f>_xll.ciqfunctions.udf.CIQ($C$2, "IQ_AE", I$6,$F$2,,,Ccy,Conv)</f>
        <v>7369</v>
      </c>
      <c r="H312" s="18">
        <f>_xll.ciqfunctions.udf.CIQ($C$2, "IQ_AE", J$6,$F$2,,,Ccy,Conv)</f>
        <v>7935</v>
      </c>
      <c r="I312" s="18">
        <f>_xll.ciqfunctions.udf.CIQ($C$2, "IQ_AE", K$6,$F$2,,,Ccy,Conv)</f>
        <v>7036</v>
      </c>
      <c r="J312" s="18">
        <f>_xll.ciqfunctions.udf.CIQ($C$2, "IQ_AE", L$6,$F$2,,,Ccy,Conv)</f>
        <v>7046</v>
      </c>
      <c r="K312" s="18">
        <f>_xll.ciqfunctions.udf.CIQ($C$2, "IQ_AE", M$6,$F$2,,,Ccy,Conv)</f>
        <v>6728</v>
      </c>
      <c r="L312" s="18">
        <f>_xll.ciqfunctions.udf.CIQ($C$2, "IQ_AE", N$6,$F$2,,,Ccy,Conv)</f>
        <v>7052</v>
      </c>
      <c r="M312" s="18"/>
      <c r="N312" s="18">
        <f>_xll.ciqfunctions.udf.CIQ($C$2, "IQ_AE", P$6,$F$2,,,Ccy,Conv)</f>
        <v>7052</v>
      </c>
      <c r="O312" s="198"/>
      <c r="P312" s="198"/>
      <c r="Q312" s="198"/>
      <c r="R312" s="198"/>
      <c r="S312" s="198"/>
      <c r="T312" s="205"/>
      <c r="U312" s="205"/>
      <c r="V312" s="205"/>
      <c r="W312" s="198"/>
      <c r="X312" s="198"/>
      <c r="Y312" s="198"/>
      <c r="Z312" s="198"/>
      <c r="AA312" s="198"/>
      <c r="AB312" s="198"/>
      <c r="AC312" s="198"/>
      <c r="AD312" s="37"/>
      <c r="AE312" s="37"/>
      <c r="AF312" s="198"/>
      <c r="AG312" s="198"/>
      <c r="AH312" s="198"/>
      <c r="AI312" s="198"/>
      <c r="AJ312" s="198"/>
      <c r="AK312" s="198"/>
      <c r="AL312" s="198"/>
      <c r="AM312" s="198"/>
      <c r="AN312" s="198"/>
      <c r="AO312" s="198"/>
      <c r="AP312" s="198"/>
      <c r="AQ312" s="198"/>
      <c r="AR312" s="198"/>
      <c r="AS312" s="198"/>
      <c r="AT312" s="198"/>
      <c r="AU312" s="198"/>
      <c r="AV312" s="198"/>
      <c r="AW312" s="198"/>
      <c r="AX312" s="198"/>
      <c r="AY312" s="198"/>
      <c r="AZ312" s="198"/>
      <c r="BA312" s="198"/>
      <c r="BB312" s="198"/>
      <c r="BC312" s="198"/>
      <c r="BD312" s="198"/>
      <c r="BE312" s="198"/>
      <c r="BF312" s="198"/>
      <c r="BG312" s="198"/>
      <c r="BH312" s="198"/>
      <c r="BI312" s="198"/>
      <c r="BJ312" s="198"/>
      <c r="BK312" s="198"/>
      <c r="BL312" s="198"/>
      <c r="BM312" s="198"/>
      <c r="BN312" s="198"/>
      <c r="BO312" s="198"/>
      <c r="BP312" s="198"/>
      <c r="BQ312" s="198"/>
      <c r="BR312" s="198"/>
      <c r="BS312" s="198"/>
      <c r="BT312" s="198"/>
      <c r="BU312" s="198"/>
      <c r="BV312" s="198"/>
      <c r="BW312" s="198"/>
      <c r="BX312" s="198"/>
    </row>
    <row r="313" spans="1:76" x14ac:dyDescent="0.25">
      <c r="A313" s="2" t="str">
        <f>'Language Index'!A335</f>
        <v>Short-term Borrowings</v>
      </c>
      <c r="B313" s="18">
        <f>_xll.ciqfunctions.udf.CIQ($C$2, "IQ_ST_DEBT", D$6,$F$2,,,Ccy,Conv)</f>
        <v>1130</v>
      </c>
      <c r="C313" s="18">
        <f>_xll.ciqfunctions.udf.CIQ($C$2, "IQ_ST_DEBT", E$6,$F$2,,,Ccy,Conv)</f>
        <v>1190</v>
      </c>
      <c r="D313" s="18">
        <f>_xll.ciqfunctions.udf.CIQ($C$2, "IQ_ST_DEBT", F$6,$F$2,,,Ccy,Conv)</f>
        <v>1274</v>
      </c>
      <c r="E313" s="18">
        <f>_xll.ciqfunctions.udf.CIQ($C$2, "IQ_ST_DEBT", G$6,$F$2,,,Ccy,Conv)</f>
        <v>1772</v>
      </c>
      <c r="F313" s="18">
        <f>_xll.ciqfunctions.udf.CIQ($C$2, "IQ_ST_DEBT", H$6,$F$2,,,Ccy,Conv)</f>
        <v>3156</v>
      </c>
      <c r="G313" s="18">
        <f>_xll.ciqfunctions.udf.CIQ($C$2, "IQ_ST_DEBT", I$6,$F$2,,,Ccy,Conv)</f>
        <v>1275</v>
      </c>
      <c r="H313" s="18">
        <f>_xll.ciqfunctions.udf.CIQ($C$2, "IQ_ST_DEBT", J$6,$F$2,,,Ccy,Conv)</f>
        <v>130</v>
      </c>
      <c r="I313" s="18">
        <f>_xll.ciqfunctions.udf.CIQ($C$2, "IQ_ST_DEBT", K$6,$F$2,,,Ccy,Conv)</f>
        <v>22</v>
      </c>
      <c r="J313" s="18">
        <f>_xll.ciqfunctions.udf.CIQ($C$2, "IQ_ST_DEBT", L$6,$F$2,,,Ccy,Conv)</f>
        <v>0</v>
      </c>
      <c r="K313" s="18">
        <f>_xll.ciqfunctions.udf.CIQ($C$2, "IQ_ST_DEBT", M$6,$F$2,,,Ccy,Conv)</f>
        <v>0</v>
      </c>
      <c r="L313" s="18">
        <f>_xll.ciqfunctions.udf.CIQ($C$2, "IQ_ST_DEBT", N$6,$F$2,,,Ccy,Conv)</f>
        <v>0</v>
      </c>
      <c r="M313" s="18"/>
      <c r="N313" s="18">
        <f>_xll.ciqfunctions.udf.CIQ($C$2, "IQ_ST_DEBT", P$6,$F$2,,,Ccy,Conv)</f>
        <v>0</v>
      </c>
      <c r="O313" s="198"/>
      <c r="P313" s="198"/>
      <c r="Q313" s="198"/>
      <c r="R313" s="198"/>
      <c r="S313" s="198"/>
      <c r="T313" s="205"/>
      <c r="U313" s="205"/>
      <c r="V313" s="205"/>
      <c r="W313" s="198"/>
      <c r="X313" s="198"/>
      <c r="Y313" s="198"/>
      <c r="Z313" s="198"/>
      <c r="AA313" s="198"/>
      <c r="AB313" s="198"/>
      <c r="AC313" s="198"/>
      <c r="AD313" s="198"/>
      <c r="AE313" s="198"/>
      <c r="AF313" s="198"/>
      <c r="AG313" s="198"/>
      <c r="AH313" s="198"/>
      <c r="AI313" s="198"/>
      <c r="AJ313" s="198"/>
      <c r="AK313" s="198"/>
      <c r="AL313" s="198"/>
      <c r="AM313" s="198"/>
      <c r="AN313" s="198"/>
      <c r="AO313" s="198"/>
      <c r="AP313" s="198"/>
      <c r="AQ313" s="198"/>
      <c r="AR313" s="198"/>
      <c r="AS313" s="198"/>
      <c r="AT313" s="198"/>
      <c r="AU313" s="198"/>
      <c r="AV313" s="198"/>
      <c r="AW313" s="198"/>
      <c r="AX313" s="198"/>
      <c r="AY313" s="198"/>
      <c r="AZ313" s="198"/>
      <c r="BA313" s="198"/>
      <c r="BB313" s="198"/>
      <c r="BC313" s="198"/>
      <c r="BD313" s="198"/>
      <c r="BE313" s="198"/>
      <c r="BF313" s="198"/>
      <c r="BG313" s="198"/>
      <c r="BH313" s="198"/>
      <c r="BI313" s="198"/>
      <c r="BJ313" s="198"/>
      <c r="BK313" s="198"/>
      <c r="BL313" s="198"/>
      <c r="BM313" s="198"/>
      <c r="BN313" s="198"/>
      <c r="BO313" s="198"/>
      <c r="BP313" s="198"/>
      <c r="BQ313" s="198"/>
      <c r="BR313" s="198"/>
      <c r="BS313" s="198"/>
      <c r="BT313" s="198"/>
      <c r="BU313" s="198"/>
      <c r="BV313" s="198"/>
      <c r="BW313" s="198"/>
      <c r="BX313" s="198"/>
    </row>
    <row r="314" spans="1:76" x14ac:dyDescent="0.25">
      <c r="A314" s="2" t="str">
        <f>'Language Index'!A336</f>
        <v>Current Portion of Long Term Debt</v>
      </c>
      <c r="B314" s="18">
        <f>_xll.ciqfunctions.udf.CIQ($C$2, "IQ_CURRENT_PORT_DEBT", D$6,$F$2,,,Ccy,Conv)</f>
        <v>4601</v>
      </c>
      <c r="C314" s="18">
        <f>_xll.ciqfunctions.udf.CIQ($C$2, "IQ_CURRENT_PORT_DEBT", E$6,$F$2,,,Ccy,Conv)</f>
        <v>5271</v>
      </c>
      <c r="D314" s="18">
        <f>_xll.ciqfunctions.udf.CIQ($C$2, "IQ_CURRENT_PORT_DEBT", F$6,$F$2,,,Ccy,Conv)</f>
        <v>6239</v>
      </c>
      <c r="E314" s="18">
        <f>_xll.ciqfunctions.udf.CIQ($C$2, "IQ_CURRENT_PORT_DEBT", G$6,$F$2,,,Ccy,Conv)</f>
        <v>5215</v>
      </c>
      <c r="F314" s="18">
        <f>_xll.ciqfunctions.udf.CIQ($C$2, "IQ_CURRENT_PORT_DEBT", H$6,$F$2,,,Ccy,Conv)</f>
        <v>7048</v>
      </c>
      <c r="G314" s="18">
        <f>_xll.ciqfunctions.udf.CIQ($C$2, "IQ_CURRENT_PORT_DEBT", I$6,$F$2,,,Ccy,Conv)</f>
        <v>7470</v>
      </c>
      <c r="H314" s="18">
        <f>_xll.ciqfunctions.udf.CIQ($C$2, "IQ_CURRENT_PORT_DEBT", J$6,$F$2,,,Ccy,Conv)</f>
        <v>6956</v>
      </c>
      <c r="I314" s="18">
        <f>_xll.ciqfunctions.udf.CIQ($C$2, "IQ_CURRENT_PORT_DEBT", K$6,$F$2,,,Ccy,Conv)</f>
        <v>6729</v>
      </c>
      <c r="J314" s="18">
        <f>_xll.ciqfunctions.udf.CIQ($C$2, "IQ_CURRENT_PORT_DEBT", L$6,$F$2,,,Ccy,Conv)</f>
        <v>4685</v>
      </c>
      <c r="K314" s="18">
        <f>_xll.ciqfunctions.udf.CIQ($C$2, "IQ_CURRENT_PORT_DEBT", M$6,$F$2,,,Ccy,Conv)</f>
        <v>6305</v>
      </c>
      <c r="L314" s="18">
        <f>_xll.ciqfunctions.udf.CIQ($C$2, "IQ_CURRENT_PORT_DEBT", N$6,$F$2,,,Ccy,Conv)</f>
        <v>4891</v>
      </c>
      <c r="M314" s="18"/>
      <c r="N314" s="18">
        <f>_xll.ciqfunctions.udf.CIQ($C$2, "IQ_CURRENT_PORT_DEBT", P$6,$F$2,,,Ccy,Conv)</f>
        <v>4891</v>
      </c>
      <c r="O314" s="198"/>
      <c r="P314" s="198"/>
      <c r="Q314" s="198"/>
      <c r="R314" s="198"/>
      <c r="S314" s="198"/>
      <c r="T314" s="205"/>
      <c r="U314" s="205"/>
      <c r="V314" s="205"/>
      <c r="W314" s="198"/>
      <c r="X314" s="198"/>
      <c r="Y314" s="198"/>
      <c r="Z314" s="198"/>
      <c r="AA314" s="198"/>
      <c r="AB314" s="198"/>
      <c r="AC314" s="198"/>
      <c r="AD314" s="215"/>
      <c r="AE314" s="215"/>
      <c r="AF314" s="198"/>
      <c r="AG314" s="198"/>
      <c r="AH314" s="198"/>
      <c r="AI314" s="198"/>
      <c r="AJ314" s="198"/>
      <c r="AK314" s="198"/>
      <c r="AL314" s="198"/>
      <c r="AM314" s="198"/>
      <c r="AN314" s="198"/>
      <c r="AO314" s="198"/>
      <c r="AP314" s="198"/>
      <c r="AQ314" s="198"/>
      <c r="AR314" s="198"/>
      <c r="AS314" s="198"/>
      <c r="AT314" s="198"/>
      <c r="AU314" s="198"/>
      <c r="AV314" s="198"/>
      <c r="AW314" s="198"/>
      <c r="AX314" s="198"/>
      <c r="AY314" s="198"/>
      <c r="AZ314" s="198"/>
      <c r="BA314" s="198"/>
      <c r="BB314" s="198"/>
      <c r="BC314" s="198"/>
      <c r="BD314" s="198"/>
      <c r="BE314" s="198"/>
      <c r="BF314" s="198"/>
      <c r="BG314" s="198"/>
      <c r="BH314" s="198"/>
      <c r="BI314" s="198"/>
      <c r="BJ314" s="198"/>
      <c r="BK314" s="198"/>
      <c r="BL314" s="198"/>
      <c r="BM314" s="198"/>
      <c r="BN314" s="198"/>
      <c r="BO314" s="198"/>
      <c r="BP314" s="198"/>
      <c r="BQ314" s="198"/>
      <c r="BR314" s="198"/>
      <c r="BS314" s="198"/>
      <c r="BT314" s="198"/>
      <c r="BU314" s="198"/>
      <c r="BV314" s="198"/>
      <c r="BW314" s="198"/>
      <c r="BX314" s="198"/>
    </row>
    <row r="315" spans="1:76" x14ac:dyDescent="0.25">
      <c r="A315" s="2" t="str">
        <f>'Language Index'!A337</f>
        <v>Current Portion of Leases</v>
      </c>
      <c r="B315" s="18">
        <f>_xll.ciqfunctions.udf.CIQ($C$2, "IQ_CURRENT_PORT_LEASES", D$6,$F$2,,,Ccy,Conv)</f>
        <v>0</v>
      </c>
      <c r="C315" s="18">
        <f>_xll.ciqfunctions.udf.CIQ($C$2, "IQ_CURRENT_PORT_LEASES", E$6,$F$2,,,Ccy,Conv)</f>
        <v>0</v>
      </c>
      <c r="D315" s="18">
        <f>_xll.ciqfunctions.udf.CIQ($C$2, "IQ_CURRENT_PORT_LEASES", F$6,$F$2,,,Ccy,Conv)</f>
        <v>0</v>
      </c>
      <c r="E315" s="18">
        <f>_xll.ciqfunctions.udf.CIQ($C$2, "IQ_CURRENT_PORT_LEASES", G$6,$F$2,,,Ccy,Conv)</f>
        <v>0</v>
      </c>
      <c r="F315" s="18">
        <f>_xll.ciqfunctions.udf.CIQ($C$2, "IQ_CURRENT_PORT_LEASES", H$6,$F$2,,,Ccy,Conv)</f>
        <v>3</v>
      </c>
      <c r="G315" s="18">
        <f>_xll.ciqfunctions.udf.CIQ($C$2, "IQ_CURRENT_PORT_LEASES", I$6,$F$2,,,Ccy,Conv)</f>
        <v>1432</v>
      </c>
      <c r="H315" s="18">
        <f>_xll.ciqfunctions.udf.CIQ($C$2, "IQ_CURRENT_PORT_LEASES", J$6,$F$2,,,Ccy,Conv)</f>
        <v>1065</v>
      </c>
      <c r="I315" s="18">
        <f>_xll.ciqfunctions.udf.CIQ($C$2, "IQ_CURRENT_PORT_LEASES", K$6,$F$2,,,Ccy,Conv)</f>
        <v>1010</v>
      </c>
      <c r="J315" s="18">
        <f>_xll.ciqfunctions.udf.CIQ($C$2, "IQ_CURRENT_PORT_LEASES", L$6,$F$2,,,Ccy,Conv)</f>
        <v>949</v>
      </c>
      <c r="K315" s="18">
        <f>_xll.ciqfunctions.udf.CIQ($C$2, "IQ_CURRENT_PORT_LEASES", M$6,$F$2,,,Ccy,Conv)</f>
        <v>941</v>
      </c>
      <c r="L315" s="18">
        <f>_xll.ciqfunctions.udf.CIQ($C$2, "IQ_CURRENT_PORT_LEASES", N$6,$F$2,,,Ccy,Conv)</f>
        <v>966</v>
      </c>
      <c r="M315" s="18"/>
      <c r="N315" s="18">
        <f>_xll.ciqfunctions.udf.CIQ($C$2, "IQ_CURRENT_PORT_LEASES", P$6,$F$2,,,Ccy,Conv)</f>
        <v>966</v>
      </c>
      <c r="O315" s="198"/>
      <c r="P315" s="198"/>
      <c r="Q315" s="198"/>
      <c r="R315" s="198"/>
      <c r="S315" s="198"/>
      <c r="T315" s="205"/>
      <c r="U315" s="205"/>
      <c r="V315" s="205"/>
      <c r="W315" s="198"/>
      <c r="X315" s="198"/>
      <c r="Y315" s="198"/>
      <c r="Z315" s="198"/>
      <c r="AA315" s="198"/>
      <c r="AB315" s="198"/>
      <c r="AC315" s="215"/>
      <c r="AD315" s="198"/>
      <c r="AE315" s="198"/>
      <c r="AF315" s="198"/>
      <c r="AG315" s="198"/>
      <c r="AH315" s="198"/>
      <c r="AI315" s="198"/>
      <c r="AJ315" s="198"/>
      <c r="AK315" s="198"/>
      <c r="AL315" s="198"/>
      <c r="AM315" s="198"/>
      <c r="AN315" s="198"/>
      <c r="AO315" s="198"/>
      <c r="AP315" s="198"/>
      <c r="AQ315" s="198"/>
      <c r="AR315" s="198"/>
      <c r="AS315" s="198"/>
      <c r="AT315" s="198"/>
      <c r="AU315" s="198"/>
      <c r="AV315" s="198"/>
      <c r="AW315" s="198"/>
      <c r="AX315" s="198"/>
      <c r="AY315" s="198"/>
      <c r="AZ315" s="198"/>
      <c r="BA315" s="198"/>
      <c r="BB315" s="198"/>
      <c r="BC315" s="198"/>
      <c r="BD315" s="198"/>
      <c r="BE315" s="198"/>
      <c r="BF315" s="198"/>
      <c r="BG315" s="198"/>
      <c r="BH315" s="198"/>
      <c r="BI315" s="198"/>
      <c r="BJ315" s="198"/>
      <c r="BK315" s="198"/>
      <c r="BL315" s="198"/>
      <c r="BM315" s="198"/>
      <c r="BN315" s="198"/>
      <c r="BO315" s="198"/>
      <c r="BP315" s="198"/>
      <c r="BQ315" s="198"/>
      <c r="BR315" s="198"/>
      <c r="BS315" s="198"/>
      <c r="BT315" s="198"/>
      <c r="BU315" s="198"/>
      <c r="BV315" s="198"/>
      <c r="BW315" s="198"/>
      <c r="BX315" s="198"/>
    </row>
    <row r="316" spans="1:76" x14ac:dyDescent="0.25">
      <c r="A316" s="2" t="str">
        <f>'Language Index'!A338</f>
        <v>Finance Div. Debt Current</v>
      </c>
      <c r="B316" s="18">
        <f>_xll.ciqfunctions.udf.CIQ($C$2, "IQ_FIN_DIV_DEBT_CURRENT", D$6,$F$2,,,Ccy,Conv)</f>
        <v>0</v>
      </c>
      <c r="C316" s="18">
        <f>_xll.ciqfunctions.udf.CIQ($C$2, "IQ_FIN_DIV_DEBT_CURRENT", E$6,$F$2,,,Ccy,Conv)</f>
        <v>0</v>
      </c>
      <c r="D316" s="18">
        <f>_xll.ciqfunctions.udf.CIQ($C$2, "IQ_FIN_DIV_DEBT_CURRENT", F$6,$F$2,,,Ccy,Conv)</f>
        <v>0</v>
      </c>
      <c r="E316" s="18">
        <f>_xll.ciqfunctions.udf.CIQ($C$2, "IQ_FIN_DIV_DEBT_CURRENT", G$6,$F$2,,,Ccy,Conv)</f>
        <v>0</v>
      </c>
      <c r="F316" s="18">
        <f>_xll.ciqfunctions.udf.CIQ($C$2, "IQ_FIN_DIV_DEBT_CURRENT", H$6,$F$2,,,Ccy,Conv)</f>
        <v>0</v>
      </c>
      <c r="G316" s="18">
        <f>_xll.ciqfunctions.udf.CIQ($C$2, "IQ_FIN_DIV_DEBT_CURRENT", I$6,$F$2,,,Ccy,Conv)</f>
        <v>0</v>
      </c>
      <c r="H316" s="18">
        <f>_xll.ciqfunctions.udf.CIQ($C$2, "IQ_FIN_DIV_DEBT_CURRENT", J$6,$F$2,,,Ccy,Conv)</f>
        <v>0</v>
      </c>
      <c r="I316" s="18">
        <f>_xll.ciqfunctions.udf.CIQ($C$2, "IQ_FIN_DIV_DEBT_CURRENT", K$6,$F$2,,,Ccy,Conv)</f>
        <v>0</v>
      </c>
      <c r="J316" s="18">
        <f>_xll.ciqfunctions.udf.CIQ($C$2, "IQ_FIN_DIV_DEBT_CURRENT", L$6,$F$2,,,Ccy,Conv)</f>
        <v>0</v>
      </c>
      <c r="K316" s="18">
        <f>_xll.ciqfunctions.udf.CIQ($C$2, "IQ_FIN_DIV_DEBT_CURRENT", M$6,$F$2,,,Ccy,Conv)</f>
        <v>0</v>
      </c>
      <c r="L316" s="18">
        <f>_xll.ciqfunctions.udf.CIQ($C$2, "IQ_FIN_DIV_DEBT_CURRENT", N$6,$F$2,,,Ccy,Conv)</f>
        <v>0</v>
      </c>
      <c r="M316" s="18"/>
      <c r="N316" s="18">
        <f>_xll.ciqfunctions.udf.CIQ($C$2, "IQ_FIN_DIV_DEBT_CURRENT", P$6,$F$2,,,Ccy,Conv)</f>
        <v>0</v>
      </c>
      <c r="O316" s="215"/>
      <c r="P316" s="198"/>
      <c r="Q316" s="198"/>
      <c r="R316" s="198"/>
      <c r="S316" s="198"/>
      <c r="T316" s="205"/>
      <c r="U316" s="205"/>
      <c r="V316" s="205"/>
      <c r="W316" s="198"/>
      <c r="X316" s="198"/>
      <c r="Y316" s="198"/>
      <c r="Z316" s="198"/>
      <c r="AA316" s="198"/>
      <c r="AB316" s="198"/>
      <c r="AC316" s="198"/>
      <c r="AD316" s="198"/>
      <c r="AE316" s="198"/>
      <c r="AF316" s="198"/>
      <c r="AG316" s="198"/>
      <c r="AH316" s="198"/>
      <c r="AI316" s="198"/>
      <c r="AJ316" s="198"/>
      <c r="AK316" s="198"/>
      <c r="AL316" s="198"/>
      <c r="AM316" s="198"/>
      <c r="AN316" s="198"/>
      <c r="AO316" s="198"/>
      <c r="AP316" s="198"/>
      <c r="AQ316" s="198"/>
      <c r="AR316" s="198"/>
      <c r="AS316" s="198"/>
      <c r="AT316" s="198"/>
      <c r="AU316" s="198"/>
      <c r="AV316" s="198"/>
      <c r="AW316" s="198"/>
      <c r="AX316" s="198"/>
      <c r="AY316" s="198"/>
      <c r="AZ316" s="198"/>
      <c r="BA316" s="198"/>
      <c r="BB316" s="198"/>
      <c r="BC316" s="198"/>
      <c r="BD316" s="198"/>
      <c r="BE316" s="198"/>
      <c r="BF316" s="198"/>
      <c r="BG316" s="198"/>
      <c r="BH316" s="198"/>
      <c r="BI316" s="198"/>
      <c r="BJ316" s="198"/>
      <c r="BK316" s="198"/>
      <c r="BL316" s="198"/>
      <c r="BM316" s="198"/>
      <c r="BN316" s="198"/>
      <c r="BO316" s="198"/>
      <c r="BP316" s="198"/>
      <c r="BQ316" s="198"/>
      <c r="BR316" s="198"/>
      <c r="BS316" s="198"/>
      <c r="BT316" s="198"/>
      <c r="BU316" s="198"/>
      <c r="BV316" s="198"/>
      <c r="BW316" s="198"/>
      <c r="BX316" s="198"/>
    </row>
    <row r="317" spans="1:76" x14ac:dyDescent="0.25">
      <c r="A317" s="2" t="str">
        <f>'Language Index'!A339</f>
        <v>Finance Div. Other Curr. Liab.</v>
      </c>
      <c r="B317" s="18">
        <f>_xll.ciqfunctions.udf.CIQ($C$2, "IQ_FIN_DIV_LIAB_CURRENT", D$6,$F$2,,,Ccy,Conv)</f>
        <v>0</v>
      </c>
      <c r="C317" s="18">
        <f>_xll.ciqfunctions.udf.CIQ($C$2, "IQ_FIN_DIV_LIAB_CURRENT", E$6,$F$2,,,Ccy,Conv)</f>
        <v>0</v>
      </c>
      <c r="D317" s="18">
        <f>_xll.ciqfunctions.udf.CIQ($C$2, "IQ_FIN_DIV_LIAB_CURRENT", F$6,$F$2,,,Ccy,Conv)</f>
        <v>0</v>
      </c>
      <c r="E317" s="18">
        <f>_xll.ciqfunctions.udf.CIQ($C$2, "IQ_FIN_DIV_LIAB_CURRENT", G$6,$F$2,,,Ccy,Conv)</f>
        <v>0</v>
      </c>
      <c r="F317" s="18">
        <f>_xll.ciqfunctions.udf.CIQ($C$2, "IQ_FIN_DIV_LIAB_CURRENT", H$6,$F$2,,,Ccy,Conv)</f>
        <v>0</v>
      </c>
      <c r="G317" s="18">
        <f>_xll.ciqfunctions.udf.CIQ($C$2, "IQ_FIN_DIV_LIAB_CURRENT", I$6,$F$2,,,Ccy,Conv)</f>
        <v>0</v>
      </c>
      <c r="H317" s="18">
        <f>_xll.ciqfunctions.udf.CIQ($C$2, "IQ_FIN_DIV_LIAB_CURRENT", J$6,$F$2,,,Ccy,Conv)</f>
        <v>0</v>
      </c>
      <c r="I317" s="18">
        <f>_xll.ciqfunctions.udf.CIQ($C$2, "IQ_FIN_DIV_LIAB_CURRENT", K$6,$F$2,,,Ccy,Conv)</f>
        <v>0</v>
      </c>
      <c r="J317" s="18">
        <f>_xll.ciqfunctions.udf.CIQ($C$2, "IQ_FIN_DIV_LIAB_CURRENT", L$6,$F$2,,,Ccy,Conv)</f>
        <v>0</v>
      </c>
      <c r="K317" s="18">
        <f>_xll.ciqfunctions.udf.CIQ($C$2, "IQ_FIN_DIV_LIAB_CURRENT", M$6,$F$2,,,Ccy,Conv)</f>
        <v>0</v>
      </c>
      <c r="L317" s="18">
        <f>_xll.ciqfunctions.udf.CIQ($C$2, "IQ_FIN_DIV_LIAB_CURRENT", N$6,$F$2,,,Ccy,Conv)</f>
        <v>0</v>
      </c>
      <c r="M317" s="18"/>
      <c r="N317" s="18">
        <f>_xll.ciqfunctions.udf.CIQ($C$2, "IQ_FIN_DIV_LIAB_CURRENT", P$6,$F$2,,,Ccy,Conv)</f>
        <v>0</v>
      </c>
      <c r="O317" s="198"/>
      <c r="P317" s="198"/>
      <c r="Q317" s="198"/>
      <c r="R317" s="198"/>
      <c r="S317" s="198"/>
      <c r="T317" s="205"/>
      <c r="U317" s="205"/>
      <c r="V317" s="205"/>
      <c r="W317" s="198"/>
      <c r="X317" s="198"/>
      <c r="Y317" s="198"/>
      <c r="Z317" s="198"/>
      <c r="AA317" s="198"/>
      <c r="AB317" s="198"/>
      <c r="AC317" s="215"/>
      <c r="AD317" s="198"/>
      <c r="AE317" s="198"/>
      <c r="AF317" s="198"/>
      <c r="AG317" s="198"/>
      <c r="AH317" s="198"/>
      <c r="AI317" s="198"/>
      <c r="AJ317" s="198"/>
      <c r="AK317" s="198"/>
      <c r="AL317" s="198"/>
      <c r="AM317" s="198"/>
      <c r="AN317" s="198"/>
      <c r="AO317" s="198"/>
      <c r="AP317" s="198"/>
      <c r="AQ317" s="198"/>
      <c r="AR317" s="198"/>
      <c r="AS317" s="198"/>
      <c r="AT317" s="198"/>
      <c r="AU317" s="198"/>
      <c r="AV317" s="198"/>
      <c r="AW317" s="198"/>
      <c r="AX317" s="198"/>
      <c r="AY317" s="198"/>
      <c r="AZ317" s="198"/>
      <c r="BA317" s="198"/>
      <c r="BB317" s="198"/>
      <c r="BC317" s="198"/>
      <c r="BD317" s="198"/>
      <c r="BE317" s="198"/>
      <c r="BF317" s="198"/>
      <c r="BG317" s="198"/>
      <c r="BH317" s="198"/>
      <c r="BI317" s="198"/>
      <c r="BJ317" s="198"/>
      <c r="BK317" s="198"/>
      <c r="BL317" s="198"/>
      <c r="BM317" s="198"/>
      <c r="BN317" s="198"/>
      <c r="BO317" s="198"/>
      <c r="BP317" s="198"/>
      <c r="BQ317" s="198"/>
      <c r="BR317" s="198"/>
      <c r="BS317" s="198"/>
      <c r="BT317" s="198"/>
      <c r="BU317" s="198"/>
      <c r="BV317" s="198"/>
      <c r="BW317" s="198"/>
      <c r="BX317" s="198"/>
    </row>
    <row r="318" spans="1:76" x14ac:dyDescent="0.25">
      <c r="A318" s="2" t="str">
        <f>'Language Index'!A340</f>
        <v>Curr. Income Taxes Payable</v>
      </c>
      <c r="B318" s="18">
        <f>_xll.ciqfunctions.udf.CIQ($C$2, "IQ_INC_TAX_PAY_CURRENT", D$6,$F$2,,,Ccy,Conv)</f>
        <v>5084</v>
      </c>
      <c r="C318" s="18">
        <f>_xll.ciqfunctions.udf.CIQ($C$2, "IQ_INC_TAX_PAY_CURRENT", E$6,$F$2,,,Ccy,Conv)</f>
        <v>2847</v>
      </c>
      <c r="D318" s="18">
        <f>_xll.ciqfunctions.udf.CIQ($C$2, "IQ_INC_TAX_PAY_CURRENT", F$6,$F$2,,,Ccy,Conv)</f>
        <v>3235</v>
      </c>
      <c r="E318" s="18">
        <f>_xll.ciqfunctions.udf.CIQ($C$2, "IQ_INC_TAX_PAY_CURRENT", G$6,$F$2,,,Ccy,Conv)</f>
        <v>4219</v>
      </c>
      <c r="F318" s="18">
        <f>_xll.ciqfunctions.udf.CIQ($C$2, "IQ_INC_TAX_PAY_CURRENT", H$6,$F$2,,,Ccy,Conv)</f>
        <v>3046</v>
      </c>
      <c r="G318" s="18">
        <f>_xll.ciqfunctions.udf.CIQ($C$2, "IQ_INC_TAX_PAY_CURRENT", I$6,$F$2,,,Ccy,Conv)</f>
        <v>2839</v>
      </c>
      <c r="H318" s="18">
        <f>_xll.ciqfunctions.udf.CIQ($C$2, "IQ_INC_TAX_PAY_CURRENT", J$6,$F$2,,,Ccy,Conv)</f>
        <v>3198</v>
      </c>
      <c r="I318" s="18">
        <f>_xll.ciqfunctions.udf.CIQ($C$2, "IQ_INC_TAX_PAY_CURRENT", K$6,$F$2,,,Ccy,Conv)</f>
        <v>2289</v>
      </c>
      <c r="J318" s="18">
        <f>_xll.ciqfunctions.udf.CIQ($C$2, "IQ_INC_TAX_PAY_CURRENT", L$6,$F$2,,,Ccy,Conv)</f>
        <v>2196</v>
      </c>
      <c r="K318" s="18">
        <f>_xll.ciqfunctions.udf.CIQ($C$2, "IQ_INC_TAX_PAY_CURRENT", M$6,$F$2,,,Ccy,Conv)</f>
        <v>2270</v>
      </c>
      <c r="L318" s="18">
        <f>_xll.ciqfunctions.udf.CIQ($C$2, "IQ_INC_TAX_PAY_CURRENT", N$6,$F$2,,,Ccy,Conv)</f>
        <v>2033</v>
      </c>
      <c r="M318" s="18"/>
      <c r="N318" s="18">
        <f>_xll.ciqfunctions.udf.CIQ($C$2, "IQ_INC_TAX_PAY_CURRENT", P$6,$F$2,,,Ccy,Conv)</f>
        <v>2033</v>
      </c>
      <c r="O318" s="215"/>
      <c r="P318" s="198"/>
      <c r="Q318" s="198"/>
      <c r="R318" s="198"/>
      <c r="S318" s="198"/>
      <c r="T318" s="216"/>
      <c r="U318" s="216"/>
      <c r="V318" s="216"/>
      <c r="W318" s="215"/>
      <c r="X318" s="215"/>
      <c r="Y318" s="215"/>
      <c r="Z318" s="215"/>
      <c r="AA318" s="215"/>
      <c r="AB318" s="215"/>
      <c r="AC318" s="198"/>
      <c r="AD318" s="198"/>
      <c r="AE318" s="198"/>
      <c r="AF318" s="215"/>
      <c r="AG318" s="198"/>
      <c r="AH318" s="198"/>
      <c r="AI318" s="198"/>
      <c r="AJ318" s="198"/>
      <c r="AK318" s="198"/>
      <c r="AL318" s="198"/>
      <c r="AM318" s="198"/>
      <c r="AN318" s="198"/>
      <c r="AO318" s="198"/>
      <c r="AP318" s="198"/>
      <c r="AQ318" s="198"/>
      <c r="AR318" s="198"/>
      <c r="AS318" s="198"/>
      <c r="AT318" s="198"/>
      <c r="AU318" s="198"/>
      <c r="AV318" s="198"/>
      <c r="AW318" s="198"/>
      <c r="AX318" s="198"/>
      <c r="AY318" s="198"/>
      <c r="AZ318" s="198"/>
      <c r="BA318" s="198"/>
      <c r="BB318" s="198"/>
      <c r="BC318" s="198"/>
      <c r="BD318" s="198"/>
      <c r="BE318" s="198"/>
      <c r="BF318" s="198"/>
      <c r="BG318" s="198"/>
      <c r="BH318" s="198"/>
      <c r="BI318" s="198"/>
      <c r="BJ318" s="198"/>
      <c r="BK318" s="198"/>
      <c r="BL318" s="198"/>
      <c r="BM318" s="198"/>
      <c r="BN318" s="198"/>
      <c r="BO318" s="198"/>
      <c r="BP318" s="198"/>
      <c r="BQ318" s="198"/>
      <c r="BR318" s="198"/>
      <c r="BS318" s="198"/>
      <c r="BT318" s="198"/>
      <c r="BU318" s="198"/>
      <c r="BV318" s="198"/>
      <c r="BW318" s="198"/>
      <c r="BX318" s="198"/>
    </row>
    <row r="319" spans="1:76" x14ac:dyDescent="0.25">
      <c r="A319" s="2" t="str">
        <f>'Language Index'!A341</f>
        <v>Unearned Revenue, Current</v>
      </c>
      <c r="B319" s="18">
        <f>_xll.ciqfunctions.udf.CIQ($C$2, "IQ_UNEARN_REV_CURRENT", D$6,$F$2,,,Ccy,Conv)</f>
        <v>12131</v>
      </c>
      <c r="C319" s="18">
        <f>_xll.ciqfunctions.udf.CIQ($C$2, "IQ_UNEARN_REV_CURRENT", E$6,$F$2,,,Ccy,Conv)</f>
        <v>11259</v>
      </c>
      <c r="D319" s="18">
        <f>_xll.ciqfunctions.udf.CIQ($C$2, "IQ_UNEARN_REV_CURRENT", F$6,$F$2,,,Ccy,Conv)</f>
        <v>11299</v>
      </c>
      <c r="E319" s="18">
        <f>_xll.ciqfunctions.udf.CIQ($C$2, "IQ_UNEARN_REV_CURRENT", G$6,$F$2,,,Ccy,Conv)</f>
        <v>11829</v>
      </c>
      <c r="F319" s="18">
        <f>_xll.ciqfunctions.udf.CIQ($C$2, "IQ_UNEARN_REV_CURRENT", H$6,$F$2,,,Ccy,Conv)</f>
        <v>11436</v>
      </c>
      <c r="G319" s="18">
        <f>_xll.ciqfunctions.udf.CIQ($C$2, "IQ_UNEARN_REV_CURRENT", I$6,$F$2,,,Ccy,Conv)</f>
        <v>12253</v>
      </c>
      <c r="H319" s="18">
        <f>_xll.ciqfunctions.udf.CIQ($C$2, "IQ_UNEARN_REV_CURRENT", J$6,$F$2,,,Ccy,Conv)</f>
        <v>12146</v>
      </c>
      <c r="I319" s="18">
        <f>_xll.ciqfunctions.udf.CIQ($C$2, "IQ_UNEARN_REV_CURRENT", K$6,$F$2,,,Ccy,Conv)</f>
        <v>12518</v>
      </c>
      <c r="J319" s="18">
        <f>_xll.ciqfunctions.udf.CIQ($C$2, "IQ_UNEARN_REV_CURRENT", L$6,$F$2,,,Ccy,Conv)</f>
        <v>12032</v>
      </c>
      <c r="K319" s="18">
        <f>_xll.ciqfunctions.udf.CIQ($C$2, "IQ_UNEARN_REV_CURRENT", M$6,$F$2,,,Ccy,Conv)</f>
        <v>13451</v>
      </c>
      <c r="L319" s="18">
        <f>_xll.ciqfunctions.udf.CIQ($C$2, "IQ_UNEARN_REV_CURRENT", N$6,$F$2,,,Ccy,Conv)</f>
        <v>13907</v>
      </c>
      <c r="M319" s="18"/>
      <c r="N319" s="18">
        <f>_xll.ciqfunctions.udf.CIQ($C$2, "IQ_UNEARN_REV_CURRENT", P$6,$F$2,,,Ccy,Conv)</f>
        <v>13907</v>
      </c>
      <c r="O319" s="198"/>
      <c r="P319" s="198"/>
      <c r="Q319" s="198"/>
      <c r="R319" s="198"/>
      <c r="S319" s="198"/>
      <c r="T319" s="205"/>
      <c r="U319" s="205"/>
      <c r="V319" s="205"/>
      <c r="W319" s="198"/>
      <c r="X319" s="198"/>
      <c r="Y319" s="198"/>
      <c r="Z319" s="198"/>
      <c r="AA319" s="198"/>
      <c r="AB319" s="198"/>
      <c r="AC319" s="198"/>
      <c r="AD319" s="215"/>
      <c r="AE319" s="215"/>
      <c r="AF319" s="198"/>
      <c r="AG319" s="198"/>
      <c r="AH319" s="198"/>
      <c r="AI319" s="198"/>
      <c r="AJ319" s="198"/>
      <c r="AK319" s="198"/>
      <c r="AL319" s="198"/>
      <c r="AM319" s="198"/>
      <c r="AN319" s="198"/>
      <c r="AO319" s="198"/>
      <c r="AP319" s="198"/>
      <c r="AQ319" s="198"/>
      <c r="AR319" s="198"/>
      <c r="AS319" s="198"/>
      <c r="AT319" s="198"/>
      <c r="AU319" s="198"/>
      <c r="AV319" s="198"/>
      <c r="AW319" s="198"/>
      <c r="AX319" s="198"/>
      <c r="AY319" s="198"/>
      <c r="AZ319" s="198"/>
      <c r="BA319" s="198"/>
      <c r="BB319" s="198"/>
      <c r="BC319" s="198"/>
      <c r="BD319" s="198"/>
      <c r="BE319" s="198"/>
      <c r="BF319" s="198"/>
      <c r="BG319" s="198"/>
      <c r="BH319" s="198"/>
      <c r="BI319" s="198"/>
      <c r="BJ319" s="198"/>
      <c r="BK319" s="198"/>
      <c r="BL319" s="198"/>
      <c r="BM319" s="198"/>
      <c r="BN319" s="198"/>
      <c r="BO319" s="198"/>
      <c r="BP319" s="198"/>
      <c r="BQ319" s="198"/>
      <c r="BR319" s="198"/>
      <c r="BS319" s="198"/>
      <c r="BT319" s="198"/>
      <c r="BU319" s="198"/>
      <c r="BV319" s="198"/>
      <c r="BW319" s="198"/>
      <c r="BX319" s="198"/>
    </row>
    <row r="320" spans="1:76" x14ac:dyDescent="0.25">
      <c r="A320" s="2" t="str">
        <f>'Language Index'!A342</f>
        <v>Def. Tax Liability, Curr.</v>
      </c>
      <c r="B320" s="18">
        <f>_xll.ciqfunctions.udf.CIQ($C$2, "IQ_DEF_TAX_LIAB_CURRENT", D$6,$F$2,,,Ccy,Conv)</f>
        <v>0</v>
      </c>
      <c r="C320" s="18">
        <f>_xll.ciqfunctions.udf.CIQ($C$2, "IQ_DEF_TAX_LIAB_CURRENT", E$6,$F$2,,,Ccy,Conv)</f>
        <v>0</v>
      </c>
      <c r="D320" s="18">
        <f>_xll.ciqfunctions.udf.CIQ($C$2, "IQ_DEF_TAX_LIAB_CURRENT", F$6,$F$2,,,Ccy,Conv)</f>
        <v>0</v>
      </c>
      <c r="E320" s="18">
        <f>_xll.ciqfunctions.udf.CIQ($C$2, "IQ_DEF_TAX_LIAB_CURRENT", G$6,$F$2,,,Ccy,Conv)</f>
        <v>0</v>
      </c>
      <c r="F320" s="18">
        <f>_xll.ciqfunctions.udf.CIQ($C$2, "IQ_DEF_TAX_LIAB_CURRENT", H$6,$F$2,,,Ccy,Conv)</f>
        <v>0</v>
      </c>
      <c r="G320" s="18">
        <f>_xll.ciqfunctions.udf.CIQ($C$2, "IQ_DEF_TAX_LIAB_CURRENT", I$6,$F$2,,,Ccy,Conv)</f>
        <v>0</v>
      </c>
      <c r="H320" s="18">
        <f>_xll.ciqfunctions.udf.CIQ($C$2, "IQ_DEF_TAX_LIAB_CURRENT", J$6,$F$2,,,Ccy,Conv)</f>
        <v>0</v>
      </c>
      <c r="I320" s="18">
        <f>_xll.ciqfunctions.udf.CIQ($C$2, "IQ_DEF_TAX_LIAB_CURRENT", K$6,$F$2,,,Ccy,Conv)</f>
        <v>0</v>
      </c>
      <c r="J320" s="18">
        <f>_xll.ciqfunctions.udf.CIQ($C$2, "IQ_DEF_TAX_LIAB_CURRENT", L$6,$F$2,,,Ccy,Conv)</f>
        <v>0</v>
      </c>
      <c r="K320" s="18">
        <f>_xll.ciqfunctions.udf.CIQ($C$2, "IQ_DEF_TAX_LIAB_CURRENT", M$6,$F$2,,,Ccy,Conv)</f>
        <v>0</v>
      </c>
      <c r="L320" s="18">
        <f>_xll.ciqfunctions.udf.CIQ($C$2, "IQ_DEF_TAX_LIAB_CURRENT", N$6,$F$2,,,Ccy,Conv)</f>
        <v>0</v>
      </c>
      <c r="M320" s="18"/>
      <c r="N320" s="18">
        <f>_xll.ciqfunctions.udf.CIQ($C$2, "IQ_DEF_TAX_LIAB_CURRENT", P$6,$F$2,,,Ccy,Conv)</f>
        <v>0</v>
      </c>
      <c r="O320" s="198"/>
      <c r="P320" s="198"/>
      <c r="Q320" s="198"/>
      <c r="R320" s="198"/>
      <c r="S320" s="198"/>
      <c r="T320" s="205"/>
      <c r="U320" s="205"/>
      <c r="V320" s="205"/>
      <c r="W320" s="198"/>
      <c r="X320" s="198"/>
      <c r="Y320" s="198"/>
      <c r="Z320" s="198"/>
      <c r="AA320" s="198"/>
      <c r="AB320" s="198"/>
      <c r="AC320" s="37"/>
      <c r="AD320" s="215"/>
      <c r="AE320" s="215"/>
      <c r="AF320" s="198"/>
      <c r="AG320" s="198"/>
      <c r="AH320" s="198"/>
      <c r="AI320" s="198"/>
      <c r="AJ320" s="198"/>
      <c r="AK320" s="198"/>
      <c r="AL320" s="198"/>
      <c r="AM320" s="198"/>
      <c r="AN320" s="198"/>
      <c r="AO320" s="198"/>
      <c r="AP320" s="198"/>
      <c r="AQ320" s="198"/>
      <c r="AR320" s="198"/>
      <c r="AS320" s="198"/>
      <c r="AT320" s="198"/>
      <c r="AU320" s="198"/>
      <c r="AV320" s="198"/>
      <c r="AW320" s="198"/>
      <c r="AX320" s="198"/>
      <c r="AY320" s="198"/>
      <c r="AZ320" s="198"/>
      <c r="BA320" s="198"/>
      <c r="BB320" s="198"/>
      <c r="BC320" s="198"/>
      <c r="BD320" s="198"/>
      <c r="BE320" s="198"/>
      <c r="BF320" s="198"/>
      <c r="BG320" s="198"/>
      <c r="BH320" s="198"/>
      <c r="BI320" s="198"/>
      <c r="BJ320" s="198"/>
      <c r="BK320" s="198"/>
      <c r="BL320" s="198"/>
      <c r="BM320" s="198"/>
      <c r="BN320" s="198"/>
      <c r="BO320" s="198"/>
      <c r="BP320" s="198"/>
      <c r="BQ320" s="198"/>
      <c r="BR320" s="198"/>
      <c r="BS320" s="198"/>
      <c r="BT320" s="198"/>
      <c r="BU320" s="198"/>
      <c r="BV320" s="198"/>
      <c r="BW320" s="198"/>
      <c r="BX320" s="198"/>
    </row>
    <row r="321" spans="1:76" x14ac:dyDescent="0.25">
      <c r="A321" s="2" t="str">
        <f>'Language Index'!A343</f>
        <v>Other Current Liabilities</v>
      </c>
      <c r="B321" s="18">
        <f>_xll.ciqfunctions.udf.CIQ($C$2, "IQ_OTHER_CL_SUPPL", D$6,$F$2,,,Ccy,Conv)</f>
        <v>178</v>
      </c>
      <c r="C321" s="18">
        <f>_xll.ciqfunctions.udf.CIQ($C$2, "IQ_OTHER_CL_SUPPL", E$6,$F$2,,,Ccy,Conv)</f>
        <v>175</v>
      </c>
      <c r="D321" s="18">
        <f>_xll.ciqfunctions.udf.CIQ($C$2, "IQ_OTHER_CL_SUPPL", F$6,$F$2,,,Ccy,Conv)</f>
        <v>159</v>
      </c>
      <c r="E321" s="18">
        <f>_xll.ciqfunctions.udf.CIQ($C$2, "IQ_OTHER_CL_SUPPL", G$6,$F$2,,,Ccy,Conv)</f>
        <v>403</v>
      </c>
      <c r="F321" s="18">
        <f>_xll.ciqfunctions.udf.CIQ($C$2, "IQ_OTHER_CL_SUPPL", H$6,$F$2,,,Ccy,Conv)</f>
        <v>177</v>
      </c>
      <c r="G321" s="18">
        <f>_xll.ciqfunctions.udf.CIQ($C$2, "IQ_OTHER_CL_SUPPL", I$6,$F$2,,,Ccy,Conv)</f>
        <v>167</v>
      </c>
      <c r="H321" s="18">
        <f>_xll.ciqfunctions.udf.CIQ($C$2, "IQ_OTHER_CL_SUPPL", J$6,$F$2,,,Ccy,Conv)</f>
        <v>4406</v>
      </c>
      <c r="I321" s="18">
        <f>_xll.ciqfunctions.udf.CIQ($C$2, "IQ_OTHER_CL_SUPPL", K$6,$F$2,,,Ccy,Conv)</f>
        <v>60</v>
      </c>
      <c r="J321" s="18">
        <f>_xll.ciqfunctions.udf.CIQ($C$2, "IQ_OTHER_CL_SUPPL", L$6,$F$2,,,Ccy,Conv)</f>
        <v>546</v>
      </c>
      <c r="K321" s="18">
        <f>_xll.ciqfunctions.udf.CIQ($C$2, "IQ_OTHER_CL_SUPPL", M$6,$F$2,,,Ccy,Conv)</f>
        <v>295</v>
      </c>
      <c r="L321" s="18">
        <f>_xll.ciqfunctions.udf.CIQ($C$2, "IQ_OTHER_CL_SUPPL", N$6,$F$2,,,Ccy,Conv)</f>
        <v>261</v>
      </c>
      <c r="M321" s="18"/>
      <c r="N321" s="18">
        <f>_xll.ciqfunctions.udf.CIQ($C$2, "IQ_OTHER_CL_SUPPL", P$6,$F$2,,,Ccy,Conv)</f>
        <v>261</v>
      </c>
      <c r="O321" s="198"/>
      <c r="P321" s="198"/>
      <c r="Q321" s="198"/>
      <c r="R321" s="198"/>
      <c r="S321" s="198"/>
      <c r="T321" s="205"/>
      <c r="U321" s="205"/>
      <c r="V321" s="205"/>
      <c r="W321" s="198"/>
      <c r="X321" s="198"/>
      <c r="Y321" s="198"/>
      <c r="Z321" s="198"/>
      <c r="AA321" s="198"/>
      <c r="AB321" s="198"/>
      <c r="AC321" s="198"/>
      <c r="AD321" s="215"/>
      <c r="AE321" s="215"/>
      <c r="AF321" s="198"/>
      <c r="AG321" s="198"/>
      <c r="AH321" s="198"/>
      <c r="AI321" s="198"/>
      <c r="AJ321" s="198"/>
      <c r="AK321" s="198"/>
      <c r="AL321" s="198"/>
      <c r="AM321" s="198"/>
      <c r="AN321" s="198"/>
      <c r="AO321" s="198"/>
      <c r="AP321" s="198"/>
      <c r="AQ321" s="198"/>
      <c r="AR321" s="198"/>
      <c r="AS321" s="198"/>
      <c r="AT321" s="198"/>
      <c r="AU321" s="198"/>
      <c r="AV321" s="198"/>
      <c r="AW321" s="198"/>
      <c r="AX321" s="198"/>
      <c r="AY321" s="198"/>
      <c r="AZ321" s="198"/>
      <c r="BA321" s="198"/>
      <c r="BB321" s="198"/>
      <c r="BC321" s="198"/>
      <c r="BD321" s="198"/>
      <c r="BE321" s="198"/>
      <c r="BF321" s="198"/>
      <c r="BG321" s="198"/>
      <c r="BH321" s="198"/>
      <c r="BI321" s="198"/>
      <c r="BJ321" s="198"/>
      <c r="BK321" s="198"/>
      <c r="BL321" s="198"/>
      <c r="BM321" s="198"/>
      <c r="BN321" s="198"/>
      <c r="BO321" s="198"/>
      <c r="BP321" s="198"/>
      <c r="BQ321" s="198"/>
      <c r="BR321" s="198"/>
      <c r="BS321" s="198"/>
      <c r="BT321" s="198"/>
      <c r="BU321" s="198"/>
      <c r="BV321" s="198"/>
      <c r="BW321" s="198"/>
      <c r="BX321" s="198"/>
    </row>
    <row r="322" spans="1:76" x14ac:dyDescent="0.25">
      <c r="A322" s="19" t="str">
        <f>'Language Index'!A344</f>
        <v>Total Current Liabilities</v>
      </c>
      <c r="B322" s="20">
        <f>_xll.ciqfunctions.udf.CIQ($C$2, "IQ_TOTAL_CL", D$6,$F$2,,,Ccy,Conv)</f>
        <v>39581</v>
      </c>
      <c r="C322" s="20">
        <f>_xll.ciqfunctions.udf.CIQ($C$2, "IQ_TOTAL_CL", E$6,$F$2,,,Ccy,Conv)</f>
        <v>34269</v>
      </c>
      <c r="D322" s="20">
        <f>_xll.ciqfunctions.udf.CIQ($C$2, "IQ_TOTAL_CL", F$6,$F$2,,,Ccy,Conv)</f>
        <v>36275</v>
      </c>
      <c r="E322" s="20">
        <f>_xll.ciqfunctions.udf.CIQ($C$2, "IQ_TOTAL_CL", G$6,$F$2,,,Ccy,Conv)</f>
        <v>37363</v>
      </c>
      <c r="F322" s="20">
        <f>_xll.ciqfunctions.udf.CIQ($C$2, "IQ_TOTAL_CL", H$6,$F$2,,,Ccy,Conv)</f>
        <v>38227</v>
      </c>
      <c r="G322" s="20">
        <f>_xll.ciqfunctions.udf.CIQ($C$2, "IQ_TOTAL_CL", I$6,$F$2,,,Ccy,Conv)</f>
        <v>37701</v>
      </c>
      <c r="H322" s="20">
        <f>_xll.ciqfunctions.udf.CIQ($C$2, "IQ_TOTAL_CL", J$6,$F$2,,,Ccy,Conv)</f>
        <v>39869</v>
      </c>
      <c r="I322" s="20">
        <f>_xll.ciqfunctions.udf.CIQ($C$2, "IQ_TOTAL_CL", K$6,$F$2,,,Ccy,Conv)</f>
        <v>33619</v>
      </c>
      <c r="J322" s="20">
        <f>_xll.ciqfunctions.udf.CIQ($C$2, "IQ_TOTAL_CL", L$6,$F$2,,,Ccy,Conv)</f>
        <v>31505</v>
      </c>
      <c r="K322" s="20">
        <f>_xll.ciqfunctions.udf.CIQ($C$2, "IQ_TOTAL_CL", M$6,$F$2,,,Ccy,Conv)</f>
        <v>34122</v>
      </c>
      <c r="L322" s="20">
        <f>_xll.ciqfunctions.udf.CIQ($C$2, "IQ_TOTAL_CL", N$6,$F$2,,,Ccy,Conv)</f>
        <v>33142</v>
      </c>
      <c r="M322" s="21"/>
      <c r="N322" s="20">
        <f>_xll.ciqfunctions.udf.CIQ($C$2, "IQ_TOTAL_CL", P$6,$F$2,,,Ccy,Conv)</f>
        <v>33142</v>
      </c>
      <c r="O322" s="198"/>
      <c r="P322" s="198"/>
      <c r="Q322" s="198"/>
      <c r="R322" s="198"/>
      <c r="S322" s="198"/>
      <c r="T322" s="205"/>
      <c r="U322" s="205"/>
      <c r="V322" s="205"/>
      <c r="W322" s="198"/>
      <c r="X322" s="198"/>
      <c r="Y322" s="198"/>
      <c r="Z322" s="198"/>
      <c r="AA322" s="198"/>
      <c r="AB322" s="198"/>
      <c r="AC322" s="215"/>
      <c r="AD322" s="215"/>
      <c r="AE322" s="215"/>
      <c r="AF322" s="198"/>
      <c r="AG322" s="198"/>
      <c r="AH322" s="198"/>
      <c r="AI322" s="198"/>
      <c r="AJ322" s="198"/>
      <c r="AK322" s="198"/>
      <c r="AL322" s="198"/>
      <c r="AM322" s="198"/>
      <c r="AN322" s="198"/>
      <c r="AO322" s="198"/>
      <c r="AP322" s="198"/>
      <c r="AQ322" s="198"/>
      <c r="AR322" s="198"/>
      <c r="AS322" s="198"/>
      <c r="AT322" s="198"/>
      <c r="AU322" s="198"/>
      <c r="AV322" s="198"/>
      <c r="AW322" s="198"/>
      <c r="AX322" s="198"/>
      <c r="AY322" s="198"/>
      <c r="AZ322" s="198"/>
      <c r="BA322" s="198"/>
      <c r="BB322" s="198"/>
      <c r="BC322" s="198"/>
      <c r="BD322" s="198"/>
      <c r="BE322" s="198"/>
      <c r="BF322" s="198"/>
      <c r="BG322" s="198"/>
      <c r="BH322" s="198"/>
      <c r="BI322" s="198"/>
      <c r="BJ322" s="198"/>
      <c r="BK322" s="198"/>
      <c r="BL322" s="198"/>
      <c r="BM322" s="198"/>
      <c r="BN322" s="198"/>
      <c r="BO322" s="198"/>
      <c r="BP322" s="198"/>
      <c r="BQ322" s="198"/>
      <c r="BR322" s="198"/>
      <c r="BS322" s="198"/>
      <c r="BT322" s="198"/>
      <c r="BU322" s="198"/>
      <c r="BV322" s="198"/>
      <c r="BW322" s="198"/>
      <c r="BX322" s="198"/>
    </row>
    <row r="323" spans="1:76" x14ac:dyDescent="0.25">
      <c r="A323" s="2" t="str">
        <f>'Language Index'!A345</f>
        <v>Long-Term Debt</v>
      </c>
      <c r="B323" s="18">
        <f>_xll.ciqfunctions.udf.CIQ($C$2, "IQ_LT_DEBT", D$6,$F$2,,,Ccy,Conv)</f>
        <v>34991</v>
      </c>
      <c r="C323" s="18">
        <f>_xll.ciqfunctions.udf.CIQ($C$2, "IQ_LT_DEBT", E$6,$F$2,,,Ccy,Conv)</f>
        <v>33431</v>
      </c>
      <c r="D323" s="18">
        <f>_xll.ciqfunctions.udf.CIQ($C$2, "IQ_LT_DEBT", F$6,$F$2,,,Ccy,Conv)</f>
        <v>34663</v>
      </c>
      <c r="E323" s="18">
        <f>_xll.ciqfunctions.udf.CIQ($C$2, "IQ_LT_DEBT", G$6,$F$2,,,Ccy,Conv)</f>
        <v>39871</v>
      </c>
      <c r="F323" s="18">
        <f>_xll.ciqfunctions.udf.CIQ($C$2, "IQ_LT_DEBT", H$6,$F$2,,,Ccy,Conv)</f>
        <v>35567</v>
      </c>
      <c r="G323" s="18">
        <f>_xll.ciqfunctions.udf.CIQ($C$2, "IQ_LT_DEBT", I$6,$F$2,,,Ccy,Conv)</f>
        <v>53951</v>
      </c>
      <c r="H323" s="18">
        <f>_xll.ciqfunctions.udf.CIQ($C$2, "IQ_LT_DEBT", J$6,$F$2,,,Ccy,Conv)</f>
        <v>54157</v>
      </c>
      <c r="I323" s="18">
        <f>_xll.ciqfunctions.udf.CIQ($C$2, "IQ_LT_DEBT", K$6,$F$2,,,Ccy,Conv)</f>
        <v>44854</v>
      </c>
      <c r="J323" s="18">
        <f>_xll.ciqfunctions.udf.CIQ($C$2, "IQ_LT_DEBT", L$6,$F$2,,,Ccy,Conv)</f>
        <v>46025</v>
      </c>
      <c r="K323" s="18">
        <f>_xll.ciqfunctions.udf.CIQ($C$2, "IQ_LT_DEBT", M$6,$F$2,,,Ccy,Conv)</f>
        <v>49742</v>
      </c>
      <c r="L323" s="18">
        <f>_xll.ciqfunctions.udf.CIQ($C$2, "IQ_LT_DEBT", N$6,$F$2,,,Ccy,Conv)</f>
        <v>49081</v>
      </c>
      <c r="M323" s="18"/>
      <c r="N323" s="18">
        <f>_xll.ciqfunctions.udf.CIQ($C$2, "IQ_LT_DEBT", P$6,$F$2,,,Ccy,Conv)</f>
        <v>49081</v>
      </c>
      <c r="O323" s="198"/>
      <c r="P323" s="198"/>
      <c r="Q323" s="198"/>
      <c r="R323" s="198"/>
      <c r="S323" s="198"/>
      <c r="T323" s="205"/>
      <c r="U323" s="205"/>
      <c r="V323" s="205"/>
      <c r="W323" s="198"/>
      <c r="X323" s="198"/>
      <c r="Y323" s="198"/>
      <c r="Z323" s="198"/>
      <c r="AA323" s="198"/>
      <c r="AB323" s="198"/>
      <c r="AC323" s="198"/>
      <c r="AD323" s="198"/>
      <c r="AE323" s="198"/>
      <c r="AF323" s="198"/>
      <c r="AG323" s="198"/>
      <c r="AH323" s="198"/>
      <c r="AI323" s="198"/>
      <c r="AJ323" s="198"/>
      <c r="AK323" s="198"/>
      <c r="AL323" s="198"/>
      <c r="AM323" s="198"/>
      <c r="AN323" s="198"/>
      <c r="AO323" s="198"/>
      <c r="AP323" s="198"/>
      <c r="AQ323" s="198"/>
      <c r="AR323" s="198"/>
      <c r="AS323" s="198"/>
      <c r="AT323" s="198"/>
      <c r="AU323" s="198"/>
      <c r="AV323" s="198"/>
      <c r="AW323" s="198"/>
      <c r="AX323" s="198"/>
      <c r="AY323" s="198"/>
      <c r="AZ323" s="198"/>
      <c r="BA323" s="198"/>
      <c r="BB323" s="198"/>
      <c r="BC323" s="198"/>
      <c r="BD323" s="198"/>
      <c r="BE323" s="198"/>
      <c r="BF323" s="198"/>
      <c r="BG323" s="198"/>
      <c r="BH323" s="198"/>
      <c r="BI323" s="198"/>
      <c r="BJ323" s="198"/>
      <c r="BK323" s="198"/>
      <c r="BL323" s="198"/>
      <c r="BM323" s="198"/>
      <c r="BN323" s="198"/>
      <c r="BO323" s="198"/>
      <c r="BP323" s="198"/>
      <c r="BQ323" s="198"/>
      <c r="BR323" s="198"/>
      <c r="BS323" s="198"/>
      <c r="BT323" s="198"/>
      <c r="BU323" s="198"/>
      <c r="BV323" s="198"/>
      <c r="BW323" s="198"/>
      <c r="BX323" s="198"/>
    </row>
    <row r="324" spans="1:76" x14ac:dyDescent="0.25">
      <c r="A324" s="198" t="str">
        <f>'Language Index'!A346</f>
        <v>Long-Term Leases</v>
      </c>
      <c r="B324" s="18">
        <f>_xll.ciqfunctions.udf.CIQ($C$2, "IQ_LONG_TERM_LEASES", D$6,$F$2,,,Ccy,Conv)</f>
        <v>0</v>
      </c>
      <c r="C324" s="18">
        <f>_xll.ciqfunctions.udf.CIQ($C$2, "IQ_LONG_TERM_LEASES", E$6,$F$2,,,Ccy,Conv)</f>
        <v>0</v>
      </c>
      <c r="D324" s="18">
        <f>_xll.ciqfunctions.udf.CIQ($C$2, "IQ_LONG_TERM_LEASES", F$6,$F$2,,,Ccy,Conv)</f>
        <v>0</v>
      </c>
      <c r="E324" s="18">
        <f>_xll.ciqfunctions.udf.CIQ($C$2, "IQ_LONG_TERM_LEASES", G$6,$F$2,,,Ccy,Conv)</f>
        <v>0</v>
      </c>
      <c r="F324" s="18">
        <f>_xll.ciqfunctions.udf.CIQ($C$2, "IQ_LONG_TERM_LEASES", H$6,$F$2,,,Ccy,Conv)</f>
        <v>38</v>
      </c>
      <c r="G324" s="18">
        <f>_xll.ciqfunctions.udf.CIQ($C$2, "IQ_LONG_TERM_LEASES", I$6,$F$2,,,Ccy,Conv)</f>
        <v>4030</v>
      </c>
      <c r="H324" s="18">
        <f>_xll.ciqfunctions.udf.CIQ($C$2, "IQ_LONG_TERM_LEASES", J$6,$F$2,,,Ccy,Conv)</f>
        <v>2780</v>
      </c>
      <c r="I324" s="18">
        <f>_xll.ciqfunctions.udf.CIQ($C$2, "IQ_LONG_TERM_LEASES", K$6,$F$2,,,Ccy,Conv)</f>
        <v>2525</v>
      </c>
      <c r="J324" s="18">
        <f>_xll.ciqfunctions.udf.CIQ($C$2, "IQ_LONG_TERM_LEASES", L$6,$F$2,,,Ccy,Conv)</f>
        <v>2354</v>
      </c>
      <c r="K324" s="18">
        <f>_xll.ciqfunctions.udf.CIQ($C$2, "IQ_LONG_TERM_LEASES", M$6,$F$2,,,Ccy,Conv)</f>
        <v>2947</v>
      </c>
      <c r="L324" s="18">
        <f>_xll.ciqfunctions.udf.CIQ($C$2, "IQ_LONG_TERM_LEASES", N$6,$F$2,,,Ccy,Conv)</f>
        <v>3458</v>
      </c>
      <c r="M324" s="18"/>
      <c r="N324" s="18">
        <f>_xll.ciqfunctions.udf.CIQ($C$2, "IQ_LONG_TERM_LEASES", P$6,$F$2,,,Ccy,Conv)</f>
        <v>3458</v>
      </c>
      <c r="O324" s="198"/>
      <c r="P324" s="198"/>
      <c r="Q324" s="198"/>
      <c r="R324" s="198"/>
      <c r="S324" s="198"/>
      <c r="T324" s="216"/>
      <c r="U324" s="216"/>
      <c r="V324" s="216"/>
      <c r="W324" s="215"/>
      <c r="X324" s="215"/>
      <c r="Y324" s="215"/>
      <c r="Z324" s="215"/>
      <c r="AA324" s="215"/>
      <c r="AB324" s="215"/>
      <c r="AC324" s="198"/>
      <c r="AD324" s="198"/>
      <c r="AE324" s="198"/>
      <c r="AF324" s="215"/>
      <c r="AG324" s="198"/>
      <c r="AH324" s="198"/>
      <c r="AI324" s="198"/>
      <c r="AJ324" s="198"/>
      <c r="AK324" s="198"/>
      <c r="AL324" s="198"/>
      <c r="AM324" s="198"/>
      <c r="AN324" s="198"/>
      <c r="AO324" s="198"/>
      <c r="AP324" s="198"/>
      <c r="AQ324" s="198"/>
      <c r="AR324" s="198"/>
      <c r="AS324" s="198"/>
      <c r="AT324" s="198"/>
      <c r="AU324" s="198"/>
      <c r="AV324" s="198"/>
      <c r="AW324" s="198"/>
      <c r="AX324" s="198"/>
      <c r="AY324" s="198"/>
      <c r="AZ324" s="198"/>
      <c r="BA324" s="198"/>
      <c r="BB324" s="198"/>
      <c r="BC324" s="198"/>
      <c r="BD324" s="198"/>
      <c r="BE324" s="198"/>
      <c r="BF324" s="198"/>
      <c r="BG324" s="198"/>
      <c r="BH324" s="198"/>
      <c r="BI324" s="198"/>
      <c r="BJ324" s="198"/>
      <c r="BK324" s="198"/>
      <c r="BL324" s="198"/>
      <c r="BM324" s="198"/>
      <c r="BN324" s="198"/>
      <c r="BO324" s="198"/>
      <c r="BP324" s="198"/>
      <c r="BQ324" s="198"/>
      <c r="BR324" s="198"/>
      <c r="BS324" s="198"/>
      <c r="BT324" s="198"/>
      <c r="BU324" s="198"/>
      <c r="BV324" s="198"/>
      <c r="BW324" s="198"/>
      <c r="BX324" s="198"/>
    </row>
    <row r="325" spans="1:76" x14ac:dyDescent="0.25">
      <c r="A325" s="198" t="str">
        <f>'Language Index'!A347</f>
        <v>Finance Div. Debt Non-Curr.</v>
      </c>
      <c r="B325" s="18">
        <f>_xll.ciqfunctions.udf.CIQ($C$2, "IQ_FIN_DIV_DEBT_LT", D$6,$F$2,,,Ccy,Conv)</f>
        <v>0</v>
      </c>
      <c r="C325" s="18">
        <f>_xll.ciqfunctions.udf.CIQ($C$2, "IQ_FIN_DIV_DEBT_LT", E$6,$F$2,,,Ccy,Conv)</f>
        <v>0</v>
      </c>
      <c r="D325" s="18">
        <f>_xll.ciqfunctions.udf.CIQ($C$2, "IQ_FIN_DIV_DEBT_LT", F$6,$F$2,,,Ccy,Conv)</f>
        <v>0</v>
      </c>
      <c r="E325" s="18">
        <f>_xll.ciqfunctions.udf.CIQ($C$2, "IQ_FIN_DIV_DEBT_LT", G$6,$F$2,,,Ccy,Conv)</f>
        <v>0</v>
      </c>
      <c r="F325" s="18">
        <f>_xll.ciqfunctions.udf.CIQ($C$2, "IQ_FIN_DIV_DEBT_LT", H$6,$F$2,,,Ccy,Conv)</f>
        <v>0</v>
      </c>
      <c r="G325" s="18">
        <f>_xll.ciqfunctions.udf.CIQ($C$2, "IQ_FIN_DIV_DEBT_LT", I$6,$F$2,,,Ccy,Conv)</f>
        <v>0</v>
      </c>
      <c r="H325" s="18">
        <f>_xll.ciqfunctions.udf.CIQ($C$2, "IQ_FIN_DIV_DEBT_LT", J$6,$F$2,,,Ccy,Conv)</f>
        <v>0</v>
      </c>
      <c r="I325" s="18">
        <f>_xll.ciqfunctions.udf.CIQ($C$2, "IQ_FIN_DIV_DEBT_LT", K$6,$F$2,,,Ccy,Conv)</f>
        <v>0</v>
      </c>
      <c r="J325" s="18">
        <f>_xll.ciqfunctions.udf.CIQ($C$2, "IQ_FIN_DIV_DEBT_LT", L$6,$F$2,,,Ccy,Conv)</f>
        <v>0</v>
      </c>
      <c r="K325" s="18">
        <f>_xll.ciqfunctions.udf.CIQ($C$2, "IQ_FIN_DIV_DEBT_LT", M$6,$F$2,,,Ccy,Conv)</f>
        <v>0</v>
      </c>
      <c r="L325" s="18">
        <f>_xll.ciqfunctions.udf.CIQ($C$2, "IQ_FIN_DIV_DEBT_LT", N$6,$F$2,,,Ccy,Conv)</f>
        <v>0</v>
      </c>
      <c r="M325" s="18"/>
      <c r="N325" s="18">
        <f>_xll.ciqfunctions.udf.CIQ($C$2, "IQ_FIN_DIV_DEBT_LT", P$6,$F$2,,,Ccy,Conv)</f>
        <v>0</v>
      </c>
      <c r="O325" s="215"/>
      <c r="P325" s="198"/>
      <c r="Q325" s="198"/>
      <c r="R325" s="198"/>
      <c r="S325" s="198"/>
      <c r="T325" s="205"/>
      <c r="U325" s="205"/>
      <c r="V325" s="205"/>
      <c r="W325" s="198"/>
      <c r="X325" s="198"/>
      <c r="Y325" s="198"/>
      <c r="Z325" s="198"/>
      <c r="AA325" s="198"/>
      <c r="AB325" s="198"/>
      <c r="AC325" s="198"/>
      <c r="AD325" s="198"/>
      <c r="AE325" s="198"/>
      <c r="AF325" s="198"/>
      <c r="AG325" s="198"/>
      <c r="AH325" s="198"/>
      <c r="AI325" s="198"/>
      <c r="AJ325" s="198"/>
      <c r="AK325" s="198"/>
      <c r="AL325" s="198"/>
      <c r="AM325" s="198"/>
      <c r="AN325" s="198"/>
      <c r="AO325" s="198"/>
      <c r="AP325" s="198"/>
      <c r="AQ325" s="198"/>
      <c r="AR325" s="198"/>
      <c r="AS325" s="198"/>
      <c r="AT325" s="198"/>
      <c r="AU325" s="198"/>
      <c r="AV325" s="198"/>
      <c r="AW325" s="198"/>
      <c r="AX325" s="198"/>
      <c r="AY325" s="198"/>
      <c r="AZ325" s="198"/>
      <c r="BA325" s="198"/>
      <c r="BB325" s="198"/>
      <c r="BC325" s="198"/>
      <c r="BD325" s="198"/>
      <c r="BE325" s="198"/>
      <c r="BF325" s="198"/>
      <c r="BG325" s="198"/>
      <c r="BH325" s="198"/>
      <c r="BI325" s="198"/>
      <c r="BJ325" s="198"/>
      <c r="BK325" s="198"/>
      <c r="BL325" s="198"/>
      <c r="BM325" s="198"/>
      <c r="BN325" s="198"/>
      <c r="BO325" s="198"/>
      <c r="BP325" s="198"/>
      <c r="BQ325" s="198"/>
      <c r="BR325" s="198"/>
      <c r="BS325" s="198"/>
      <c r="BT325" s="198"/>
      <c r="BU325" s="198"/>
      <c r="BV325" s="198"/>
      <c r="BW325" s="198"/>
      <c r="BX325" s="198"/>
    </row>
    <row r="326" spans="1:76" x14ac:dyDescent="0.25">
      <c r="A326" s="198" t="str">
        <f>'Language Index'!A348</f>
        <v>Finance Div. Other Non-Curr. Liab.</v>
      </c>
      <c r="B326" s="18">
        <f>_xll.ciqfunctions.udf.CIQ($C$2, "IQ_FIN_DIV_LIAB_LT", D$6,$F$2,,,Ccy,Conv)</f>
        <v>0</v>
      </c>
      <c r="C326" s="18">
        <f>_xll.ciqfunctions.udf.CIQ($C$2, "IQ_FIN_DIV_LIAB_LT", E$6,$F$2,,,Ccy,Conv)</f>
        <v>0</v>
      </c>
      <c r="D326" s="18">
        <f>_xll.ciqfunctions.udf.CIQ($C$2, "IQ_FIN_DIV_LIAB_LT", F$6,$F$2,,,Ccy,Conv)</f>
        <v>0</v>
      </c>
      <c r="E326" s="18">
        <f>_xll.ciqfunctions.udf.CIQ($C$2, "IQ_FIN_DIV_LIAB_LT", G$6,$F$2,,,Ccy,Conv)</f>
        <v>0</v>
      </c>
      <c r="F326" s="18">
        <f>_xll.ciqfunctions.udf.CIQ($C$2, "IQ_FIN_DIV_LIAB_LT", H$6,$F$2,,,Ccy,Conv)</f>
        <v>0</v>
      </c>
      <c r="G326" s="18">
        <f>_xll.ciqfunctions.udf.CIQ($C$2, "IQ_FIN_DIV_LIAB_LT", I$6,$F$2,,,Ccy,Conv)</f>
        <v>0</v>
      </c>
      <c r="H326" s="18">
        <f>_xll.ciqfunctions.udf.CIQ($C$2, "IQ_FIN_DIV_LIAB_LT", J$6,$F$2,,,Ccy,Conv)</f>
        <v>0</v>
      </c>
      <c r="I326" s="18">
        <f>_xll.ciqfunctions.udf.CIQ($C$2, "IQ_FIN_DIV_LIAB_LT", K$6,$F$2,,,Ccy,Conv)</f>
        <v>0</v>
      </c>
      <c r="J326" s="18">
        <f>_xll.ciqfunctions.udf.CIQ($C$2, "IQ_FIN_DIV_LIAB_LT", L$6,$F$2,,,Ccy,Conv)</f>
        <v>0</v>
      </c>
      <c r="K326" s="18">
        <f>_xll.ciqfunctions.udf.CIQ($C$2, "IQ_FIN_DIV_LIAB_LT", M$6,$F$2,,,Ccy,Conv)</f>
        <v>0</v>
      </c>
      <c r="L326" s="18">
        <f>_xll.ciqfunctions.udf.CIQ($C$2, "IQ_FIN_DIV_LIAB_LT", N$6,$F$2,,,Ccy,Conv)</f>
        <v>0</v>
      </c>
      <c r="M326" s="18"/>
      <c r="N326" s="18">
        <f>_xll.ciqfunctions.udf.CIQ($C$2, "IQ_FIN_DIV_LIAB_LT", P$6,$F$2,,,Ccy,Conv)</f>
        <v>0</v>
      </c>
      <c r="O326" s="198"/>
      <c r="P326" s="198"/>
      <c r="Q326" s="198"/>
      <c r="R326" s="198"/>
      <c r="S326" s="198"/>
      <c r="T326" s="205"/>
      <c r="U326" s="205"/>
      <c r="V326" s="205"/>
      <c r="W326" s="198"/>
      <c r="X326" s="198"/>
      <c r="Y326" s="198"/>
      <c r="Z326" s="198"/>
      <c r="AA326" s="198"/>
      <c r="AB326" s="198"/>
      <c r="AC326" s="215"/>
      <c r="AD326" s="198"/>
      <c r="AE326" s="198"/>
      <c r="AF326" s="198"/>
      <c r="AG326" s="198"/>
      <c r="AH326" s="198"/>
      <c r="AI326" s="198"/>
      <c r="AJ326" s="198"/>
      <c r="AK326" s="198"/>
      <c r="AL326" s="198"/>
      <c r="AM326" s="198"/>
      <c r="AN326" s="198"/>
      <c r="AO326" s="198"/>
      <c r="AP326" s="198"/>
      <c r="AQ326" s="198"/>
      <c r="AR326" s="198"/>
      <c r="AS326" s="198"/>
      <c r="AT326" s="198"/>
      <c r="AU326" s="198"/>
      <c r="AV326" s="198"/>
      <c r="AW326" s="198"/>
      <c r="AX326" s="198"/>
      <c r="AY326" s="198"/>
      <c r="AZ326" s="198"/>
      <c r="BA326" s="198"/>
      <c r="BB326" s="198"/>
      <c r="BC326" s="198"/>
      <c r="BD326" s="198"/>
      <c r="BE326" s="198"/>
      <c r="BF326" s="198"/>
      <c r="BG326" s="198"/>
      <c r="BH326" s="198"/>
      <c r="BI326" s="198"/>
      <c r="BJ326" s="198"/>
      <c r="BK326" s="198"/>
      <c r="BL326" s="198"/>
      <c r="BM326" s="198"/>
      <c r="BN326" s="198"/>
      <c r="BO326" s="198"/>
      <c r="BP326" s="198"/>
      <c r="BQ326" s="198"/>
      <c r="BR326" s="198"/>
      <c r="BS326" s="198"/>
      <c r="BT326" s="198"/>
      <c r="BU326" s="198"/>
      <c r="BV326" s="198"/>
      <c r="BW326" s="198"/>
      <c r="BX326" s="198"/>
    </row>
    <row r="327" spans="1:76" x14ac:dyDescent="0.25">
      <c r="A327" s="198" t="str">
        <f>'Language Index'!A349</f>
        <v>Unearned Revenue, Non-Current</v>
      </c>
      <c r="B327" s="18">
        <f>_xll.ciqfunctions.udf.CIQ($C$2, "IQ_UNEARN_REV_LT", D$6,$F$2,,,Ccy,Conv)</f>
        <v>3691</v>
      </c>
      <c r="C327" s="18">
        <f>_xll.ciqfunctions.udf.CIQ($C$2, "IQ_UNEARN_REV_LT", E$6,$F$2,,,Ccy,Conv)</f>
        <v>3771</v>
      </c>
      <c r="D327" s="18">
        <f>_xll.ciqfunctions.udf.CIQ($C$2, "IQ_UNEARN_REV_LT", F$6,$F$2,,,Ccy,Conv)</f>
        <v>3600</v>
      </c>
      <c r="E327" s="18">
        <f>_xll.ciqfunctions.udf.CIQ($C$2, "IQ_UNEARN_REV_LT", G$6,$F$2,,,Ccy,Conv)</f>
        <v>3746</v>
      </c>
      <c r="F327" s="18">
        <f>_xll.ciqfunctions.udf.CIQ($C$2, "IQ_UNEARN_REV_LT", H$6,$F$2,,,Ccy,Conv)</f>
        <v>3445</v>
      </c>
      <c r="G327" s="18">
        <f>_xll.ciqfunctions.udf.CIQ($C$2, "IQ_UNEARN_REV_LT", I$6,$F$2,,,Ccy,Conv)</f>
        <v>3851</v>
      </c>
      <c r="H327" s="18">
        <f>_xll.ciqfunctions.udf.CIQ($C$2, "IQ_UNEARN_REV_LT", J$6,$F$2,,,Ccy,Conv)</f>
        <v>3758</v>
      </c>
      <c r="I327" s="18">
        <f>_xll.ciqfunctions.udf.CIQ($C$2, "IQ_UNEARN_REV_LT", K$6,$F$2,,,Ccy,Conv)</f>
        <v>3577</v>
      </c>
      <c r="J327" s="18">
        <f>_xll.ciqfunctions.udf.CIQ($C$2, "IQ_UNEARN_REV_LT", L$6,$F$2,,,Ccy,Conv)</f>
        <v>3499</v>
      </c>
      <c r="K327" s="18">
        <f>_xll.ciqfunctions.udf.CIQ($C$2, "IQ_UNEARN_REV_LT", M$6,$F$2,,,Ccy,Conv)</f>
        <v>3533</v>
      </c>
      <c r="L327" s="18">
        <f>_xll.ciqfunctions.udf.CIQ($C$2, "IQ_UNEARN_REV_LT", N$6,$F$2,,,Ccy,Conv)</f>
        <v>3622</v>
      </c>
      <c r="M327" s="18"/>
      <c r="N327" s="18">
        <f>_xll.ciqfunctions.udf.CIQ($C$2, "IQ_UNEARN_REV_LT", P$6,$F$2,,,Ccy,Conv)</f>
        <v>3622</v>
      </c>
      <c r="O327" s="198"/>
      <c r="P327" s="198"/>
      <c r="Q327" s="198"/>
      <c r="R327" s="198"/>
      <c r="S327" s="198"/>
      <c r="T327" s="216"/>
      <c r="U327" s="216"/>
      <c r="V327" s="216"/>
      <c r="W327" s="215"/>
      <c r="X327" s="215"/>
      <c r="Y327" s="215"/>
      <c r="Z327" s="215"/>
      <c r="AA327" s="215"/>
      <c r="AB327" s="215"/>
      <c r="AC327" s="198"/>
      <c r="AD327" s="215"/>
      <c r="AE327" s="215"/>
      <c r="AF327" s="215"/>
      <c r="AG327" s="198"/>
      <c r="AH327" s="198"/>
      <c r="AI327" s="198"/>
      <c r="AJ327" s="198"/>
      <c r="AK327" s="198"/>
      <c r="AL327" s="198"/>
      <c r="AM327" s="198"/>
      <c r="AN327" s="198"/>
      <c r="AO327" s="198"/>
      <c r="AP327" s="198"/>
      <c r="AQ327" s="198"/>
      <c r="AR327" s="198"/>
      <c r="AS327" s="198"/>
      <c r="AT327" s="198"/>
      <c r="AU327" s="198"/>
      <c r="AV327" s="198"/>
      <c r="AW327" s="198"/>
      <c r="AX327" s="198"/>
      <c r="AY327" s="198"/>
      <c r="AZ327" s="198"/>
      <c r="BA327" s="198"/>
      <c r="BB327" s="198"/>
      <c r="BC327" s="198"/>
      <c r="BD327" s="198"/>
      <c r="BE327" s="198"/>
      <c r="BF327" s="198"/>
      <c r="BG327" s="198"/>
      <c r="BH327" s="198"/>
      <c r="BI327" s="198"/>
      <c r="BJ327" s="198"/>
      <c r="BK327" s="198"/>
      <c r="BL327" s="198"/>
      <c r="BM327" s="198"/>
      <c r="BN327" s="198"/>
      <c r="BO327" s="198"/>
      <c r="BP327" s="198"/>
      <c r="BQ327" s="198"/>
      <c r="BR327" s="198"/>
      <c r="BS327" s="198"/>
      <c r="BT327" s="198"/>
      <c r="BU327" s="198"/>
      <c r="BV327" s="198"/>
      <c r="BW327" s="198"/>
      <c r="BX327" s="198"/>
    </row>
    <row r="328" spans="1:76" x14ac:dyDescent="0.25">
      <c r="A328" s="198" t="str">
        <f>'Language Index'!A350</f>
        <v>Pension &amp; Other Post-Retire. Benefits</v>
      </c>
      <c r="B328" s="18">
        <f>_xll.ciqfunctions.udf.CIQ($C$2, "IQ_PENSION", D$6,$F$2,,,Ccy,Conv)</f>
        <v>18261</v>
      </c>
      <c r="C328" s="18">
        <f>_xll.ciqfunctions.udf.CIQ($C$2, "IQ_PENSION", E$6,$F$2,,,Ccy,Conv)</f>
        <v>16504</v>
      </c>
      <c r="D328" s="18">
        <f>_xll.ciqfunctions.udf.CIQ($C$2, "IQ_PENSION", F$6,$F$2,,,Ccy,Conv)</f>
        <v>17070</v>
      </c>
      <c r="E328" s="18">
        <f>_xll.ciqfunctions.udf.CIQ($C$2, "IQ_PENSION", G$6,$F$2,,,Ccy,Conv)</f>
        <v>16720</v>
      </c>
      <c r="F328" s="18">
        <f>_xll.ciqfunctions.udf.CIQ($C$2, "IQ_PENSION", H$6,$F$2,,,Ccy,Conv)</f>
        <v>17002</v>
      </c>
      <c r="G328" s="18">
        <f>_xll.ciqfunctions.udf.CIQ($C$2, "IQ_PENSION", I$6,$F$2,,,Ccy,Conv)</f>
        <v>17142</v>
      </c>
      <c r="H328" s="18">
        <f>_xll.ciqfunctions.udf.CIQ($C$2, "IQ_PENSION", J$6,$F$2,,,Ccy,Conv)</f>
        <v>17184</v>
      </c>
      <c r="I328" s="18">
        <f>_xll.ciqfunctions.udf.CIQ($C$2, "IQ_PENSION", K$6,$F$2,,,Ccy,Conv)</f>
        <v>14435</v>
      </c>
      <c r="J328" s="18">
        <f>_xll.ciqfunctions.udf.CIQ($C$2, "IQ_PENSION", L$6,$F$2,,,Ccy,Conv)</f>
        <v>9596</v>
      </c>
      <c r="K328" s="18">
        <f>_xll.ciqfunctions.udf.CIQ($C$2, "IQ_PENSION", M$6,$F$2,,,Ccy,Conv)</f>
        <v>10808</v>
      </c>
      <c r="L328" s="18">
        <f>_xll.ciqfunctions.udf.CIQ($C$2, "IQ_PENSION", N$6,$F$2,,,Ccy,Conv)</f>
        <v>9432</v>
      </c>
      <c r="M328" s="18"/>
      <c r="N328" s="18">
        <f>_xll.ciqfunctions.udf.CIQ($C$2, "IQ_PENSION", P$6,$F$2,,,Ccy,Conv)</f>
        <v>9432</v>
      </c>
      <c r="O328" s="215"/>
      <c r="P328" s="198"/>
      <c r="Q328" s="198"/>
      <c r="R328" s="198"/>
      <c r="S328" s="198"/>
      <c r="T328" s="205"/>
      <c r="U328" s="205"/>
      <c r="V328" s="205"/>
      <c r="W328" s="198"/>
      <c r="X328" s="198"/>
      <c r="Y328" s="198"/>
      <c r="Z328" s="198"/>
      <c r="AA328" s="198"/>
      <c r="AB328" s="198"/>
      <c r="AC328" s="198"/>
      <c r="AD328" s="198"/>
      <c r="AE328" s="198"/>
      <c r="AF328" s="198"/>
      <c r="AG328" s="198"/>
      <c r="AH328" s="198"/>
      <c r="AI328" s="198"/>
      <c r="AJ328" s="198"/>
      <c r="AK328" s="198"/>
      <c r="AL328" s="198"/>
      <c r="AM328" s="198"/>
      <c r="AN328" s="198"/>
      <c r="AO328" s="198"/>
      <c r="AP328" s="198"/>
      <c r="AQ328" s="198"/>
      <c r="AR328" s="198"/>
      <c r="AS328" s="198"/>
      <c r="AT328" s="198"/>
      <c r="AU328" s="198"/>
      <c r="AV328" s="198"/>
      <c r="AW328" s="198"/>
      <c r="AX328" s="198"/>
      <c r="AY328" s="198"/>
      <c r="AZ328" s="198"/>
      <c r="BA328" s="198"/>
      <c r="BB328" s="198"/>
      <c r="BC328" s="198"/>
      <c r="BD328" s="198"/>
      <c r="BE328" s="198"/>
      <c r="BF328" s="198"/>
      <c r="BG328" s="198"/>
      <c r="BH328" s="198"/>
      <c r="BI328" s="198"/>
      <c r="BJ328" s="198"/>
      <c r="BK328" s="198"/>
      <c r="BL328" s="198"/>
      <c r="BM328" s="198"/>
      <c r="BN328" s="198"/>
      <c r="BO328" s="198"/>
      <c r="BP328" s="198"/>
      <c r="BQ328" s="198"/>
      <c r="BR328" s="198"/>
      <c r="BS328" s="198"/>
      <c r="BT328" s="198"/>
      <c r="BU328" s="198"/>
      <c r="BV328" s="198"/>
      <c r="BW328" s="198"/>
      <c r="BX328" s="198"/>
    </row>
    <row r="329" spans="1:76" x14ac:dyDescent="0.25">
      <c r="A329" s="198" t="str">
        <f>'Language Index'!A351</f>
        <v>Def. Tax Liability, Non-Curr.</v>
      </c>
      <c r="B329" s="18">
        <f>_xll.ciqfunctions.udf.CIQ($C$2, "IQ_DEF_TAX_LIAB_LT", D$6,$F$2,,,Ccy,Conv)</f>
        <v>129</v>
      </c>
      <c r="C329" s="18">
        <f>_xll.ciqfunctions.udf.CIQ($C$2, "IQ_DEF_TAX_LIAB_LT", E$6,$F$2,,,Ccy,Conv)</f>
        <v>253</v>
      </c>
      <c r="D329" s="18">
        <f>_xll.ciqfunctions.udf.CIQ($C$2, "IQ_DEF_TAX_LIAB_LT", F$6,$F$2,,,Ccy,Conv)</f>
        <v>424</v>
      </c>
      <c r="E329" s="18">
        <f>_xll.ciqfunctions.udf.CIQ($C$2, "IQ_DEF_TAX_LIAB_LT", G$6,$F$2,,,Ccy,Conv)</f>
        <v>545</v>
      </c>
      <c r="F329" s="18">
        <f>_xll.ciqfunctions.udf.CIQ($C$2, "IQ_DEF_TAX_LIAB_LT", H$6,$F$2,,,Ccy,Conv)</f>
        <v>3696</v>
      </c>
      <c r="G329" s="18">
        <f>_xll.ciqfunctions.udf.CIQ($C$2, "IQ_DEF_TAX_LIAB_LT", I$6,$F$2,,,Ccy,Conv)</f>
        <v>5230</v>
      </c>
      <c r="H329" s="18">
        <f>_xll.ciqfunctions.udf.CIQ($C$2, "IQ_DEF_TAX_LIAB_LT", J$6,$F$2,,,Ccy,Conv)</f>
        <v>4958</v>
      </c>
      <c r="I329" s="18">
        <f>_xll.ciqfunctions.udf.CIQ($C$2, "IQ_DEF_TAX_LIAB_LT", K$6,$F$2,,,Ccy,Conv)</f>
        <v>3956</v>
      </c>
      <c r="J329" s="18">
        <f>_xll.ciqfunctions.udf.CIQ($C$2, "IQ_DEF_TAX_LIAB_LT", L$6,$F$2,,,Ccy,Conv)</f>
        <v>2292</v>
      </c>
      <c r="K329" s="18">
        <f>_xll.ciqfunctions.udf.CIQ($C$2, "IQ_DEF_TAX_LIAB_LT", M$6,$F$2,,,Ccy,Conv)</f>
        <v>1146</v>
      </c>
      <c r="L329" s="18">
        <f>_xll.ciqfunctions.udf.CIQ($C$2, "IQ_DEF_TAX_LIAB_LT", N$6,$F$2,,,Ccy,Conv)</f>
        <v>815</v>
      </c>
      <c r="M329" s="18"/>
      <c r="N329" s="18">
        <f>_xll.ciqfunctions.udf.CIQ($C$2, "IQ_DEF_TAX_LIAB_LT", P$6,$F$2,,,Ccy,Conv)</f>
        <v>815</v>
      </c>
      <c r="O329" s="198"/>
      <c r="P329" s="198"/>
      <c r="Q329" s="198"/>
      <c r="R329" s="198"/>
      <c r="S329" s="198"/>
      <c r="T329" s="205"/>
      <c r="U329" s="205"/>
      <c r="V329" s="205"/>
      <c r="W329" s="198"/>
      <c r="X329" s="198"/>
      <c r="Y329" s="198"/>
      <c r="Z329" s="198"/>
      <c r="AA329" s="198"/>
      <c r="AB329" s="198"/>
      <c r="AC329" s="215"/>
      <c r="AD329" s="198"/>
      <c r="AE329" s="198"/>
      <c r="AF329" s="198"/>
      <c r="AG329" s="198"/>
      <c r="AH329" s="198"/>
      <c r="AI329" s="198"/>
      <c r="AJ329" s="198"/>
      <c r="AK329" s="198"/>
      <c r="AL329" s="198"/>
      <c r="AM329" s="198"/>
      <c r="AN329" s="198"/>
      <c r="AO329" s="198"/>
      <c r="AP329" s="198"/>
      <c r="AQ329" s="198"/>
      <c r="AR329" s="198"/>
      <c r="AS329" s="198"/>
      <c r="AT329" s="198"/>
      <c r="AU329" s="198"/>
      <c r="AV329" s="198"/>
      <c r="AW329" s="198"/>
      <c r="AX329" s="198"/>
      <c r="AY329" s="198"/>
      <c r="AZ329" s="198"/>
      <c r="BA329" s="198"/>
      <c r="BB329" s="198"/>
      <c r="BC329" s="198"/>
      <c r="BD329" s="198"/>
      <c r="BE329" s="198"/>
      <c r="BF329" s="198"/>
      <c r="BG329" s="198"/>
      <c r="BH329" s="198"/>
      <c r="BI329" s="198"/>
      <c r="BJ329" s="198"/>
      <c r="BK329" s="198"/>
      <c r="BL329" s="198"/>
      <c r="BM329" s="198"/>
      <c r="BN329" s="198"/>
      <c r="BO329" s="198"/>
      <c r="BP329" s="198"/>
      <c r="BQ329" s="198"/>
      <c r="BR329" s="198"/>
      <c r="BS329" s="198"/>
      <c r="BT329" s="198"/>
      <c r="BU329" s="198"/>
      <c r="BV329" s="198"/>
      <c r="BW329" s="198"/>
      <c r="BX329" s="198"/>
    </row>
    <row r="330" spans="1:76" x14ac:dyDescent="0.25">
      <c r="A330" s="198" t="str">
        <f>'Language Index'!A352</f>
        <v>Other Non-Current Liabilities</v>
      </c>
      <c r="B330" s="18">
        <f>_xll.ciqfunctions.udf.CIQ($C$2, "IQ_OTHER_LIAB_LT", D$6,$F$2,,,Ccy,Conv)</f>
        <v>8604</v>
      </c>
      <c r="C330" s="18">
        <f>_xll.ciqfunctions.udf.CIQ($C$2, "IQ_OTHER_LIAB_LT", E$6,$F$2,,,Ccy,Conv)</f>
        <v>7843</v>
      </c>
      <c r="D330" s="18">
        <f>_xll.ciqfunctions.udf.CIQ($C$2, "IQ_OTHER_LIAB_LT", F$6,$F$2,,,Ccy,Conv)</f>
        <v>7046</v>
      </c>
      <c r="E330" s="18">
        <f>_xll.ciqfunctions.udf.CIQ($C$2, "IQ_OTHER_LIAB_LT", G$6,$F$2,,,Ccy,Conv)</f>
        <v>9386</v>
      </c>
      <c r="F330" s="18">
        <f>_xll.ciqfunctions.udf.CIQ($C$2, "IQ_OTHER_LIAB_LT", H$6,$F$2,,,Ccy,Conv)</f>
        <v>8477</v>
      </c>
      <c r="G330" s="18">
        <f>_xll.ciqfunctions.udf.CIQ($C$2, "IQ_OTHER_LIAB_LT", I$6,$F$2,,,Ccy,Conv)</f>
        <v>9296</v>
      </c>
      <c r="H330" s="18">
        <f>_xll.ciqfunctions.udf.CIQ($C$2, "IQ_OTHER_LIAB_LT", J$6,$F$2,,,Ccy,Conv)</f>
        <v>12539</v>
      </c>
      <c r="I330" s="18">
        <f>_xll.ciqfunctions.udf.CIQ($C$2, "IQ_OTHER_LIAB_LT", K$6,$F$2,,,Ccy,Conv)</f>
        <v>10039</v>
      </c>
      <c r="J330" s="18">
        <f>_xll.ciqfunctions.udf.CIQ($C$2, "IQ_OTHER_LIAB_LT", L$6,$F$2,,,Ccy,Conv)</f>
        <v>9951</v>
      </c>
      <c r="K330" s="18">
        <f>_xll.ciqfunctions.udf.CIQ($C$2, "IQ_OTHER_LIAB_LT", M$6,$F$2,,,Ccy,Conv)</f>
        <v>10330</v>
      </c>
      <c r="L330" s="18">
        <f>_xll.ciqfunctions.udf.CIQ($C$2, "IQ_OTHER_LIAB_LT", N$6,$F$2,,,Ccy,Conv)</f>
        <v>10232</v>
      </c>
      <c r="M330" s="18"/>
      <c r="N330" s="18">
        <f>_xll.ciqfunctions.udf.CIQ($C$2, "IQ_OTHER_LIAB_LT", P$6,$F$2,,,Ccy,Conv)</f>
        <v>10232</v>
      </c>
      <c r="O330" s="198"/>
      <c r="P330" s="198"/>
      <c r="Q330" s="198"/>
      <c r="R330" s="198"/>
      <c r="S330" s="198"/>
      <c r="T330" s="216"/>
      <c r="U330" s="216"/>
      <c r="V330" s="216"/>
      <c r="W330" s="215"/>
      <c r="X330" s="215"/>
      <c r="Y330" s="215"/>
      <c r="Z330" s="215"/>
      <c r="AA330" s="215"/>
      <c r="AB330" s="215"/>
      <c r="AC330" s="215"/>
      <c r="AD330" s="198"/>
      <c r="AE330" s="198"/>
      <c r="AF330" s="215"/>
      <c r="AG330" s="198"/>
      <c r="AH330" s="198"/>
      <c r="AI330" s="198"/>
      <c r="AJ330" s="198"/>
      <c r="AK330" s="198"/>
      <c r="AL330" s="198"/>
      <c r="AM330" s="198"/>
      <c r="AN330" s="198"/>
      <c r="AO330" s="198"/>
      <c r="AP330" s="198"/>
      <c r="AQ330" s="198"/>
      <c r="AR330" s="198"/>
      <c r="AS330" s="198"/>
      <c r="AT330" s="198"/>
      <c r="AU330" s="198"/>
      <c r="AV330" s="198"/>
      <c r="AW330" s="198"/>
      <c r="AX330" s="198"/>
      <c r="AY330" s="198"/>
      <c r="AZ330" s="198"/>
      <c r="BA330" s="198"/>
      <c r="BB330" s="198"/>
      <c r="BC330" s="198"/>
      <c r="BD330" s="198"/>
      <c r="BE330" s="198"/>
      <c r="BF330" s="198"/>
      <c r="BG330" s="198"/>
      <c r="BH330" s="198"/>
      <c r="BI330" s="198"/>
      <c r="BJ330" s="198"/>
      <c r="BK330" s="198"/>
      <c r="BL330" s="198"/>
      <c r="BM330" s="198"/>
      <c r="BN330" s="198"/>
      <c r="BO330" s="198"/>
      <c r="BP330" s="198"/>
      <c r="BQ330" s="198"/>
      <c r="BR330" s="198"/>
      <c r="BS330" s="198"/>
      <c r="BT330" s="198"/>
      <c r="BU330" s="198"/>
      <c r="BV330" s="198"/>
      <c r="BW330" s="198"/>
      <c r="BX330" s="198"/>
    </row>
    <row r="331" spans="1:76" ht="13.8" thickBot="1" x14ac:dyDescent="0.3">
      <c r="A331" s="19" t="str">
        <f>'Language Index'!A353</f>
        <v>Total Liabilities</v>
      </c>
      <c r="B331" s="23">
        <f>_xll.ciqfunctions.udf.CIQ($C$2, "IQ_TOTAL_LIAB", D$6,$F$2,,,Ccy,Conv)</f>
        <v>105257</v>
      </c>
      <c r="C331" s="23">
        <f>_xll.ciqfunctions.udf.CIQ($C$2, "IQ_TOTAL_LIAB", E$6,$F$2,,,Ccy,Conv)</f>
        <v>96071</v>
      </c>
      <c r="D331" s="23">
        <f>_xll.ciqfunctions.udf.CIQ($C$2, "IQ_TOTAL_LIAB", F$6,$F$2,,,Ccy,Conv)</f>
        <v>99078</v>
      </c>
      <c r="E331" s="23">
        <f>_xll.ciqfunctions.udf.CIQ($C$2, "IQ_TOTAL_LIAB", G$6,$F$2,,,Ccy,Conv)</f>
        <v>107631</v>
      </c>
      <c r="F331" s="23">
        <f>_xll.ciqfunctions.udf.CIQ($C$2, "IQ_TOTAL_LIAB", H$6,$F$2,,,Ccy,Conv)</f>
        <v>106452</v>
      </c>
      <c r="G331" s="23">
        <f>_xll.ciqfunctions.udf.CIQ($C$2, "IQ_TOTAL_LIAB", I$6,$F$2,,,Ccy,Conv)</f>
        <v>131201</v>
      </c>
      <c r="H331" s="23">
        <f>_xll.ciqfunctions.udf.CIQ($C$2, "IQ_TOTAL_LIAB", J$6,$F$2,,,Ccy,Conv)</f>
        <v>135245</v>
      </c>
      <c r="I331" s="23">
        <f>_xll.ciqfunctions.udf.CIQ($C$2, "IQ_TOTAL_LIAB", K$6,$F$2,,,Ccy,Conv)</f>
        <v>113005</v>
      </c>
      <c r="J331" s="23">
        <f>_xll.ciqfunctions.udf.CIQ($C$2, "IQ_TOTAL_LIAB", L$6,$F$2,,,Ccy,Conv)</f>
        <v>105222</v>
      </c>
      <c r="K331" s="23">
        <f>_xll.ciqfunctions.udf.CIQ($C$2, "IQ_TOTAL_LIAB", M$6,$F$2,,,Ccy,Conv)</f>
        <v>112628</v>
      </c>
      <c r="L331" s="23">
        <f>_xll.ciqfunctions.udf.CIQ($C$2, "IQ_TOTAL_LIAB", N$6,$F$2,,,Ccy,Conv)</f>
        <v>109782</v>
      </c>
      <c r="M331" s="21"/>
      <c r="N331" s="23">
        <f>_xll.ciqfunctions.udf.CIQ($C$2, "IQ_TOTAL_LIAB", P$6,$F$2,,,Ccy,Conv)</f>
        <v>109782</v>
      </c>
      <c r="O331" s="198"/>
      <c r="P331" s="198"/>
      <c r="Q331" s="198"/>
      <c r="R331" s="198"/>
      <c r="S331" s="198"/>
      <c r="T331" s="205"/>
      <c r="U331" s="205"/>
      <c r="V331" s="205"/>
      <c r="W331" s="198"/>
      <c r="X331" s="198"/>
      <c r="Y331" s="198"/>
      <c r="Z331" s="198"/>
      <c r="AA331" s="198"/>
      <c r="AB331" s="198"/>
      <c r="AC331" s="215"/>
      <c r="AD331" s="198"/>
      <c r="AE331" s="198"/>
      <c r="AF331" s="198"/>
      <c r="AG331" s="198"/>
      <c r="AH331" s="198"/>
      <c r="AI331" s="198"/>
      <c r="AJ331" s="198"/>
      <c r="AK331" s="198"/>
      <c r="AL331" s="198"/>
      <c r="AM331" s="198"/>
      <c r="AN331" s="198"/>
      <c r="AO331" s="198"/>
      <c r="AP331" s="198"/>
      <c r="AQ331" s="198"/>
      <c r="AR331" s="198"/>
      <c r="AS331" s="198"/>
      <c r="AT331" s="198"/>
      <c r="AU331" s="198"/>
      <c r="AV331" s="198"/>
      <c r="AW331" s="198"/>
      <c r="AX331" s="198"/>
      <c r="AY331" s="198"/>
      <c r="AZ331" s="198"/>
      <c r="BA331" s="198"/>
      <c r="BB331" s="198"/>
      <c r="BC331" s="198"/>
      <c r="BD331" s="198"/>
      <c r="BE331" s="198"/>
      <c r="BF331" s="198"/>
      <c r="BG331" s="198"/>
      <c r="BH331" s="198"/>
      <c r="BI331" s="198"/>
      <c r="BJ331" s="198"/>
      <c r="BK331" s="198"/>
      <c r="BL331" s="198"/>
      <c r="BM331" s="198"/>
      <c r="BN331" s="198"/>
      <c r="BO331" s="198"/>
      <c r="BP331" s="198"/>
      <c r="BQ331" s="198"/>
      <c r="BR331" s="198"/>
      <c r="BS331" s="198"/>
      <c r="BT331" s="198"/>
      <c r="BU331" s="198"/>
      <c r="BV331" s="198"/>
      <c r="BW331" s="198"/>
      <c r="BX331" s="198"/>
    </row>
    <row r="332" spans="1:76" ht="13.8" thickTop="1" x14ac:dyDescent="0.25">
      <c r="A332" s="2" t="str">
        <f>'Language Index'!A355</f>
        <v>Pref. Stock, Redeemable</v>
      </c>
      <c r="B332" s="18">
        <f>_xll.ciqfunctions.udf.CIQ($C$2, "IQ_PREF_REDEEM", D$6,$F$2,,,Ccy,Conv)</f>
        <v>0</v>
      </c>
      <c r="C332" s="18">
        <f>_xll.ciqfunctions.udf.CIQ($C$2, "IQ_PREF_REDEEM", E$6,$F$2,,,Ccy,Conv)</f>
        <v>0</v>
      </c>
      <c r="D332" s="18">
        <f>_xll.ciqfunctions.udf.CIQ($C$2, "IQ_PREF_REDEEM", F$6,$F$2,,,Ccy,Conv)</f>
        <v>0</v>
      </c>
      <c r="E332" s="18">
        <f>_xll.ciqfunctions.udf.CIQ($C$2, "IQ_PREF_REDEEM", G$6,$F$2,,,Ccy,Conv)</f>
        <v>0</v>
      </c>
      <c r="F332" s="18">
        <f>_xll.ciqfunctions.udf.CIQ($C$2, "IQ_PREF_REDEEM", H$6,$F$2,,,Ccy,Conv)</f>
        <v>0</v>
      </c>
      <c r="G332" s="18">
        <f>_xll.ciqfunctions.udf.CIQ($C$2, "IQ_PREF_REDEEM", I$6,$F$2,,,Ccy,Conv)</f>
        <v>0</v>
      </c>
      <c r="H332" s="18">
        <f>_xll.ciqfunctions.udf.CIQ($C$2, "IQ_PREF_REDEEM", J$6,$F$2,,,Ccy,Conv)</f>
        <v>0</v>
      </c>
      <c r="I332" s="18">
        <f>_xll.ciqfunctions.udf.CIQ($C$2, "IQ_PREF_REDEEM", K$6,$F$2,,,Ccy,Conv)</f>
        <v>0</v>
      </c>
      <c r="J332" s="18">
        <f>_xll.ciqfunctions.udf.CIQ($C$2, "IQ_PREF_REDEEM", L$6,$F$2,,,Ccy,Conv)</f>
        <v>0</v>
      </c>
      <c r="K332" s="18">
        <f>_xll.ciqfunctions.udf.CIQ($C$2, "IQ_PREF_REDEEM", M$6,$F$2,,,Ccy,Conv)</f>
        <v>0</v>
      </c>
      <c r="L332" s="18">
        <f>_xll.ciqfunctions.udf.CIQ($C$2, "IQ_PREF_REDEEM", N$6,$F$2,,,Ccy,Conv)</f>
        <v>0</v>
      </c>
      <c r="M332" s="18"/>
      <c r="N332" s="18">
        <f>_xll.ciqfunctions.udf.CIQ($C$2, "IQ_PREF_REDEEM", P$6,$F$2,,,Ccy,Conv)</f>
        <v>0</v>
      </c>
      <c r="O332" s="215"/>
      <c r="P332" s="198"/>
      <c r="Q332" s="198"/>
      <c r="R332" s="198"/>
      <c r="S332" s="198"/>
      <c r="T332" s="216"/>
      <c r="U332" s="216"/>
      <c r="V332" s="216"/>
      <c r="W332" s="215"/>
      <c r="X332" s="215"/>
      <c r="Y332" s="215"/>
      <c r="Z332" s="215"/>
      <c r="AA332" s="215"/>
      <c r="AB332" s="215"/>
      <c r="AC332" s="198"/>
      <c r="AD332" s="198"/>
      <c r="AE332" s="198"/>
      <c r="AF332" s="215"/>
      <c r="AG332" s="198"/>
      <c r="AH332" s="198"/>
      <c r="AI332" s="198"/>
      <c r="AJ332" s="198"/>
      <c r="AK332" s="198"/>
      <c r="AL332" s="198"/>
      <c r="AM332" s="198"/>
      <c r="AN332" s="198"/>
      <c r="AO332" s="198"/>
      <c r="AP332" s="198"/>
      <c r="AQ332" s="198"/>
      <c r="AR332" s="198"/>
      <c r="AS332" s="198"/>
      <c r="AT332" s="198"/>
      <c r="AU332" s="198"/>
      <c r="AV332" s="198"/>
      <c r="AW332" s="198"/>
      <c r="AX332" s="198"/>
      <c r="AY332" s="198"/>
      <c r="AZ332" s="198"/>
      <c r="BA332" s="198"/>
      <c r="BB332" s="198"/>
      <c r="BC332" s="198"/>
      <c r="BD332" s="198"/>
      <c r="BE332" s="198"/>
      <c r="BF332" s="198"/>
      <c r="BG332" s="198"/>
      <c r="BH332" s="198"/>
      <c r="BI332" s="198"/>
      <c r="BJ332" s="198"/>
      <c r="BK332" s="198"/>
      <c r="BL332" s="198"/>
      <c r="BM332" s="198"/>
      <c r="BN332" s="198"/>
      <c r="BO332" s="198"/>
      <c r="BP332" s="198"/>
      <c r="BQ332" s="198"/>
      <c r="BR332" s="198"/>
      <c r="BS332" s="198"/>
      <c r="BT332" s="198"/>
      <c r="BU332" s="198"/>
      <c r="BV332" s="198"/>
      <c r="BW332" s="198"/>
      <c r="BX332" s="198"/>
    </row>
    <row r="333" spans="1:76" x14ac:dyDescent="0.25">
      <c r="A333" s="2" t="str">
        <f>'Language Index'!A356</f>
        <v>Pref. Stock, Non-Redeem.</v>
      </c>
      <c r="B333" s="18">
        <f>_xll.ciqfunctions.udf.CIQ($C$2, "IQ_PREF_NON_REDEEM", D$6,$F$2,,,Ccy,Conv)</f>
        <v>0</v>
      </c>
      <c r="C333" s="18">
        <f>_xll.ciqfunctions.udf.CIQ($C$2, "IQ_PREF_NON_REDEEM", E$6,$F$2,,,Ccy,Conv)</f>
        <v>0</v>
      </c>
      <c r="D333" s="18">
        <f>_xll.ciqfunctions.udf.CIQ($C$2, "IQ_PREF_NON_REDEEM", F$6,$F$2,,,Ccy,Conv)</f>
        <v>0</v>
      </c>
      <c r="E333" s="18">
        <f>_xll.ciqfunctions.udf.CIQ($C$2, "IQ_PREF_NON_REDEEM", G$6,$F$2,,,Ccy,Conv)</f>
        <v>0</v>
      </c>
      <c r="F333" s="18">
        <f>_xll.ciqfunctions.udf.CIQ($C$2, "IQ_PREF_NON_REDEEM", H$6,$F$2,,,Ccy,Conv)</f>
        <v>0</v>
      </c>
      <c r="G333" s="18">
        <f>_xll.ciqfunctions.udf.CIQ($C$2, "IQ_PREF_NON_REDEEM", I$6,$F$2,,,Ccy,Conv)</f>
        <v>0</v>
      </c>
      <c r="H333" s="18">
        <f>_xll.ciqfunctions.udf.CIQ($C$2, "IQ_PREF_NON_REDEEM", J$6,$F$2,,,Ccy,Conv)</f>
        <v>0</v>
      </c>
      <c r="I333" s="18">
        <f>_xll.ciqfunctions.udf.CIQ($C$2, "IQ_PREF_NON_REDEEM", K$6,$F$2,,,Ccy,Conv)</f>
        <v>0</v>
      </c>
      <c r="J333" s="18">
        <f>_xll.ciqfunctions.udf.CIQ($C$2, "IQ_PREF_NON_REDEEM", L$6,$F$2,,,Ccy,Conv)</f>
        <v>0</v>
      </c>
      <c r="K333" s="18">
        <f>_xll.ciqfunctions.udf.CIQ($C$2, "IQ_PREF_NON_REDEEM", M$6,$F$2,,,Ccy,Conv)</f>
        <v>0</v>
      </c>
      <c r="L333" s="18">
        <f>_xll.ciqfunctions.udf.CIQ($C$2, "IQ_PREF_NON_REDEEM", N$6,$F$2,,,Ccy,Conv)</f>
        <v>0</v>
      </c>
      <c r="M333" s="18"/>
      <c r="N333" s="18">
        <f>_xll.ciqfunctions.udf.CIQ($C$2, "IQ_PREF_NON_REDEEM", P$6,$F$2,,,Ccy,Conv)</f>
        <v>0</v>
      </c>
      <c r="O333" s="198"/>
      <c r="P333" s="198"/>
      <c r="Q333" s="198"/>
      <c r="R333" s="198"/>
      <c r="S333" s="198"/>
      <c r="T333" s="205"/>
      <c r="U333" s="205"/>
      <c r="V333" s="205"/>
      <c r="W333" s="198"/>
      <c r="X333" s="198"/>
      <c r="Y333" s="198"/>
      <c r="Z333" s="198"/>
      <c r="AA333" s="198"/>
      <c r="AB333" s="198"/>
      <c r="AC333" s="198"/>
      <c r="AD333" s="198"/>
      <c r="AE333" s="198"/>
      <c r="AF333" s="198"/>
      <c r="AG333" s="198"/>
      <c r="AH333" s="198"/>
      <c r="AI333" s="198"/>
      <c r="AJ333" s="198"/>
      <c r="AK333" s="198"/>
      <c r="AL333" s="198"/>
      <c r="AM333" s="198"/>
      <c r="AN333" s="198"/>
      <c r="AO333" s="198"/>
      <c r="AP333" s="198"/>
      <c r="AQ333" s="198"/>
      <c r="AR333" s="198"/>
      <c r="AS333" s="198"/>
      <c r="AT333" s="198"/>
      <c r="AU333" s="198"/>
      <c r="AV333" s="198"/>
      <c r="AW333" s="198"/>
      <c r="AX333" s="198"/>
      <c r="AY333" s="198"/>
      <c r="AZ333" s="198"/>
      <c r="BA333" s="198"/>
      <c r="BB333" s="198"/>
      <c r="BC333" s="198"/>
      <c r="BD333" s="198"/>
      <c r="BE333" s="198"/>
      <c r="BF333" s="198"/>
      <c r="BG333" s="198"/>
      <c r="BH333" s="198"/>
      <c r="BI333" s="198"/>
      <c r="BJ333" s="198"/>
      <c r="BK333" s="198"/>
      <c r="BL333" s="198"/>
      <c r="BM333" s="198"/>
      <c r="BN333" s="198"/>
      <c r="BO333" s="198"/>
      <c r="BP333" s="198"/>
      <c r="BQ333" s="198"/>
      <c r="BR333" s="198"/>
      <c r="BS333" s="198"/>
      <c r="BT333" s="198"/>
      <c r="BU333" s="198"/>
      <c r="BV333" s="198"/>
      <c r="BW333" s="198"/>
      <c r="BX333" s="198"/>
    </row>
    <row r="334" spans="1:76" x14ac:dyDescent="0.25">
      <c r="A334" s="2" t="str">
        <f>'Language Index'!A357</f>
        <v>Pref. Stock, Convertible</v>
      </c>
      <c r="B334" s="18">
        <f>_xll.ciqfunctions.udf.CIQ($C$2, "IQ_PREF_CONVERT", D$6,$F$2,,,Ccy,Conv)</f>
        <v>0</v>
      </c>
      <c r="C334" s="18">
        <f>_xll.ciqfunctions.udf.CIQ($C$2, "IQ_PREF_CONVERT", E$6,$F$2,,,Ccy,Conv)</f>
        <v>0</v>
      </c>
      <c r="D334" s="18">
        <f>_xll.ciqfunctions.udf.CIQ($C$2, "IQ_PREF_CONVERT", F$6,$F$2,,,Ccy,Conv)</f>
        <v>0</v>
      </c>
      <c r="E334" s="18">
        <f>_xll.ciqfunctions.udf.CIQ($C$2, "IQ_PREF_CONVERT", G$6,$F$2,,,Ccy,Conv)</f>
        <v>0</v>
      </c>
      <c r="F334" s="18">
        <f>_xll.ciqfunctions.udf.CIQ($C$2, "IQ_PREF_CONVERT", H$6,$F$2,,,Ccy,Conv)</f>
        <v>0</v>
      </c>
      <c r="G334" s="18">
        <f>_xll.ciqfunctions.udf.CIQ($C$2, "IQ_PREF_CONVERT", I$6,$F$2,,,Ccy,Conv)</f>
        <v>0</v>
      </c>
      <c r="H334" s="18">
        <f>_xll.ciqfunctions.udf.CIQ($C$2, "IQ_PREF_CONVERT", J$6,$F$2,,,Ccy,Conv)</f>
        <v>0</v>
      </c>
      <c r="I334" s="18">
        <f>_xll.ciqfunctions.udf.CIQ($C$2, "IQ_PREF_CONVERT", K$6,$F$2,,,Ccy,Conv)</f>
        <v>0</v>
      </c>
      <c r="J334" s="18">
        <f>_xll.ciqfunctions.udf.CIQ($C$2, "IQ_PREF_CONVERT", L$6,$F$2,,,Ccy,Conv)</f>
        <v>0</v>
      </c>
      <c r="K334" s="18">
        <f>_xll.ciqfunctions.udf.CIQ($C$2, "IQ_PREF_CONVERT", M$6,$F$2,,,Ccy,Conv)</f>
        <v>0</v>
      </c>
      <c r="L334" s="18">
        <f>_xll.ciqfunctions.udf.CIQ($C$2, "IQ_PREF_CONVERT", N$6,$F$2,,,Ccy,Conv)</f>
        <v>0</v>
      </c>
      <c r="M334" s="18"/>
      <c r="N334" s="18">
        <f>_xll.ciqfunctions.udf.CIQ($C$2, "IQ_PREF_CONVERT", P$6,$F$2,,,Ccy,Conv)</f>
        <v>0</v>
      </c>
      <c r="O334" s="198"/>
      <c r="P334" s="198"/>
      <c r="Q334" s="198"/>
      <c r="R334" s="198"/>
      <c r="S334" s="198"/>
      <c r="T334" s="205"/>
      <c r="U334" s="205"/>
      <c r="V334" s="205"/>
      <c r="W334" s="198"/>
      <c r="X334" s="198"/>
      <c r="Y334" s="198"/>
      <c r="Z334" s="198"/>
      <c r="AA334" s="198"/>
      <c r="AB334" s="198"/>
      <c r="AC334" s="198"/>
      <c r="AD334" s="224"/>
      <c r="AE334" s="224"/>
      <c r="AF334" s="198"/>
      <c r="AG334" s="198"/>
      <c r="AH334" s="198"/>
      <c r="AI334" s="198"/>
      <c r="AJ334" s="198"/>
      <c r="AK334" s="198"/>
      <c r="AL334" s="198"/>
      <c r="AM334" s="198"/>
      <c r="AN334" s="198"/>
      <c r="AO334" s="198"/>
      <c r="AP334" s="198"/>
      <c r="AQ334" s="198"/>
      <c r="AR334" s="198"/>
      <c r="AS334" s="198"/>
      <c r="AT334" s="198"/>
      <c r="AU334" s="198"/>
      <c r="AV334" s="198"/>
      <c r="AW334" s="198"/>
      <c r="AX334" s="198"/>
      <c r="AY334" s="198"/>
      <c r="AZ334" s="198"/>
      <c r="BA334" s="198"/>
      <c r="BB334" s="198"/>
      <c r="BC334" s="198"/>
      <c r="BD334" s="198"/>
      <c r="BE334" s="198"/>
      <c r="BF334" s="198"/>
      <c r="BG334" s="198"/>
      <c r="BH334" s="198"/>
      <c r="BI334" s="198"/>
      <c r="BJ334" s="198"/>
      <c r="BK334" s="198"/>
      <c r="BL334" s="198"/>
      <c r="BM334" s="198"/>
      <c r="BN334" s="198"/>
      <c r="BO334" s="198"/>
      <c r="BP334" s="198"/>
      <c r="BQ334" s="198"/>
      <c r="BR334" s="198"/>
      <c r="BS334" s="198"/>
      <c r="BT334" s="198"/>
      <c r="BU334" s="198"/>
      <c r="BV334" s="198"/>
      <c r="BW334" s="198"/>
      <c r="BX334" s="198"/>
    </row>
    <row r="335" spans="1:76" x14ac:dyDescent="0.25">
      <c r="A335" s="2" t="str">
        <f>'Language Index'!A358</f>
        <v>Pref. Stock, Other</v>
      </c>
      <c r="B335" s="18">
        <f>_xll.ciqfunctions.udf.CIQ($C$2, "IQ_PREF_OTHER", D$6,$F$2,,,Ccy,Conv)</f>
        <v>0</v>
      </c>
      <c r="C335" s="18">
        <f>_xll.ciqfunctions.udf.CIQ($C$2, "IQ_PREF_OTHER", E$6,$F$2,,,Ccy,Conv)</f>
        <v>0</v>
      </c>
      <c r="D335" s="18">
        <f>_xll.ciqfunctions.udf.CIQ($C$2, "IQ_PREF_OTHER", F$6,$F$2,,,Ccy,Conv)</f>
        <v>0</v>
      </c>
      <c r="E335" s="18">
        <f>_xll.ciqfunctions.udf.CIQ($C$2, "IQ_PREF_OTHER", G$6,$F$2,,,Ccy,Conv)</f>
        <v>0</v>
      </c>
      <c r="F335" s="18">
        <f>_xll.ciqfunctions.udf.CIQ($C$2, "IQ_PREF_OTHER", H$6,$F$2,,,Ccy,Conv)</f>
        <v>0</v>
      </c>
      <c r="G335" s="18">
        <f>_xll.ciqfunctions.udf.CIQ($C$2, "IQ_PREF_OTHER", I$6,$F$2,,,Ccy,Conv)</f>
        <v>0</v>
      </c>
      <c r="H335" s="18">
        <f>_xll.ciqfunctions.udf.CIQ($C$2, "IQ_PREF_OTHER", J$6,$F$2,,,Ccy,Conv)</f>
        <v>0</v>
      </c>
      <c r="I335" s="18">
        <f>_xll.ciqfunctions.udf.CIQ($C$2, "IQ_PREF_OTHER", K$6,$F$2,,,Ccy,Conv)</f>
        <v>0</v>
      </c>
      <c r="J335" s="18">
        <f>_xll.ciqfunctions.udf.CIQ($C$2, "IQ_PREF_OTHER", L$6,$F$2,,,Ccy,Conv)</f>
        <v>0</v>
      </c>
      <c r="K335" s="18">
        <f>_xll.ciqfunctions.udf.CIQ($C$2, "IQ_PREF_OTHER", M$6,$F$2,,,Ccy,Conv)</f>
        <v>0</v>
      </c>
      <c r="L335" s="18">
        <f>_xll.ciqfunctions.udf.CIQ($C$2, "IQ_PREF_OTHER", N$6,$F$2,,,Ccy,Conv)</f>
        <v>0</v>
      </c>
      <c r="M335" s="18"/>
      <c r="N335" s="18">
        <f>_xll.ciqfunctions.udf.CIQ($C$2, "IQ_PREF_OTHER", P$6,$F$2,,,Ccy,Conv)</f>
        <v>0</v>
      </c>
      <c r="O335" s="198"/>
      <c r="P335" s="198"/>
      <c r="Q335" s="198"/>
      <c r="R335" s="198"/>
      <c r="S335" s="198"/>
      <c r="T335" s="205"/>
      <c r="U335" s="205"/>
      <c r="V335" s="205"/>
      <c r="W335" s="198"/>
      <c r="X335" s="198"/>
      <c r="Y335" s="198"/>
      <c r="Z335" s="198"/>
      <c r="AA335" s="198"/>
      <c r="AB335" s="198"/>
      <c r="AC335" s="198"/>
      <c r="AD335" s="198"/>
      <c r="AE335" s="198"/>
      <c r="AF335" s="198"/>
      <c r="AG335" s="198"/>
      <c r="AH335" s="198"/>
      <c r="AI335" s="198"/>
      <c r="AJ335" s="198"/>
      <c r="AK335" s="198"/>
      <c r="AL335" s="198"/>
      <c r="AM335" s="198"/>
      <c r="AN335" s="198"/>
      <c r="AO335" s="198"/>
      <c r="AP335" s="198"/>
      <c r="AQ335" s="198"/>
      <c r="AR335" s="198"/>
      <c r="AS335" s="198"/>
      <c r="AT335" s="198"/>
      <c r="AU335" s="198"/>
      <c r="AV335" s="198"/>
      <c r="AW335" s="198"/>
      <c r="AX335" s="198"/>
      <c r="AY335" s="198"/>
      <c r="AZ335" s="198"/>
      <c r="BA335" s="198"/>
      <c r="BB335" s="198"/>
      <c r="BC335" s="198"/>
      <c r="BD335" s="198"/>
      <c r="BE335" s="198"/>
      <c r="BF335" s="198"/>
      <c r="BG335" s="198"/>
      <c r="BH335" s="198"/>
      <c r="BI335" s="198"/>
      <c r="BJ335" s="198"/>
      <c r="BK335" s="198"/>
      <c r="BL335" s="198"/>
      <c r="BM335" s="198"/>
      <c r="BN335" s="198"/>
      <c r="BO335" s="198"/>
      <c r="BP335" s="198"/>
      <c r="BQ335" s="198"/>
      <c r="BR335" s="198"/>
      <c r="BS335" s="198"/>
      <c r="BT335" s="198"/>
      <c r="BU335" s="198"/>
      <c r="BV335" s="198"/>
      <c r="BW335" s="198"/>
      <c r="BX335" s="198"/>
    </row>
    <row r="336" spans="1:76" x14ac:dyDescent="0.25">
      <c r="A336" s="19" t="str">
        <f>'Language Index'!A359</f>
        <v>Total Pref. Equity</v>
      </c>
      <c r="B336" s="24">
        <f>_xll.ciqfunctions.udf.CIQ($C$2, "IQ_PREF_EQUITY", D$6,$F$2,,,Ccy,Conv)</f>
        <v>0</v>
      </c>
      <c r="C336" s="24">
        <f>_xll.ciqfunctions.udf.CIQ($C$2, "IQ_PREF_EQUITY", E$6,$F$2,,,Ccy,Conv)</f>
        <v>0</v>
      </c>
      <c r="D336" s="24">
        <f>_xll.ciqfunctions.udf.CIQ($C$2, "IQ_PREF_EQUITY", F$6,$F$2,,,Ccy,Conv)</f>
        <v>0</v>
      </c>
      <c r="E336" s="24">
        <f>_xll.ciqfunctions.udf.CIQ($C$2, "IQ_PREF_EQUITY", G$6,$F$2,,,Ccy,Conv)</f>
        <v>0</v>
      </c>
      <c r="F336" s="24">
        <f>_xll.ciqfunctions.udf.CIQ($C$2, "IQ_PREF_EQUITY", H$6,$F$2,,,Ccy,Conv)</f>
        <v>0</v>
      </c>
      <c r="G336" s="24">
        <f>_xll.ciqfunctions.udf.CIQ($C$2, "IQ_PREF_EQUITY", I$6,$F$2,,,Ccy,Conv)</f>
        <v>0</v>
      </c>
      <c r="H336" s="24">
        <f>_xll.ciqfunctions.udf.CIQ($C$2, "IQ_PREF_EQUITY", J$6,$F$2,,,Ccy,Conv)</f>
        <v>0</v>
      </c>
      <c r="I336" s="24">
        <f>_xll.ciqfunctions.udf.CIQ($C$2, "IQ_PREF_EQUITY", K$6,$F$2,,,Ccy,Conv)</f>
        <v>0</v>
      </c>
      <c r="J336" s="24">
        <f>_xll.ciqfunctions.udf.CIQ($C$2, "IQ_PREF_EQUITY", L$6,$F$2,,,Ccy,Conv)</f>
        <v>0</v>
      </c>
      <c r="K336" s="24">
        <f>_xll.ciqfunctions.udf.CIQ($C$2, "IQ_PREF_EQUITY", M$6,$F$2,,,Ccy,Conv)</f>
        <v>0</v>
      </c>
      <c r="L336" s="24">
        <f>_xll.ciqfunctions.udf.CIQ($C$2, "IQ_PREF_EQUITY", N$6,$F$2,,,Ccy,Conv)</f>
        <v>0</v>
      </c>
      <c r="M336" s="21"/>
      <c r="N336" s="24">
        <f>_xll.ciqfunctions.udf.CIQ($C$2, "IQ_PREF_EQUITY", P$6,$F$2,,,Ccy,Conv)</f>
        <v>0</v>
      </c>
      <c r="O336" s="198"/>
      <c r="P336" s="198"/>
      <c r="Q336" s="198"/>
      <c r="R336" s="198"/>
      <c r="S336" s="198"/>
      <c r="T336" s="205"/>
      <c r="U336" s="205"/>
      <c r="V336" s="205"/>
      <c r="W336" s="198"/>
      <c r="X336" s="198"/>
      <c r="Y336" s="198"/>
      <c r="Z336" s="198"/>
      <c r="AA336" s="198"/>
      <c r="AB336" s="198"/>
      <c r="AC336" s="198"/>
      <c r="AD336" s="198"/>
      <c r="AE336" s="198"/>
      <c r="AF336" s="198"/>
      <c r="AG336" s="198"/>
      <c r="AH336" s="198"/>
      <c r="AI336" s="198"/>
      <c r="AJ336" s="198"/>
      <c r="AK336" s="198"/>
      <c r="AL336" s="198"/>
      <c r="AM336" s="198"/>
      <c r="AN336" s="198"/>
      <c r="AO336" s="198"/>
      <c r="AP336" s="198"/>
      <c r="AQ336" s="198"/>
      <c r="AR336" s="198"/>
      <c r="AS336" s="198"/>
      <c r="AT336" s="198"/>
      <c r="AU336" s="198"/>
      <c r="AV336" s="198"/>
      <c r="AW336" s="198"/>
      <c r="AX336" s="198"/>
      <c r="AY336" s="198"/>
      <c r="AZ336" s="198"/>
      <c r="BA336" s="198"/>
      <c r="BB336" s="198"/>
      <c r="BC336" s="198"/>
      <c r="BD336" s="198"/>
      <c r="BE336" s="198"/>
      <c r="BF336" s="198"/>
      <c r="BG336" s="198"/>
      <c r="BH336" s="198"/>
      <c r="BI336" s="198"/>
      <c r="BJ336" s="198"/>
      <c r="BK336" s="198"/>
      <c r="BL336" s="198"/>
      <c r="BM336" s="198"/>
      <c r="BN336" s="198"/>
      <c r="BO336" s="198"/>
      <c r="BP336" s="198"/>
      <c r="BQ336" s="198"/>
      <c r="BR336" s="198"/>
      <c r="BS336" s="198"/>
      <c r="BT336" s="198"/>
      <c r="BU336" s="198"/>
      <c r="BV336" s="198"/>
      <c r="BW336" s="198"/>
      <c r="BX336" s="198"/>
    </row>
    <row r="337" spans="1:76" x14ac:dyDescent="0.25">
      <c r="A337" s="2" t="str">
        <f>'Language Index'!A360</f>
        <v>Common Stock</v>
      </c>
      <c r="B337" s="18">
        <f>_xll.ciqfunctions.udf.CIQ($C$2, "IQ_COMMON", D$6,$F$2,,,Ccy,Conv)</f>
        <v>52666</v>
      </c>
      <c r="C337" s="18">
        <f>_xll.ciqfunctions.udf.CIQ($C$2, "IQ_COMMON", E$6,$F$2,,,Ccy,Conv)</f>
        <v>53262</v>
      </c>
      <c r="D337" s="18">
        <f>_xll.ciqfunctions.udf.CIQ($C$2, "IQ_COMMON", F$6,$F$2,,,Ccy,Conv)</f>
        <v>53935</v>
      </c>
      <c r="E337" s="18">
        <f>_xll.ciqfunctions.udf.CIQ($C$2, "IQ_COMMON", G$6,$F$2,,,Ccy,Conv)</f>
        <v>54566</v>
      </c>
      <c r="F337" s="18">
        <f>_xll.ciqfunctions.udf.CIQ($C$2, "IQ_COMMON", H$6,$F$2,,,Ccy,Conv)</f>
        <v>55151</v>
      </c>
      <c r="G337" s="18">
        <f>_xll.ciqfunctions.udf.CIQ($C$2, "IQ_COMMON", I$6,$F$2,,,Ccy,Conv)</f>
        <v>55895</v>
      </c>
      <c r="H337" s="18">
        <f>_xll.ciqfunctions.udf.CIQ($C$2, "IQ_COMMON", J$6,$F$2,,,Ccy,Conv)</f>
        <v>56556</v>
      </c>
      <c r="I337" s="18">
        <f>_xll.ciqfunctions.udf.CIQ($C$2, "IQ_COMMON", K$6,$F$2,,,Ccy,Conv)</f>
        <v>57319</v>
      </c>
      <c r="J337" s="18">
        <f>_xll.ciqfunctions.udf.CIQ($C$2, "IQ_COMMON", L$6,$F$2,,,Ccy,Conv)</f>
        <v>58343</v>
      </c>
      <c r="K337" s="18">
        <f>_xll.ciqfunctions.udf.CIQ($C$2, "IQ_COMMON", M$6,$F$2,,,Ccy,Conv)</f>
        <v>59643</v>
      </c>
      <c r="L337" s="18">
        <f>_xll.ciqfunctions.udf.CIQ($C$2, "IQ_COMMON", N$6,$F$2,,,Ccy,Conv)</f>
        <v>61380</v>
      </c>
      <c r="M337" s="18"/>
      <c r="N337" s="18">
        <f>_xll.ciqfunctions.udf.CIQ($C$2, "IQ_COMMON", P$6,$F$2,,,Ccy,Conv)</f>
        <v>61380</v>
      </c>
      <c r="O337" s="215"/>
      <c r="P337" s="198"/>
      <c r="Q337" s="198"/>
      <c r="R337" s="198"/>
      <c r="S337" s="198"/>
      <c r="T337" s="205"/>
      <c r="U337" s="205"/>
      <c r="V337" s="205"/>
      <c r="W337" s="198"/>
      <c r="X337" s="198"/>
      <c r="Y337" s="198"/>
      <c r="Z337" s="198"/>
      <c r="AA337" s="198"/>
      <c r="AB337" s="198"/>
      <c r="AC337" s="198"/>
      <c r="AD337" s="198"/>
      <c r="AE337" s="198"/>
      <c r="AF337" s="198"/>
      <c r="AG337" s="198"/>
      <c r="AH337" s="198"/>
      <c r="AI337" s="198"/>
      <c r="AJ337" s="198"/>
      <c r="AK337" s="198"/>
      <c r="AL337" s="198"/>
      <c r="AM337" s="198"/>
      <c r="AN337" s="198"/>
      <c r="AO337" s="198"/>
      <c r="AP337" s="198"/>
      <c r="AQ337" s="198"/>
      <c r="AR337" s="198"/>
      <c r="AS337" s="198"/>
      <c r="AT337" s="198"/>
      <c r="AU337" s="198"/>
      <c r="AV337" s="198"/>
      <c r="AW337" s="198"/>
      <c r="AX337" s="198"/>
      <c r="AY337" s="198"/>
      <c r="AZ337" s="198"/>
      <c r="BA337" s="198"/>
      <c r="BB337" s="198"/>
      <c r="BC337" s="198"/>
      <c r="BD337" s="198"/>
      <c r="BE337" s="198"/>
      <c r="BF337" s="198"/>
      <c r="BG337" s="198"/>
      <c r="BH337" s="198"/>
      <c r="BI337" s="198"/>
      <c r="BJ337" s="198"/>
      <c r="BK337" s="198"/>
      <c r="BL337" s="198"/>
      <c r="BM337" s="198"/>
      <c r="BN337" s="198"/>
      <c r="BO337" s="198"/>
      <c r="BP337" s="198"/>
      <c r="BQ337" s="198"/>
      <c r="BR337" s="198"/>
      <c r="BS337" s="198"/>
      <c r="BT337" s="198"/>
      <c r="BU337" s="198"/>
      <c r="BV337" s="198"/>
      <c r="BW337" s="198"/>
      <c r="BX337" s="198"/>
    </row>
    <row r="338" spans="1:76" x14ac:dyDescent="0.25">
      <c r="A338" s="2" t="str">
        <f>'Language Index'!A361</f>
        <v>Additional Paid In Capital</v>
      </c>
      <c r="B338" s="18">
        <f>_xll.ciqfunctions.udf.CIQ($C$2, "IQ_APIC", D$6,$F$2,,,Ccy,Conv)</f>
        <v>0</v>
      </c>
      <c r="C338" s="18">
        <f>_xll.ciqfunctions.udf.CIQ($C$2, "IQ_APIC", E$6,$F$2,,,Ccy,Conv)</f>
        <v>0</v>
      </c>
      <c r="D338" s="18">
        <f>_xll.ciqfunctions.udf.CIQ($C$2, "IQ_APIC", F$6,$F$2,,,Ccy,Conv)</f>
        <v>0</v>
      </c>
      <c r="E338" s="18">
        <f>_xll.ciqfunctions.udf.CIQ($C$2, "IQ_APIC", G$6,$F$2,,,Ccy,Conv)</f>
        <v>0</v>
      </c>
      <c r="F338" s="18">
        <f>_xll.ciqfunctions.udf.CIQ($C$2, "IQ_APIC", H$6,$F$2,,,Ccy,Conv)</f>
        <v>0</v>
      </c>
      <c r="G338" s="18">
        <f>_xll.ciqfunctions.udf.CIQ($C$2, "IQ_APIC", I$6,$F$2,,,Ccy,Conv)</f>
        <v>0</v>
      </c>
      <c r="H338" s="18">
        <f>_xll.ciqfunctions.udf.CIQ($C$2, "IQ_APIC", J$6,$F$2,,,Ccy,Conv)</f>
        <v>0</v>
      </c>
      <c r="I338" s="18">
        <f>_xll.ciqfunctions.udf.CIQ($C$2, "IQ_APIC", K$6,$F$2,,,Ccy,Conv)</f>
        <v>0</v>
      </c>
      <c r="J338" s="18">
        <f>_xll.ciqfunctions.udf.CIQ($C$2, "IQ_APIC", L$6,$F$2,,,Ccy,Conv)</f>
        <v>0</v>
      </c>
      <c r="K338" s="18">
        <f>_xll.ciqfunctions.udf.CIQ($C$2, "IQ_APIC", M$6,$F$2,,,Ccy,Conv)</f>
        <v>0</v>
      </c>
      <c r="L338" s="18">
        <f>_xll.ciqfunctions.udf.CIQ($C$2, "IQ_APIC", N$6,$F$2,,,Ccy,Conv)</f>
        <v>0</v>
      </c>
      <c r="M338" s="18"/>
      <c r="N338" s="18">
        <f>_xll.ciqfunctions.udf.CIQ($C$2, "IQ_APIC", P$6,$F$2,,,Ccy,Conv)</f>
        <v>0</v>
      </c>
      <c r="O338" s="198"/>
      <c r="P338" s="198"/>
      <c r="Q338" s="198"/>
      <c r="R338" s="198"/>
      <c r="S338" s="198"/>
      <c r="T338" s="205"/>
      <c r="U338" s="205"/>
      <c r="V338" s="205"/>
      <c r="W338" s="198"/>
      <c r="X338" s="198"/>
      <c r="Y338" s="198"/>
      <c r="Z338" s="198"/>
      <c r="AA338" s="198"/>
      <c r="AB338" s="198"/>
      <c r="AC338" s="215"/>
      <c r="AD338" s="198"/>
      <c r="AE338" s="198"/>
      <c r="AF338" s="198"/>
      <c r="AG338" s="198"/>
      <c r="AH338" s="198"/>
      <c r="AI338" s="198"/>
      <c r="AJ338" s="198"/>
      <c r="AK338" s="198"/>
      <c r="AL338" s="198"/>
      <c r="AM338" s="198"/>
      <c r="AN338" s="198"/>
      <c r="AO338" s="198"/>
      <c r="AP338" s="198"/>
      <c r="AQ338" s="198"/>
      <c r="AR338" s="198"/>
      <c r="AS338" s="198"/>
      <c r="AT338" s="198"/>
      <c r="AU338" s="198"/>
      <c r="AV338" s="198"/>
      <c r="AW338" s="198"/>
      <c r="AX338" s="198"/>
      <c r="AY338" s="198"/>
      <c r="AZ338" s="198"/>
      <c r="BA338" s="198"/>
      <c r="BB338" s="198"/>
      <c r="BC338" s="198"/>
      <c r="BD338" s="198"/>
      <c r="BE338" s="198"/>
      <c r="BF338" s="198"/>
      <c r="BG338" s="198"/>
      <c r="BH338" s="198"/>
      <c r="BI338" s="198"/>
      <c r="BJ338" s="198"/>
      <c r="BK338" s="198"/>
      <c r="BL338" s="198"/>
      <c r="BM338" s="198"/>
      <c r="BN338" s="198"/>
      <c r="BO338" s="198"/>
      <c r="BP338" s="198"/>
      <c r="BQ338" s="198"/>
      <c r="BR338" s="198"/>
      <c r="BS338" s="198"/>
      <c r="BT338" s="198"/>
      <c r="BU338" s="198"/>
      <c r="BV338" s="198"/>
      <c r="BW338" s="198"/>
      <c r="BX338" s="198"/>
    </row>
    <row r="339" spans="1:76" x14ac:dyDescent="0.25">
      <c r="A339" s="2" t="str">
        <f>'Language Index'!A362</f>
        <v>Retained Earnings</v>
      </c>
      <c r="B339" s="18">
        <f>_xll.ciqfunctions.udf.CIQ($C$2, "IQ_RE", D$6,$F$2,,,Ccy,Conv)</f>
        <v>137793</v>
      </c>
      <c r="C339" s="18">
        <f>_xll.ciqfunctions.udf.CIQ($C$2, "IQ_RE", E$6,$F$2,,,Ccy,Conv)</f>
        <v>146124</v>
      </c>
      <c r="D339" s="18">
        <f>_xll.ciqfunctions.udf.CIQ($C$2, "IQ_RE", F$6,$F$2,,,Ccy,Conv)</f>
        <v>152759</v>
      </c>
      <c r="E339" s="18">
        <f>_xll.ciqfunctions.udf.CIQ($C$2, "IQ_RE", G$6,$F$2,,,Ccy,Conv)</f>
        <v>153126</v>
      </c>
      <c r="F339" s="18">
        <f>_xll.ciqfunctions.udf.CIQ($C$2, "IQ_RE", H$6,$F$2,,,Ccy,Conv)</f>
        <v>159206</v>
      </c>
      <c r="G339" s="18">
        <f>_xll.ciqfunctions.udf.CIQ($C$2, "IQ_RE", I$6,$F$2,,,Ccy,Conv)</f>
        <v>162954</v>
      </c>
      <c r="H339" s="18">
        <f>_xll.ciqfunctions.udf.CIQ($C$2, "IQ_RE", J$6,$F$2,,,Ccy,Conv)</f>
        <v>162717</v>
      </c>
      <c r="I339" s="18">
        <f>_xll.ciqfunctions.udf.CIQ($C$2, "IQ_RE", K$6,$F$2,,,Ccy,Conv)</f>
        <v>154209</v>
      </c>
      <c r="J339" s="18">
        <f>_xll.ciqfunctions.udf.CIQ($C$2, "IQ_RE", L$6,$F$2,,,Ccy,Conv)</f>
        <v>149825</v>
      </c>
      <c r="K339" s="18">
        <f>_xll.ciqfunctions.udf.CIQ($C$2, "IQ_RE", M$6,$F$2,,,Ccy,Conv)</f>
        <v>151276</v>
      </c>
      <c r="L339" s="18">
        <f>_xll.ciqfunctions.udf.CIQ($C$2, "IQ_RE", N$6,$F$2,,,Ccy,Conv)</f>
        <v>151163</v>
      </c>
      <c r="M339" s="18"/>
      <c r="N339" s="18">
        <f>_xll.ciqfunctions.udf.CIQ($C$2, "IQ_RE", P$6,$F$2,,,Ccy,Conv)</f>
        <v>151163</v>
      </c>
      <c r="O339" s="215"/>
      <c r="P339" s="198"/>
      <c r="Q339" s="198"/>
      <c r="R339" s="198"/>
      <c r="S339" s="198"/>
      <c r="T339" s="205"/>
      <c r="U339" s="205"/>
      <c r="V339" s="205"/>
      <c r="W339" s="198"/>
      <c r="X339" s="198"/>
      <c r="Y339" s="198"/>
      <c r="Z339" s="198"/>
      <c r="AA339" s="198"/>
      <c r="AB339" s="198"/>
      <c r="AC339" s="198"/>
      <c r="AD339" s="198"/>
      <c r="AE339" s="198"/>
      <c r="AF339" s="198"/>
      <c r="AG339" s="198"/>
      <c r="AH339" s="198"/>
      <c r="AI339" s="198"/>
      <c r="AJ339" s="198"/>
      <c r="AK339" s="198"/>
      <c r="AL339" s="198"/>
      <c r="AM339" s="198"/>
      <c r="AN339" s="198"/>
      <c r="AO339" s="198"/>
      <c r="AP339" s="198"/>
      <c r="AQ339" s="198"/>
      <c r="AR339" s="198"/>
      <c r="AS339" s="198"/>
      <c r="AT339" s="198"/>
      <c r="AU339" s="198"/>
      <c r="AV339" s="198"/>
      <c r="AW339" s="198"/>
      <c r="AX339" s="198"/>
      <c r="AY339" s="198"/>
      <c r="AZ339" s="198"/>
      <c r="BA339" s="198"/>
      <c r="BB339" s="198"/>
      <c r="BC339" s="198"/>
      <c r="BD339" s="198"/>
      <c r="BE339" s="198"/>
      <c r="BF339" s="198"/>
      <c r="BG339" s="198"/>
      <c r="BH339" s="198"/>
      <c r="BI339" s="198"/>
      <c r="BJ339" s="198"/>
      <c r="BK339" s="198"/>
      <c r="BL339" s="198"/>
      <c r="BM339" s="198"/>
      <c r="BN339" s="198"/>
      <c r="BO339" s="198"/>
      <c r="BP339" s="198"/>
      <c r="BQ339" s="198"/>
      <c r="BR339" s="198"/>
      <c r="BS339" s="198"/>
      <c r="BT339" s="198"/>
      <c r="BU339" s="198"/>
      <c r="BV339" s="198"/>
      <c r="BW339" s="198"/>
      <c r="BX339" s="198"/>
    </row>
    <row r="340" spans="1:76" x14ac:dyDescent="0.25">
      <c r="A340" s="2" t="str">
        <f>'Language Index'!A363</f>
        <v>Treasury Stock</v>
      </c>
      <c r="B340" s="18">
        <f>_xll.ciqfunctions.udf.CIQ($C$2, "IQ_TREASURY", D$6,$F$2,,,Ccy,Conv)</f>
        <v>-150715</v>
      </c>
      <c r="C340" s="18">
        <f>_xll.ciqfunctions.udf.CIQ($C$2, "IQ_TREASURY", E$6,$F$2,,,Ccy,Conv)</f>
        <v>-155518</v>
      </c>
      <c r="D340" s="18">
        <f>_xll.ciqfunctions.udf.CIQ($C$2, "IQ_TREASURY", F$6,$F$2,,,Ccy,Conv)</f>
        <v>-159050</v>
      </c>
      <c r="E340" s="18">
        <f>_xll.ciqfunctions.udf.CIQ($C$2, "IQ_TREASURY", G$6,$F$2,,,Ccy,Conv)</f>
        <v>-163507</v>
      </c>
      <c r="F340" s="18">
        <f>_xll.ciqfunctions.udf.CIQ($C$2, "IQ_TREASURY", H$6,$F$2,,,Ccy,Conv)</f>
        <v>-168071</v>
      </c>
      <c r="G340" s="18">
        <f>_xll.ciqfunctions.udf.CIQ($C$2, "IQ_TREASURY", I$6,$F$2,,,Ccy,Conv)</f>
        <v>-169413</v>
      </c>
      <c r="H340" s="18">
        <f>_xll.ciqfunctions.udf.CIQ($C$2, "IQ_TREASURY", J$6,$F$2,,,Ccy,Conv)</f>
        <v>-169339</v>
      </c>
      <c r="I340" s="18">
        <f>_xll.ciqfunctions.udf.CIQ($C$2, "IQ_TREASURY", K$6,$F$2,,,Ccy,Conv)</f>
        <v>-169392</v>
      </c>
      <c r="J340" s="18">
        <f>_xll.ciqfunctions.udf.CIQ($C$2, "IQ_TREASURY", L$6,$F$2,,,Ccy,Conv)</f>
        <v>-169484</v>
      </c>
      <c r="K340" s="18">
        <f>_xll.ciqfunctions.udf.CIQ($C$2, "IQ_TREASURY", M$6,$F$2,,,Ccy,Conv)</f>
        <v>-169624</v>
      </c>
      <c r="L340" s="18">
        <f>_xll.ciqfunctions.udf.CIQ($C$2, "IQ_TREASURY", N$6,$F$2,,,Ccy,Conv)</f>
        <v>-169968</v>
      </c>
      <c r="M340" s="18"/>
      <c r="N340" s="18">
        <f>_xll.ciqfunctions.udf.CIQ($C$2, "IQ_TREASURY", P$6,$F$2,,,Ccy,Conv)</f>
        <v>-169968</v>
      </c>
      <c r="O340" s="215"/>
      <c r="P340" s="198"/>
      <c r="Q340" s="198"/>
      <c r="R340" s="198"/>
      <c r="S340" s="198"/>
      <c r="T340" s="205"/>
      <c r="U340" s="205"/>
      <c r="V340" s="205"/>
      <c r="W340" s="198"/>
      <c r="X340" s="198"/>
      <c r="Y340" s="198"/>
      <c r="Z340" s="198"/>
      <c r="AA340" s="198"/>
      <c r="AB340" s="198"/>
      <c r="AC340" s="198"/>
      <c r="AD340" s="198"/>
      <c r="AE340" s="198"/>
      <c r="AF340" s="198"/>
      <c r="AG340" s="198"/>
      <c r="AH340" s="198"/>
      <c r="AI340" s="198"/>
      <c r="AJ340" s="198"/>
      <c r="AK340" s="198"/>
      <c r="AL340" s="198"/>
      <c r="AM340" s="198"/>
      <c r="AN340" s="198"/>
      <c r="AO340" s="198"/>
      <c r="AP340" s="198"/>
      <c r="AQ340" s="198"/>
      <c r="AR340" s="198"/>
      <c r="AS340" s="198"/>
      <c r="AT340" s="198"/>
      <c r="AU340" s="198"/>
      <c r="AV340" s="198"/>
      <c r="AW340" s="198"/>
      <c r="AX340" s="198"/>
      <c r="AY340" s="198"/>
      <c r="AZ340" s="198"/>
      <c r="BA340" s="198"/>
      <c r="BB340" s="198"/>
      <c r="BC340" s="198"/>
      <c r="BD340" s="198"/>
      <c r="BE340" s="198"/>
      <c r="BF340" s="198"/>
      <c r="BG340" s="198"/>
      <c r="BH340" s="198"/>
      <c r="BI340" s="198"/>
      <c r="BJ340" s="198"/>
      <c r="BK340" s="198"/>
      <c r="BL340" s="198"/>
      <c r="BM340" s="198"/>
      <c r="BN340" s="198"/>
      <c r="BO340" s="198"/>
      <c r="BP340" s="198"/>
      <c r="BQ340" s="198"/>
      <c r="BR340" s="198"/>
      <c r="BS340" s="198"/>
      <c r="BT340" s="198"/>
      <c r="BU340" s="198"/>
      <c r="BV340" s="198"/>
      <c r="BW340" s="198"/>
      <c r="BX340" s="198"/>
    </row>
    <row r="341" spans="1:76" x14ac:dyDescent="0.25">
      <c r="A341" s="2" t="str">
        <f>'Language Index'!A364</f>
        <v>Comprehensive Inc. and Other</v>
      </c>
      <c r="B341" s="18">
        <f>_xll.ciqfunctions.udf.CIQ($C$2, "IQ_OTHER_EQUITY", D$6,$F$2,,,Ccy,Conv)</f>
        <v>-27876</v>
      </c>
      <c r="C341" s="18">
        <f>_xll.ciqfunctions.udf.CIQ($C$2, "IQ_OTHER_EQUITY", E$6,$F$2,,,Ccy,Conv)</f>
        <v>-29606</v>
      </c>
      <c r="D341" s="18">
        <f>_xll.ciqfunctions.udf.CIQ($C$2, "IQ_OTHER_EQUITY", F$6,$F$2,,,Ccy,Conv)</f>
        <v>-29398</v>
      </c>
      <c r="E341" s="18">
        <f>_xll.ciqfunctions.udf.CIQ($C$2, "IQ_OTHER_EQUITY", G$6,$F$2,,,Ccy,Conv)</f>
        <v>-26591</v>
      </c>
      <c r="F341" s="18">
        <f>_xll.ciqfunctions.udf.CIQ($C$2, "IQ_OTHER_EQUITY", H$6,$F$2,,,Ccy,Conv)</f>
        <v>-29490</v>
      </c>
      <c r="G341" s="18">
        <f>_xll.ciqfunctions.udf.CIQ($C$2, "IQ_OTHER_EQUITY", I$6,$F$2,,,Ccy,Conv)</f>
        <v>-28595</v>
      </c>
      <c r="H341" s="18">
        <f>_xll.ciqfunctions.udf.CIQ($C$2, "IQ_OTHER_EQUITY", J$6,$F$2,,,Ccy,Conv)</f>
        <v>-29337</v>
      </c>
      <c r="I341" s="18">
        <f>_xll.ciqfunctions.udf.CIQ($C$2, "IQ_OTHER_EQUITY", K$6,$F$2,,,Ccy,Conv)</f>
        <v>-23235</v>
      </c>
      <c r="J341" s="18">
        <f>_xll.ciqfunctions.udf.CIQ($C$2, "IQ_OTHER_EQUITY", L$6,$F$2,,,Ccy,Conv)</f>
        <v>-16740</v>
      </c>
      <c r="K341" s="18">
        <f>_xll.ciqfunctions.udf.CIQ($C$2, "IQ_OTHER_EQUITY", M$6,$F$2,,,Ccy,Conv)</f>
        <v>-18762</v>
      </c>
      <c r="L341" s="18">
        <f>_xll.ciqfunctions.udf.CIQ($C$2, "IQ_OTHER_EQUITY", N$6,$F$2,,,Ccy,Conv)</f>
        <v>-15268</v>
      </c>
      <c r="M341" s="18"/>
      <c r="N341" s="18">
        <f>_xll.ciqfunctions.udf.CIQ($C$2, "IQ_OTHER_EQUITY", P$6,$F$2,,,Ccy,Conv)</f>
        <v>-15268</v>
      </c>
      <c r="O341" s="215"/>
      <c r="P341" s="198"/>
      <c r="Q341" s="198"/>
      <c r="R341" s="198"/>
      <c r="S341" s="198"/>
      <c r="T341" s="205"/>
      <c r="U341" s="205"/>
      <c r="V341" s="205"/>
      <c r="W341" s="198"/>
      <c r="X341" s="198"/>
      <c r="Y341" s="198"/>
      <c r="Z341" s="198"/>
      <c r="AA341" s="198"/>
      <c r="AB341" s="198"/>
      <c r="AC341" s="198"/>
      <c r="AD341" s="198"/>
      <c r="AE341" s="198"/>
      <c r="AF341" s="198"/>
      <c r="AG341" s="198"/>
      <c r="AH341" s="198"/>
      <c r="AI341" s="198"/>
      <c r="AJ341" s="198"/>
      <c r="AK341" s="198"/>
      <c r="AL341" s="198"/>
      <c r="AM341" s="198"/>
      <c r="AN341" s="198"/>
      <c r="AO341" s="198"/>
      <c r="AP341" s="198"/>
      <c r="AQ341" s="198"/>
      <c r="AR341" s="198"/>
      <c r="AS341" s="198"/>
      <c r="AT341" s="198"/>
      <c r="AU341" s="198"/>
      <c r="AV341" s="198"/>
      <c r="AW341" s="198"/>
      <c r="AX341" s="198"/>
      <c r="AY341" s="198"/>
      <c r="AZ341" s="198"/>
      <c r="BA341" s="198"/>
      <c r="BB341" s="198"/>
      <c r="BC341" s="198"/>
      <c r="BD341" s="198"/>
      <c r="BE341" s="198"/>
      <c r="BF341" s="198"/>
      <c r="BG341" s="198"/>
      <c r="BH341" s="198"/>
      <c r="BI341" s="198"/>
      <c r="BJ341" s="198"/>
      <c r="BK341" s="198"/>
      <c r="BL341" s="198"/>
      <c r="BM341" s="198"/>
      <c r="BN341" s="198"/>
      <c r="BO341" s="198"/>
      <c r="BP341" s="198"/>
      <c r="BQ341" s="198"/>
      <c r="BR341" s="198"/>
      <c r="BS341" s="198"/>
      <c r="BT341" s="198"/>
      <c r="BU341" s="198"/>
      <c r="BV341" s="198"/>
      <c r="BW341" s="198"/>
      <c r="BX341" s="198"/>
    </row>
    <row r="342" spans="1:76" x14ac:dyDescent="0.25">
      <c r="A342" s="19" t="str">
        <f>'Language Index'!A365</f>
        <v>Total Common Equity</v>
      </c>
      <c r="B342" s="20">
        <f>_xll.ciqfunctions.udf.CIQ($C$2, "IQ_TOTAL_COMMON_EQUITY", D$6,$F$2,,,Ccy,Conv)</f>
        <v>11868</v>
      </c>
      <c r="C342" s="20">
        <f>_xll.ciqfunctions.udf.CIQ($C$2, "IQ_TOTAL_COMMON_EQUITY", E$6,$F$2,,,Ccy,Conv)</f>
        <v>14262</v>
      </c>
      <c r="D342" s="20">
        <f>_xll.ciqfunctions.udf.CIQ($C$2, "IQ_TOTAL_COMMON_EQUITY", F$6,$F$2,,,Ccy,Conv)</f>
        <v>18246</v>
      </c>
      <c r="E342" s="20">
        <f>_xll.ciqfunctions.udf.CIQ($C$2, "IQ_TOTAL_COMMON_EQUITY", G$6,$F$2,,,Ccy,Conv)</f>
        <v>17594</v>
      </c>
      <c r="F342" s="20">
        <f>_xll.ciqfunctions.udf.CIQ($C$2, "IQ_TOTAL_COMMON_EQUITY", H$6,$F$2,,,Ccy,Conv)</f>
        <v>16796</v>
      </c>
      <c r="G342" s="20">
        <f>_xll.ciqfunctions.udf.CIQ($C$2, "IQ_TOTAL_COMMON_EQUITY", I$6,$F$2,,,Ccy,Conv)</f>
        <v>20841</v>
      </c>
      <c r="H342" s="20">
        <f>_xll.ciqfunctions.udf.CIQ($C$2, "IQ_TOTAL_COMMON_EQUITY", J$6,$F$2,,,Ccy,Conv)</f>
        <v>20597</v>
      </c>
      <c r="I342" s="20">
        <f>_xll.ciqfunctions.udf.CIQ($C$2, "IQ_TOTAL_COMMON_EQUITY", K$6,$F$2,,,Ccy,Conv)</f>
        <v>18901</v>
      </c>
      <c r="J342" s="20">
        <f>_xll.ciqfunctions.udf.CIQ($C$2, "IQ_TOTAL_COMMON_EQUITY", L$6,$F$2,,,Ccy,Conv)</f>
        <v>21944</v>
      </c>
      <c r="K342" s="20">
        <f>_xll.ciqfunctions.udf.CIQ($C$2, "IQ_TOTAL_COMMON_EQUITY", M$6,$F$2,,,Ccy,Conv)</f>
        <v>22533</v>
      </c>
      <c r="L342" s="20">
        <f>_xll.ciqfunctions.udf.CIQ($C$2, "IQ_TOTAL_COMMON_EQUITY", N$6,$F$2,,,Ccy,Conv)</f>
        <v>27307</v>
      </c>
      <c r="M342" s="21"/>
      <c r="N342" s="20">
        <f>_xll.ciqfunctions.udf.CIQ($C$2, "IQ_TOTAL_COMMON_EQUITY", P$6,$F$2,,,Ccy,Conv)</f>
        <v>27307</v>
      </c>
      <c r="O342" s="198"/>
      <c r="P342" s="198"/>
      <c r="Q342" s="198"/>
      <c r="R342" s="198"/>
      <c r="S342" s="198"/>
      <c r="T342" s="205"/>
      <c r="U342" s="205"/>
      <c r="V342" s="205"/>
      <c r="W342" s="224"/>
      <c r="X342" s="224"/>
      <c r="Y342" s="224"/>
      <c r="Z342" s="224"/>
      <c r="AA342" s="224"/>
      <c r="AB342" s="224"/>
      <c r="AC342" s="198"/>
      <c r="AD342" s="198"/>
      <c r="AE342" s="198"/>
      <c r="AF342" s="224"/>
      <c r="AG342" s="198"/>
      <c r="AH342" s="198"/>
      <c r="AI342" s="198"/>
      <c r="AJ342" s="198"/>
      <c r="AK342" s="198"/>
      <c r="AL342" s="198"/>
      <c r="AM342" s="198"/>
      <c r="AN342" s="198"/>
      <c r="AO342" s="198"/>
      <c r="AP342" s="198"/>
      <c r="AQ342" s="198"/>
      <c r="AR342" s="198"/>
      <c r="AS342" s="198"/>
      <c r="AT342" s="198"/>
      <c r="AU342" s="198"/>
      <c r="AV342" s="198"/>
      <c r="AW342" s="198"/>
      <c r="AX342" s="198"/>
      <c r="AY342" s="198"/>
      <c r="AZ342" s="198"/>
      <c r="BA342" s="198"/>
      <c r="BB342" s="198"/>
      <c r="BC342" s="198"/>
      <c r="BD342" s="198"/>
      <c r="BE342" s="198"/>
      <c r="BF342" s="198"/>
      <c r="BG342" s="198"/>
      <c r="BH342" s="198"/>
      <c r="BI342" s="198"/>
      <c r="BJ342" s="198"/>
      <c r="BK342" s="198"/>
      <c r="BL342" s="198"/>
      <c r="BM342" s="198"/>
      <c r="BN342" s="198"/>
      <c r="BO342" s="198"/>
      <c r="BP342" s="198"/>
      <c r="BQ342" s="198"/>
      <c r="BR342" s="198"/>
      <c r="BS342" s="198"/>
      <c r="BT342" s="198"/>
      <c r="BU342" s="198"/>
      <c r="BV342" s="198"/>
      <c r="BW342" s="198"/>
      <c r="BX342" s="198"/>
    </row>
    <row r="343" spans="1:76" x14ac:dyDescent="0.25">
      <c r="A343" s="2" t="str">
        <f>'Language Index'!A366</f>
        <v>Minority Interest</v>
      </c>
      <c r="B343" s="18">
        <f>_xll.ciqfunctions.udf.CIQ($C$2, "IQ_MINORITY_INTEREST", D$6,$F$2,,,Ccy,Conv)</f>
        <v>146</v>
      </c>
      <c r="C343" s="18">
        <f>_xll.ciqfunctions.udf.CIQ($C$2, "IQ_MINORITY_INTEREST", E$6,$F$2,,,Ccy,Conv)</f>
        <v>162</v>
      </c>
      <c r="D343" s="18">
        <f>_xll.ciqfunctions.udf.CIQ($C$2, "IQ_MINORITY_INTEREST", F$6,$F$2,,,Ccy,Conv)</f>
        <v>146</v>
      </c>
      <c r="E343" s="18">
        <f>_xll.ciqfunctions.udf.CIQ($C$2, "IQ_MINORITY_INTEREST", G$6,$F$2,,,Ccy,Conv)</f>
        <v>131</v>
      </c>
      <c r="F343" s="18">
        <f>_xll.ciqfunctions.udf.CIQ($C$2, "IQ_MINORITY_INTEREST", H$6,$F$2,,,Ccy,Conv)</f>
        <v>134</v>
      </c>
      <c r="G343" s="18">
        <f>_xll.ciqfunctions.udf.CIQ($C$2, "IQ_MINORITY_INTEREST", I$6,$F$2,,,Ccy,Conv)</f>
        <v>144</v>
      </c>
      <c r="H343" s="18">
        <f>_xll.ciqfunctions.udf.CIQ($C$2, "IQ_MINORITY_INTEREST", J$6,$F$2,,,Ccy,Conv)</f>
        <v>129</v>
      </c>
      <c r="I343" s="18">
        <f>_xll.ciqfunctions.udf.CIQ($C$2, "IQ_MINORITY_INTEREST", K$6,$F$2,,,Ccy,Conv)</f>
        <v>95</v>
      </c>
      <c r="J343" s="18">
        <f>_xll.ciqfunctions.udf.CIQ($C$2, "IQ_MINORITY_INTEREST", L$6,$F$2,,,Ccy,Conv)</f>
        <v>77</v>
      </c>
      <c r="K343" s="18">
        <f>_xll.ciqfunctions.udf.CIQ($C$2, "IQ_MINORITY_INTEREST", M$6,$F$2,,,Ccy,Conv)</f>
        <v>80</v>
      </c>
      <c r="L343" s="18">
        <f>_xll.ciqfunctions.udf.CIQ($C$2, "IQ_MINORITY_INTEREST", N$6,$F$2,,,Ccy,Conv)</f>
        <v>86</v>
      </c>
      <c r="M343" s="18"/>
      <c r="N343" s="18">
        <f>_xll.ciqfunctions.udf.CIQ($C$2, "IQ_MINORITY_INTEREST", P$6,$F$2,,,Ccy,Conv)</f>
        <v>86</v>
      </c>
      <c r="O343" s="198"/>
      <c r="P343" s="198"/>
      <c r="Q343" s="198"/>
      <c r="R343" s="198"/>
      <c r="S343" s="198"/>
      <c r="T343" s="205"/>
      <c r="U343" s="205"/>
      <c r="V343" s="205"/>
      <c r="W343" s="198"/>
      <c r="X343" s="198"/>
      <c r="Y343" s="198"/>
      <c r="Z343" s="198"/>
      <c r="AA343" s="198"/>
      <c r="AB343" s="198"/>
      <c r="AC343" s="198"/>
      <c r="AD343" s="198"/>
      <c r="AE343" s="198"/>
      <c r="AF343" s="198"/>
      <c r="AG343" s="198"/>
      <c r="AH343" s="198"/>
      <c r="AI343" s="198"/>
      <c r="AJ343" s="198"/>
      <c r="AK343" s="198"/>
      <c r="AL343" s="198"/>
      <c r="AM343" s="198"/>
      <c r="AN343" s="198"/>
      <c r="AO343" s="198"/>
      <c r="AP343" s="198"/>
      <c r="AQ343" s="198"/>
      <c r="AR343" s="198"/>
      <c r="AS343" s="198"/>
      <c r="AT343" s="198"/>
      <c r="AU343" s="198"/>
      <c r="AV343" s="198"/>
      <c r="AW343" s="198"/>
      <c r="AX343" s="198"/>
      <c r="AY343" s="198"/>
      <c r="AZ343" s="198"/>
      <c r="BA343" s="198"/>
      <c r="BB343" s="198"/>
      <c r="BC343" s="198"/>
      <c r="BD343" s="198"/>
      <c r="BE343" s="198"/>
      <c r="BF343" s="198"/>
      <c r="BG343" s="198"/>
      <c r="BH343" s="198"/>
      <c r="BI343" s="198"/>
      <c r="BJ343" s="198"/>
      <c r="BK343" s="198"/>
      <c r="BL343" s="198"/>
      <c r="BM343" s="198"/>
      <c r="BN343" s="198"/>
      <c r="BO343" s="198"/>
      <c r="BP343" s="198"/>
      <c r="BQ343" s="198"/>
      <c r="BR343" s="198"/>
      <c r="BS343" s="198"/>
      <c r="BT343" s="198"/>
      <c r="BU343" s="198"/>
      <c r="BV343" s="198"/>
      <c r="BW343" s="198"/>
      <c r="BX343" s="198"/>
    </row>
    <row r="344" spans="1:76" x14ac:dyDescent="0.25">
      <c r="A344" s="19" t="str">
        <f>'Language Index'!A367</f>
        <v>Total Equity</v>
      </c>
      <c r="B344" s="20">
        <f>_xll.ciqfunctions.udf.CIQ($C$2, "IQ_TOTAL_EQUITY", D$6,$F$2,,,Ccy,Conv)</f>
        <v>12014</v>
      </c>
      <c r="C344" s="20">
        <f>_xll.ciqfunctions.udf.CIQ($C$2, "IQ_TOTAL_EQUITY", E$6,$F$2,,,Ccy,Conv)</f>
        <v>14424</v>
      </c>
      <c r="D344" s="20">
        <f>_xll.ciqfunctions.udf.CIQ($C$2, "IQ_TOTAL_EQUITY", F$6,$F$2,,,Ccy,Conv)</f>
        <v>18392</v>
      </c>
      <c r="E344" s="20">
        <f>_xll.ciqfunctions.udf.CIQ($C$2, "IQ_TOTAL_EQUITY", G$6,$F$2,,,Ccy,Conv)</f>
        <v>17725</v>
      </c>
      <c r="F344" s="20">
        <f>_xll.ciqfunctions.udf.CIQ($C$2, "IQ_TOTAL_EQUITY", H$6,$F$2,,,Ccy,Conv)</f>
        <v>16930</v>
      </c>
      <c r="G344" s="20">
        <f>_xll.ciqfunctions.udf.CIQ($C$2, "IQ_TOTAL_EQUITY", I$6,$F$2,,,Ccy,Conv)</f>
        <v>20985</v>
      </c>
      <c r="H344" s="20">
        <f>_xll.ciqfunctions.udf.CIQ($C$2, "IQ_TOTAL_EQUITY", J$6,$F$2,,,Ccy,Conv)</f>
        <v>20726</v>
      </c>
      <c r="I344" s="20">
        <f>_xll.ciqfunctions.udf.CIQ($C$2, "IQ_TOTAL_EQUITY", K$6,$F$2,,,Ccy,Conv)</f>
        <v>18996</v>
      </c>
      <c r="J344" s="20">
        <f>_xll.ciqfunctions.udf.CIQ($C$2, "IQ_TOTAL_EQUITY", L$6,$F$2,,,Ccy,Conv)</f>
        <v>22021</v>
      </c>
      <c r="K344" s="20">
        <f>_xll.ciqfunctions.udf.CIQ($C$2, "IQ_TOTAL_EQUITY", M$6,$F$2,,,Ccy,Conv)</f>
        <v>22613</v>
      </c>
      <c r="L344" s="20">
        <f>_xll.ciqfunctions.udf.CIQ($C$2, "IQ_TOTAL_EQUITY", N$6,$F$2,,,Ccy,Conv)</f>
        <v>27393</v>
      </c>
      <c r="M344" s="21"/>
      <c r="N344" s="20">
        <f>_xll.ciqfunctions.udf.CIQ($C$2, "IQ_TOTAL_EQUITY", P$6,$F$2,,,Ccy,Conv)</f>
        <v>27393</v>
      </c>
      <c r="O344" s="198"/>
      <c r="P344" s="198"/>
      <c r="Q344" s="198"/>
      <c r="R344" s="198"/>
      <c r="S344" s="198"/>
      <c r="T344" s="205"/>
      <c r="U344" s="205"/>
      <c r="V344" s="205"/>
      <c r="W344" s="198"/>
      <c r="X344" s="198"/>
      <c r="Y344" s="198"/>
      <c r="Z344" s="198"/>
      <c r="AA344" s="198"/>
      <c r="AB344" s="198"/>
      <c r="AC344" s="198"/>
      <c r="AD344" s="198"/>
      <c r="AE344" s="198"/>
      <c r="AF344" s="198"/>
      <c r="AG344" s="198"/>
      <c r="AH344" s="198"/>
      <c r="AI344" s="198"/>
      <c r="AJ344" s="198"/>
      <c r="AK344" s="198"/>
      <c r="AL344" s="198"/>
      <c r="AM344" s="198"/>
      <c r="AN344" s="198"/>
      <c r="AO344" s="198"/>
      <c r="AP344" s="198"/>
      <c r="AQ344" s="198"/>
      <c r="AR344" s="198"/>
      <c r="AS344" s="198"/>
      <c r="AT344" s="198"/>
      <c r="AU344" s="198"/>
      <c r="AV344" s="198"/>
      <c r="AW344" s="198"/>
      <c r="AX344" s="198"/>
      <c r="AY344" s="198"/>
      <c r="AZ344" s="198"/>
      <c r="BA344" s="198"/>
      <c r="BB344" s="198"/>
      <c r="BC344" s="198"/>
      <c r="BD344" s="198"/>
      <c r="BE344" s="198"/>
      <c r="BF344" s="198"/>
      <c r="BG344" s="198"/>
      <c r="BH344" s="198"/>
      <c r="BI344" s="198"/>
      <c r="BJ344" s="198"/>
      <c r="BK344" s="198"/>
      <c r="BL344" s="198"/>
      <c r="BM344" s="198"/>
      <c r="BN344" s="198"/>
      <c r="BO344" s="198"/>
      <c r="BP344" s="198"/>
      <c r="BQ344" s="198"/>
      <c r="BR344" s="198"/>
      <c r="BS344" s="198"/>
      <c r="BT344" s="198"/>
      <c r="BU344" s="198"/>
      <c r="BV344" s="198"/>
      <c r="BW344" s="198"/>
      <c r="BX344" s="198"/>
    </row>
    <row r="345" spans="1:76" ht="13.8" thickBot="1" x14ac:dyDescent="0.3">
      <c r="A345" s="19" t="str">
        <f>'Language Index'!A368</f>
        <v>Total Liabilities And Equity</v>
      </c>
      <c r="B345" s="23">
        <f>_xll.ciqfunctions.udf.CIQ($C$2, "IQ_TOTAL_LIAB_EQUITY", D$6,$F$2,,,Ccy,Conv)</f>
        <v>117271</v>
      </c>
      <c r="C345" s="23">
        <f>_xll.ciqfunctions.udf.CIQ($C$2, "IQ_TOTAL_LIAB_EQUITY", E$6,$F$2,,,Ccy,Conv)</f>
        <v>110495</v>
      </c>
      <c r="D345" s="23">
        <f>_xll.ciqfunctions.udf.CIQ($C$2, "IQ_TOTAL_LIAB_EQUITY", F$6,$F$2,,,Ccy,Conv)</f>
        <v>117470</v>
      </c>
      <c r="E345" s="23">
        <f>_xll.ciqfunctions.udf.CIQ($C$2, "IQ_TOTAL_LIAB_EQUITY", G$6,$F$2,,,Ccy,Conv)</f>
        <v>125356</v>
      </c>
      <c r="F345" s="23">
        <f>_xll.ciqfunctions.udf.CIQ($C$2, "IQ_TOTAL_LIAB_EQUITY", H$6,$F$2,,,Ccy,Conv)</f>
        <v>123382</v>
      </c>
      <c r="G345" s="23">
        <f>_xll.ciqfunctions.udf.CIQ($C$2, "IQ_TOTAL_LIAB_EQUITY", I$6,$F$2,,,Ccy,Conv)</f>
        <v>152186</v>
      </c>
      <c r="H345" s="23">
        <f>_xll.ciqfunctions.udf.CIQ($C$2, "IQ_TOTAL_LIAB_EQUITY", J$6,$F$2,,,Ccy,Conv)</f>
        <v>155971</v>
      </c>
      <c r="I345" s="23">
        <f>_xll.ciqfunctions.udf.CIQ($C$2, "IQ_TOTAL_LIAB_EQUITY", K$6,$F$2,,,Ccy,Conv)</f>
        <v>132001</v>
      </c>
      <c r="J345" s="23">
        <f>_xll.ciqfunctions.udf.CIQ($C$2, "IQ_TOTAL_LIAB_EQUITY", L$6,$F$2,,,Ccy,Conv)</f>
        <v>127243</v>
      </c>
      <c r="K345" s="23">
        <f>_xll.ciqfunctions.udf.CIQ($C$2, "IQ_TOTAL_LIAB_EQUITY", M$6,$F$2,,,Ccy,Conv)</f>
        <v>135241</v>
      </c>
      <c r="L345" s="23">
        <f>_xll.ciqfunctions.udf.CIQ($C$2, "IQ_TOTAL_LIAB_EQUITY", N$6,$F$2,,,Ccy,Conv)</f>
        <v>137175</v>
      </c>
      <c r="M345" s="21"/>
      <c r="N345" s="23">
        <f>_xll.ciqfunctions.udf.CIQ($C$2, "IQ_TOTAL_LIAB_EQUITY", P$6,$F$2,,,Ccy,Conv)</f>
        <v>137175</v>
      </c>
      <c r="O345" s="198"/>
      <c r="P345" s="198"/>
      <c r="Q345" s="198"/>
      <c r="R345" s="198"/>
      <c r="S345" s="198"/>
      <c r="T345" s="205"/>
      <c r="U345" s="205"/>
      <c r="V345" s="205"/>
      <c r="W345" s="198"/>
      <c r="X345" s="198"/>
      <c r="Y345" s="198"/>
      <c r="Z345" s="198"/>
      <c r="AA345" s="198"/>
      <c r="AB345" s="198"/>
      <c r="AC345" s="198"/>
      <c r="AD345" s="198"/>
      <c r="AE345" s="198"/>
      <c r="AF345" s="198"/>
      <c r="AG345" s="198"/>
      <c r="AH345" s="198"/>
      <c r="AI345" s="198"/>
      <c r="AJ345" s="198"/>
      <c r="AK345" s="198"/>
      <c r="AL345" s="198"/>
      <c r="AM345" s="198"/>
      <c r="AN345" s="198"/>
      <c r="AO345" s="198"/>
      <c r="AP345" s="198"/>
      <c r="AQ345" s="198"/>
      <c r="AR345" s="198"/>
      <c r="AS345" s="198"/>
      <c r="AT345" s="198"/>
      <c r="AU345" s="198"/>
      <c r="AV345" s="198"/>
      <c r="AW345" s="198"/>
      <c r="AX345" s="198"/>
      <c r="AY345" s="198"/>
      <c r="AZ345" s="198"/>
      <c r="BA345" s="198"/>
      <c r="BB345" s="198"/>
      <c r="BC345" s="198"/>
      <c r="BD345" s="198"/>
      <c r="BE345" s="198"/>
      <c r="BF345" s="198"/>
      <c r="BG345" s="198"/>
      <c r="BH345" s="198"/>
      <c r="BI345" s="198"/>
      <c r="BJ345" s="198"/>
      <c r="BK345" s="198"/>
      <c r="BL345" s="198"/>
      <c r="BM345" s="198"/>
      <c r="BN345" s="198"/>
      <c r="BO345" s="198"/>
      <c r="BP345" s="198"/>
      <c r="BQ345" s="198"/>
      <c r="BR345" s="198"/>
      <c r="BS345" s="198"/>
      <c r="BT345" s="198"/>
      <c r="BU345" s="198"/>
      <c r="BV345" s="198"/>
      <c r="BW345" s="198"/>
      <c r="BX345" s="198"/>
    </row>
    <row r="346" spans="1:76" ht="13.8" thickTop="1" x14ac:dyDescent="0.25">
      <c r="A346" s="2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198"/>
      <c r="P346" s="198"/>
      <c r="Q346" s="198"/>
      <c r="R346" s="198"/>
      <c r="S346" s="198"/>
      <c r="T346" s="205"/>
      <c r="U346" s="205"/>
      <c r="V346" s="205"/>
      <c r="W346" s="198"/>
      <c r="X346" s="198"/>
      <c r="Y346" s="198"/>
      <c r="Z346" s="198"/>
      <c r="AA346" s="198"/>
      <c r="AB346" s="198"/>
      <c r="AC346" s="198"/>
      <c r="AD346" s="198"/>
      <c r="AE346" s="198"/>
      <c r="AF346" s="198"/>
      <c r="AG346" s="198"/>
      <c r="AH346" s="198"/>
      <c r="AI346" s="198"/>
      <c r="AJ346" s="198"/>
      <c r="AK346" s="198"/>
      <c r="AL346" s="198"/>
      <c r="AM346" s="198"/>
      <c r="AN346" s="198"/>
      <c r="AO346" s="198"/>
      <c r="AP346" s="198"/>
      <c r="AQ346" s="198"/>
      <c r="AR346" s="198"/>
      <c r="AS346" s="198"/>
      <c r="AT346" s="198"/>
      <c r="AU346" s="198"/>
      <c r="AV346" s="198"/>
      <c r="AW346" s="198"/>
      <c r="AX346" s="198"/>
      <c r="AY346" s="198"/>
      <c r="AZ346" s="198"/>
      <c r="BA346" s="198"/>
      <c r="BB346" s="198"/>
      <c r="BC346" s="198"/>
      <c r="BD346" s="198"/>
      <c r="BE346" s="198"/>
      <c r="BF346" s="198"/>
      <c r="BG346" s="198"/>
      <c r="BH346" s="198"/>
      <c r="BI346" s="198"/>
      <c r="BJ346" s="198"/>
      <c r="BK346" s="198"/>
      <c r="BL346" s="198"/>
      <c r="BM346" s="198"/>
      <c r="BN346" s="198"/>
      <c r="BO346" s="198"/>
      <c r="BP346" s="198"/>
      <c r="BQ346" s="198"/>
      <c r="BR346" s="198"/>
      <c r="BS346" s="198"/>
      <c r="BT346" s="198"/>
      <c r="BU346" s="198"/>
      <c r="BV346" s="198"/>
      <c r="BW346" s="198"/>
      <c r="BX346" s="198"/>
    </row>
    <row r="347" spans="1:76" x14ac:dyDescent="0.25">
      <c r="A347" s="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  <c r="AA347" s="198"/>
      <c r="AB347" s="198"/>
      <c r="AC347" s="198"/>
      <c r="AD347" s="198"/>
      <c r="AE347" s="198"/>
      <c r="AF347" s="198"/>
      <c r="AG347" s="198"/>
      <c r="AH347" s="198"/>
      <c r="AI347" s="198"/>
      <c r="AJ347" s="198"/>
      <c r="AK347" s="198"/>
      <c r="AL347" s="198"/>
      <c r="AM347" s="198"/>
      <c r="AN347" s="198"/>
      <c r="AO347" s="198"/>
      <c r="AP347" s="198"/>
      <c r="AQ347" s="198"/>
      <c r="AR347" s="198"/>
      <c r="AS347" s="198"/>
      <c r="AT347" s="198"/>
      <c r="AU347" s="198"/>
      <c r="AV347" s="198"/>
      <c r="AW347" s="198"/>
      <c r="AX347" s="198"/>
      <c r="AY347" s="198"/>
      <c r="AZ347" s="198"/>
      <c r="BA347" s="198"/>
      <c r="BB347" s="198"/>
      <c r="BC347" s="198"/>
      <c r="BD347" s="198"/>
      <c r="BE347" s="198"/>
      <c r="BF347" s="198"/>
      <c r="BG347" s="198"/>
      <c r="BH347" s="198"/>
      <c r="BI347" s="198"/>
      <c r="BJ347" s="198"/>
      <c r="BK347" s="198"/>
      <c r="BL347" s="198"/>
      <c r="BM347" s="198"/>
      <c r="BN347" s="198"/>
      <c r="BO347" s="198"/>
      <c r="BP347" s="198"/>
      <c r="BQ347" s="198"/>
      <c r="BR347" s="198"/>
      <c r="BS347" s="198"/>
      <c r="BT347" s="198"/>
      <c r="BU347" s="198"/>
      <c r="BV347" s="198"/>
      <c r="BW347" s="198"/>
      <c r="BX347" s="198"/>
    </row>
    <row r="348" spans="1:76" x14ac:dyDescent="0.25">
      <c r="A348" s="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  <c r="AA348" s="198"/>
      <c r="AB348" s="198"/>
      <c r="AC348" s="198"/>
      <c r="AD348" s="198"/>
      <c r="AE348" s="198"/>
      <c r="AF348" s="198"/>
      <c r="AG348" s="198"/>
      <c r="AH348" s="198"/>
      <c r="AI348" s="198"/>
      <c r="AJ348" s="198"/>
      <c r="AK348" s="198"/>
      <c r="AL348" s="198"/>
      <c r="AM348" s="198"/>
      <c r="AN348" s="198"/>
      <c r="AO348" s="198"/>
      <c r="AP348" s="198"/>
      <c r="AQ348" s="198"/>
      <c r="AR348" s="198"/>
      <c r="AS348" s="198"/>
      <c r="AT348" s="198"/>
      <c r="AU348" s="198"/>
      <c r="AV348" s="198"/>
      <c r="AW348" s="198"/>
      <c r="AX348" s="198"/>
      <c r="AY348" s="198"/>
      <c r="AZ348" s="198"/>
      <c r="BA348" s="198"/>
      <c r="BB348" s="198"/>
      <c r="BC348" s="198"/>
      <c r="BD348" s="198"/>
      <c r="BE348" s="198"/>
      <c r="BF348" s="198"/>
      <c r="BG348" s="198"/>
      <c r="BH348" s="198"/>
      <c r="BI348" s="198"/>
      <c r="BJ348" s="198"/>
      <c r="BK348" s="198"/>
      <c r="BL348" s="198"/>
      <c r="BM348" s="198"/>
      <c r="BN348" s="198"/>
      <c r="BO348" s="198"/>
      <c r="BP348" s="198"/>
      <c r="BQ348" s="198"/>
      <c r="BR348" s="198"/>
      <c r="BS348" s="198"/>
      <c r="BT348" s="198"/>
      <c r="BU348" s="198"/>
      <c r="BV348" s="198"/>
      <c r="BW348" s="198"/>
      <c r="BX348" s="198"/>
    </row>
  </sheetData>
  <phoneticPr fontId="6" type="noConversion"/>
  <printOptions horizontalCentered="1"/>
  <pageMargins left="0.25" right="0.25" top="0.25" bottom="0.25" header="0.25" footer="0.25"/>
  <pageSetup scale="22" orientation="landscape" r:id="rId1"/>
  <headerFooter alignWithMargins="0"/>
  <customProperties>
    <customPr name="Guid" r:id="rId2"/>
  </customPropertie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Drop Down 1">
              <controlPr defaultSize="0" autoLine="0" autoPict="0">
                <anchor moveWithCells="1">
                  <from>
                    <xdr:col>8</xdr:col>
                    <xdr:colOff>7620</xdr:colOff>
                    <xdr:row>0</xdr:row>
                    <xdr:rowOff>7620</xdr:rowOff>
                  </from>
                  <to>
                    <xdr:col>9</xdr:col>
                    <xdr:colOff>327660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1</xdr:col>
                    <xdr:colOff>137160</xdr:colOff>
                    <xdr:row>2</xdr:row>
                    <xdr:rowOff>22860</xdr:rowOff>
                  </from>
                  <to>
                    <xdr:col>2</xdr:col>
                    <xdr:colOff>548640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Line="0" autoPict="0">
                <anchor moveWithCells="1">
                  <from>
                    <xdr:col>1</xdr:col>
                    <xdr:colOff>137160</xdr:colOff>
                    <xdr:row>3</xdr:row>
                    <xdr:rowOff>22860</xdr:rowOff>
                  </from>
                  <to>
                    <xdr:col>2</xdr:col>
                    <xdr:colOff>548640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Drop Down 6">
              <controlPr defaultSize="0" autoLine="0" autoPict="0">
                <anchor moveWithCells="1">
                  <from>
                    <xdr:col>5</xdr:col>
                    <xdr:colOff>38100</xdr:colOff>
                    <xdr:row>3</xdr:row>
                    <xdr:rowOff>38100</xdr:rowOff>
                  </from>
                  <to>
                    <xdr:col>6</xdr:col>
                    <xdr:colOff>342900</xdr:colOff>
                    <xdr:row>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Q163"/>
  <sheetViews>
    <sheetView showGridLines="0" zoomScale="85" zoomScaleNormal="100" zoomScaleSheetLayoutView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RowHeight="12.75" customHeight="1" x14ac:dyDescent="0.25"/>
  <cols>
    <col min="1" max="1" width="16.33203125" customWidth="1"/>
    <col min="2" max="2" width="5.109375" customWidth="1"/>
    <col min="3" max="3" width="13" customWidth="1"/>
    <col min="4" max="14" width="11.6640625" customWidth="1"/>
    <col min="15" max="15" width="1.6640625" customWidth="1"/>
    <col min="16" max="16" width="11.6640625" customWidth="1"/>
    <col min="17" max="17" width="3.88671875" customWidth="1"/>
  </cols>
  <sheetData>
    <row r="1" spans="1:17" ht="5.0999999999999996" customHeight="1" thickBot="1" x14ac:dyDescent="0.3">
      <c r="A1" s="2"/>
      <c r="B1" s="2"/>
      <c r="C1" s="2"/>
      <c r="D1" s="2"/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" customHeight="1" x14ac:dyDescent="0.25">
      <c r="A2" s="6" t="str">
        <f>'Language Index'!A8</f>
        <v>Ticker</v>
      </c>
      <c r="B2" s="7"/>
      <c r="C2" s="52" t="str">
        <f>'Financial Statements'!C2</f>
        <v>NYSE:IBM</v>
      </c>
      <c r="D2" s="53"/>
      <c r="E2" s="54" t="str">
        <f>'Language Index'!A11</f>
        <v>Date</v>
      </c>
      <c r="F2" s="55">
        <f>'Financial Statements'!F2</f>
        <v>45748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customHeight="1" x14ac:dyDescent="0.25">
      <c r="A3" s="6" t="str">
        <f>'Language Index'!A9</f>
        <v>Time Period</v>
      </c>
      <c r="B3" s="2"/>
      <c r="C3" s="56" t="str">
        <f>'Financial Statements'!T2</f>
        <v>Fiscal Year</v>
      </c>
      <c r="D3" s="57"/>
      <c r="E3" s="54" t="str">
        <f>'Language Index'!A12</f>
        <v>Currency</v>
      </c>
      <c r="F3" s="56" t="str">
        <f>'Financial Statements'!F3</f>
        <v>USD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 customHeight="1" x14ac:dyDescent="0.25">
      <c r="A4" s="6" t="str">
        <f>'Language Index'!A10</f>
        <v>Most Recent on the:</v>
      </c>
      <c r="B4" s="9"/>
      <c r="C4" s="56" t="str">
        <f>'Financial Statements'!Z1</f>
        <v>Right</v>
      </c>
      <c r="D4" s="57"/>
      <c r="E4" s="54" t="str">
        <f>'Language Index'!A13</f>
        <v>Conversion</v>
      </c>
      <c r="F4" s="56" t="str">
        <f>'Financial Statements'!Z2</f>
        <v>Historical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 customHeight="1" x14ac:dyDescent="0.25">
      <c r="A5" s="9"/>
      <c r="B5" s="9"/>
      <c r="C5" s="2"/>
      <c r="D5" s="9"/>
      <c r="E5" s="9"/>
      <c r="F5" s="2"/>
      <c r="G5" s="9"/>
      <c r="H5" s="10"/>
      <c r="I5" s="2"/>
      <c r="J5" s="2"/>
      <c r="K5" s="2"/>
      <c r="L5" s="2"/>
      <c r="M5" s="2"/>
      <c r="N5" s="2"/>
      <c r="O5" s="2"/>
      <c r="P5" s="2"/>
      <c r="Q5" s="2"/>
    </row>
    <row r="6" spans="1:17" ht="5.0999999999999996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1"/>
      <c r="O6" s="3"/>
      <c r="P6" s="12"/>
      <c r="Q6" s="2"/>
    </row>
    <row r="7" spans="1:17" ht="32.1" customHeight="1" x14ac:dyDescent="0.5">
      <c r="A7" s="47" t="str">
        <f>'Financial Statements'!A7</f>
        <v>INTERNATIONAL BUSINESS MACHINES CORPORATION (NYSE:IBM)</v>
      </c>
      <c r="B7" s="48"/>
      <c r="C7" s="48"/>
      <c r="D7" s="49"/>
      <c r="E7" s="49"/>
      <c r="F7" s="49"/>
      <c r="G7" s="49"/>
      <c r="H7" s="49"/>
      <c r="I7" s="49"/>
      <c r="J7" s="49"/>
      <c r="K7" s="49"/>
      <c r="L7" s="49"/>
      <c r="M7" s="48"/>
      <c r="N7" s="48"/>
      <c r="O7" s="48"/>
      <c r="P7" s="48"/>
      <c r="Q7" s="2"/>
    </row>
    <row r="8" spans="1:17" ht="6" customHeight="1" x14ac:dyDescent="0.25">
      <c r="A8" s="13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4"/>
      <c r="N8" s="4"/>
      <c r="O8" s="4"/>
      <c r="P8" s="4"/>
      <c r="Q8" s="2"/>
    </row>
    <row r="9" spans="1:17" ht="12.75" customHeight="1" x14ac:dyDescent="0.25">
      <c r="A9" s="9" t="str">
        <f>UPPER('Language Index'!A28)</f>
        <v>INCOME STATEMENT</v>
      </c>
      <c r="B9" s="1"/>
      <c r="C9" s="1"/>
      <c r="D9" s="14" t="str">
        <f>$C$3&amp; " "&amp;'Language Index'!A31&amp;","</f>
        <v>Fiscal Year Ended,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4"/>
      <c r="P9" s="14" t="str">
        <f>'Language Index'!A14</f>
        <v>LTM</v>
      </c>
      <c r="Q9" s="2"/>
    </row>
    <row r="10" spans="1:17" ht="12.75" customHeight="1" x14ac:dyDescent="0.25">
      <c r="A10" s="2"/>
      <c r="B10" s="2"/>
      <c r="C10" s="2"/>
      <c r="D10" s="58">
        <f>'Financial Statements'!B$10</f>
        <v>42004</v>
      </c>
      <c r="E10" s="58">
        <f>'Financial Statements'!C$10</f>
        <v>42369</v>
      </c>
      <c r="F10" s="58">
        <f>'Financial Statements'!D$10</f>
        <v>42735</v>
      </c>
      <c r="G10" s="58">
        <f>'Financial Statements'!E$10</f>
        <v>43100</v>
      </c>
      <c r="H10" s="58">
        <f>'Financial Statements'!F$10</f>
        <v>43465</v>
      </c>
      <c r="I10" s="58">
        <f>'Financial Statements'!G$10</f>
        <v>43830</v>
      </c>
      <c r="J10" s="58">
        <f>'Financial Statements'!H$10</f>
        <v>44196</v>
      </c>
      <c r="K10" s="58">
        <f>'Financial Statements'!I$10</f>
        <v>44561</v>
      </c>
      <c r="L10" s="58">
        <f>'Financial Statements'!J$10</f>
        <v>44926</v>
      </c>
      <c r="M10" s="58">
        <f>'Financial Statements'!K$10</f>
        <v>45291</v>
      </c>
      <c r="N10" s="58">
        <f>'Financial Statements'!L$10</f>
        <v>45657</v>
      </c>
      <c r="O10" s="43"/>
      <c r="P10" s="58">
        <f>'Financial Statements'!N$10</f>
        <v>45657</v>
      </c>
      <c r="Q10" s="2"/>
    </row>
    <row r="11" spans="1:17" ht="12.75" customHeight="1" x14ac:dyDescent="0.25">
      <c r="A11" s="16"/>
      <c r="B11" s="16"/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25">
      <c r="A12" s="2" t="str">
        <f>'Language Index'!A33</f>
        <v>Revenues</v>
      </c>
      <c r="B12" s="17"/>
      <c r="C12" s="17"/>
      <c r="D12" s="59">
        <f>'Financial Statements'!B11/'Financial Statements'!B$18</f>
        <v>0.97783237959759894</v>
      </c>
      <c r="E12" s="59">
        <f>'Financial Statements'!C11/'Financial Statements'!C$18</f>
        <v>0.97720850001835069</v>
      </c>
      <c r="F12" s="59">
        <f>'Financial Statements'!D11/'Financial Statements'!D$18</f>
        <v>0.97861584854665351</v>
      </c>
      <c r="G12" s="59">
        <f>'Financial Statements'!E11/'Financial Statements'!E$18</f>
        <v>0.97832926875497539</v>
      </c>
      <c r="H12" s="59">
        <f>'Financial Statements'!F11/'Financial Statements'!F$18</f>
        <v>0.97990978879521551</v>
      </c>
      <c r="I12" s="59">
        <f>'Financial Statements'!G11/'Financial Statements'!G$18</f>
        <v>0.97893058876529093</v>
      </c>
      <c r="J12" s="59">
        <f>'Financial Statements'!H11/'Financial Statements'!H$18</f>
        <v>0.98216712879899959</v>
      </c>
      <c r="K12" s="59">
        <f>'Financial Statements'!I11/'Financial Statements'!I$18</f>
        <v>0.98639953967672755</v>
      </c>
      <c r="L12" s="59">
        <f>'Financial Statements'!J11/'Financial Statements'!J$18</f>
        <v>0.98924500247810998</v>
      </c>
      <c r="M12" s="59">
        <f>'Financial Statements'!K11/'Financial Statements'!K$18</f>
        <v>0.98808600064662144</v>
      </c>
      <c r="N12" s="59">
        <f>'Financial Statements'!L11/'Financial Statements'!L$18</f>
        <v>0.98870173537520123</v>
      </c>
      <c r="O12" s="46"/>
      <c r="P12" s="59">
        <f>'Financial Statements'!N11/'Financial Statements'!N$18</f>
        <v>0.98870173537520123</v>
      </c>
      <c r="Q12" s="2"/>
    </row>
    <row r="13" spans="1:17" ht="12.75" customHeight="1" x14ac:dyDescent="0.25">
      <c r="A13" s="2" t="str">
        <f>'Language Index'!A34</f>
        <v>Finance Div. Revenues</v>
      </c>
      <c r="B13" s="17"/>
      <c r="C13" s="17"/>
      <c r="D13" s="59">
        <f>'Financial Statements'!B12/'Financial Statements'!B$18</f>
        <v>2.2167620402401042E-2</v>
      </c>
      <c r="E13" s="59">
        <f>'Financial Statements'!C12/'Financial Statements'!C$18</f>
        <v>2.2803733744387763E-2</v>
      </c>
      <c r="F13" s="59">
        <f>'Financial Statements'!D12/'Financial Statements'!D$18</f>
        <v>2.1396664122423956E-2</v>
      </c>
      <c r="G13" s="59">
        <f>'Financial Statements'!E12/'Financial Statements'!E$18</f>
        <v>2.1670731245024576E-2</v>
      </c>
      <c r="H13" s="59">
        <f>'Financial Statements'!F12/'Financial Statements'!F$18</f>
        <v>2.009021120478446E-2</v>
      </c>
      <c r="I13" s="59">
        <f>'Financial Statements'!G12/'Financial Statements'!G$18</f>
        <v>2.1069411234709082E-2</v>
      </c>
      <c r="J13" s="59">
        <f>'Financial Statements'!H12/'Financial Statements'!H$18</f>
        <v>1.783287120100038E-2</v>
      </c>
      <c r="K13" s="59">
        <f>'Financial Statements'!I12/'Financial Statements'!I$18</f>
        <v>1.360046032327248E-2</v>
      </c>
      <c r="L13" s="59">
        <f>'Financial Statements'!J12/'Financial Statements'!J$18</f>
        <v>1.0754997521889973E-2</v>
      </c>
      <c r="M13" s="59">
        <f>'Financial Statements'!K12/'Financial Statements'!K$18</f>
        <v>1.1913999353378597E-2</v>
      </c>
      <c r="N13" s="59">
        <f>'Financial Statements'!L12/'Financial Statements'!L$18</f>
        <v>1.1298264624798814E-2</v>
      </c>
      <c r="O13" s="46"/>
      <c r="P13" s="59">
        <f>'Financial Statements'!N12/'Financial Statements'!N$18</f>
        <v>1.1298264624798814E-2</v>
      </c>
      <c r="Q13" s="2"/>
    </row>
    <row r="14" spans="1:17" ht="12.75" customHeight="1" x14ac:dyDescent="0.25">
      <c r="A14" s="2" t="str">
        <f>'Language Index'!A35</f>
        <v>Insurance Div. Revenues</v>
      </c>
      <c r="B14" s="17"/>
      <c r="C14" s="17"/>
      <c r="D14" s="59">
        <f>'Financial Statements'!B13/'Financial Statements'!B$18</f>
        <v>0</v>
      </c>
      <c r="E14" s="59">
        <f>'Financial Statements'!C13/'Financial Statements'!C$18</f>
        <v>0</v>
      </c>
      <c r="F14" s="59">
        <f>'Financial Statements'!D13/'Financial Statements'!D$18</f>
        <v>0</v>
      </c>
      <c r="G14" s="59">
        <f>'Financial Statements'!E13/'Financial Statements'!E$18</f>
        <v>0</v>
      </c>
      <c r="H14" s="59">
        <f>'Financial Statements'!F13/'Financial Statements'!F$18</f>
        <v>0</v>
      </c>
      <c r="I14" s="59">
        <f>'Financial Statements'!G13/'Financial Statements'!G$18</f>
        <v>0</v>
      </c>
      <c r="J14" s="59">
        <f>'Financial Statements'!H13/'Financial Statements'!H$18</f>
        <v>0</v>
      </c>
      <c r="K14" s="59">
        <f>'Financial Statements'!I13/'Financial Statements'!I$18</f>
        <v>0</v>
      </c>
      <c r="L14" s="59">
        <f>'Financial Statements'!J13/'Financial Statements'!J$18</f>
        <v>0</v>
      </c>
      <c r="M14" s="59">
        <f>'Financial Statements'!K13/'Financial Statements'!K$18</f>
        <v>0</v>
      </c>
      <c r="N14" s="59">
        <f>'Financial Statements'!L13/'Financial Statements'!L$18</f>
        <v>0</v>
      </c>
      <c r="O14" s="46"/>
      <c r="P14" s="59">
        <f>'Financial Statements'!N13/'Financial Statements'!N$18</f>
        <v>0</v>
      </c>
      <c r="Q14" s="2"/>
    </row>
    <row r="15" spans="1:17" ht="12.75" customHeight="1" x14ac:dyDescent="0.25">
      <c r="A15" s="2" t="str">
        <f>'Language Index'!A36</f>
        <v>Gain/(Loss) on Sale Of Assets (Rev)</v>
      </c>
      <c r="B15" s="17"/>
      <c r="C15" s="17"/>
      <c r="D15" s="59">
        <f>'Financial Statements'!B14/'Financial Statements'!B$18</f>
        <v>0</v>
      </c>
      <c r="E15" s="59">
        <f>'Financial Statements'!C14/'Financial Statements'!C$18</f>
        <v>0</v>
      </c>
      <c r="F15" s="59">
        <f>'Financial Statements'!D14/'Financial Statements'!D$18</f>
        <v>0</v>
      </c>
      <c r="G15" s="59">
        <f>'Financial Statements'!E14/'Financial Statements'!E$18</f>
        <v>0</v>
      </c>
      <c r="H15" s="59">
        <f>'Financial Statements'!F14/'Financial Statements'!F$18</f>
        <v>0</v>
      </c>
      <c r="I15" s="59">
        <f>'Financial Statements'!G14/'Financial Statements'!G$18</f>
        <v>0</v>
      </c>
      <c r="J15" s="59">
        <f>'Financial Statements'!H14/'Financial Statements'!H$18</f>
        <v>0</v>
      </c>
      <c r="K15" s="59">
        <f>'Financial Statements'!I14/'Financial Statements'!I$18</f>
        <v>0</v>
      </c>
      <c r="L15" s="59">
        <f>'Financial Statements'!J14/'Financial Statements'!J$18</f>
        <v>0</v>
      </c>
      <c r="M15" s="59">
        <f>'Financial Statements'!K14/'Financial Statements'!K$18</f>
        <v>0</v>
      </c>
      <c r="N15" s="59">
        <f>'Financial Statements'!L14/'Financial Statements'!L$18</f>
        <v>0</v>
      </c>
      <c r="O15" s="46"/>
      <c r="P15" s="59">
        <f>'Financial Statements'!N14/'Financial Statements'!N$18</f>
        <v>0</v>
      </c>
      <c r="Q15" s="2"/>
    </row>
    <row r="16" spans="1:17" ht="12.75" customHeight="1" x14ac:dyDescent="0.25">
      <c r="A16" s="2" t="str">
        <f>'Language Index'!A37</f>
        <v>Gain/(Loss) on Sale Of Invest.(Rev)</v>
      </c>
      <c r="B16" s="17"/>
      <c r="C16" s="17"/>
      <c r="D16" s="59">
        <f>'Financial Statements'!B15/'Financial Statements'!B$18</f>
        <v>0</v>
      </c>
      <c r="E16" s="59">
        <f>'Financial Statements'!C15/'Financial Statements'!C$18</f>
        <v>0</v>
      </c>
      <c r="F16" s="59">
        <f>'Financial Statements'!D15/'Financial Statements'!D$18</f>
        <v>0</v>
      </c>
      <c r="G16" s="59">
        <f>'Financial Statements'!E15/'Financial Statements'!E$18</f>
        <v>0</v>
      </c>
      <c r="H16" s="59">
        <f>'Financial Statements'!F15/'Financial Statements'!F$18</f>
        <v>0</v>
      </c>
      <c r="I16" s="59">
        <f>'Financial Statements'!G15/'Financial Statements'!G$18</f>
        <v>0</v>
      </c>
      <c r="J16" s="59">
        <f>'Financial Statements'!H15/'Financial Statements'!H$18</f>
        <v>0</v>
      </c>
      <c r="K16" s="59">
        <f>'Financial Statements'!I15/'Financial Statements'!I$18</f>
        <v>0</v>
      </c>
      <c r="L16" s="59">
        <f>'Financial Statements'!J15/'Financial Statements'!J$18</f>
        <v>0</v>
      </c>
      <c r="M16" s="59">
        <f>'Financial Statements'!K15/'Financial Statements'!K$18</f>
        <v>0</v>
      </c>
      <c r="N16" s="59">
        <f>'Financial Statements'!L15/'Financial Statements'!L$18</f>
        <v>0</v>
      </c>
      <c r="O16" s="46"/>
      <c r="P16" s="59">
        <f>'Financial Statements'!N15/'Financial Statements'!N$18</f>
        <v>0</v>
      </c>
      <c r="Q16" s="2"/>
    </row>
    <row r="17" spans="1:17" ht="12.75" customHeight="1" x14ac:dyDescent="0.25">
      <c r="A17" s="2" t="str">
        <f>'Language Index'!A38</f>
        <v>Interest And Invest. Income (Rev)</v>
      </c>
      <c r="B17" s="17"/>
      <c r="C17" s="17"/>
      <c r="D17" s="59">
        <f>'Financial Statements'!B16/'Financial Statements'!B$18</f>
        <v>0</v>
      </c>
      <c r="E17" s="59">
        <f>'Financial Statements'!C16/'Financial Statements'!C$18</f>
        <v>0</v>
      </c>
      <c r="F17" s="59">
        <f>'Financial Statements'!D16/'Financial Statements'!D$18</f>
        <v>0</v>
      </c>
      <c r="G17" s="59">
        <f>'Financial Statements'!E16/'Financial Statements'!E$18</f>
        <v>0</v>
      </c>
      <c r="H17" s="59">
        <f>'Financial Statements'!F16/'Financial Statements'!F$18</f>
        <v>0</v>
      </c>
      <c r="I17" s="59">
        <f>'Financial Statements'!G16/'Financial Statements'!G$18</f>
        <v>0</v>
      </c>
      <c r="J17" s="59">
        <f>'Financial Statements'!H16/'Financial Statements'!H$18</f>
        <v>0</v>
      </c>
      <c r="K17" s="59">
        <f>'Financial Statements'!I16/'Financial Statements'!I$18</f>
        <v>0</v>
      </c>
      <c r="L17" s="59">
        <f>'Financial Statements'!J16/'Financial Statements'!J$18</f>
        <v>0</v>
      </c>
      <c r="M17" s="59">
        <f>'Financial Statements'!K16/'Financial Statements'!K$18</f>
        <v>0</v>
      </c>
      <c r="N17" s="59">
        <f>'Financial Statements'!L16/'Financial Statements'!L$18</f>
        <v>0</v>
      </c>
      <c r="O17" s="46"/>
      <c r="P17" s="59">
        <f>'Financial Statements'!N16/'Financial Statements'!N$18</f>
        <v>0</v>
      </c>
      <c r="Q17" s="2"/>
    </row>
    <row r="18" spans="1:17" ht="12.75" customHeight="1" x14ac:dyDescent="0.25">
      <c r="A18" s="2" t="str">
        <f>'Language Index'!A39</f>
        <v>Other Revenues</v>
      </c>
      <c r="B18" s="17"/>
      <c r="C18" s="17"/>
      <c r="D18" s="59">
        <f>'Financial Statements'!B17/'Financial Statements'!B$18</f>
        <v>0</v>
      </c>
      <c r="E18" s="59">
        <f>'Financial Statements'!C17/'Financial Statements'!C$18</f>
        <v>-1.2233762738405452E-5</v>
      </c>
      <c r="F18" s="59">
        <f>'Financial Statements'!D17/'Financial Statements'!D$18</f>
        <v>-1.2512669077440909E-5</v>
      </c>
      <c r="G18" s="59">
        <f>'Financial Statements'!E17/'Financial Statements'!E$18</f>
        <v>0</v>
      </c>
      <c r="H18" s="59">
        <f>'Financial Statements'!F17/'Financial Statements'!F$18</f>
        <v>0</v>
      </c>
      <c r="I18" s="59">
        <f>'Financial Statements'!G17/'Financial Statements'!G$18</f>
        <v>0</v>
      </c>
      <c r="J18" s="59">
        <f>'Financial Statements'!H17/'Financial Statements'!H$18</f>
        <v>0</v>
      </c>
      <c r="K18" s="59">
        <f>'Financial Statements'!I17/'Financial Statements'!I$18</f>
        <v>0</v>
      </c>
      <c r="L18" s="59">
        <f>'Financial Statements'!J17/'Financial Statements'!J$18</f>
        <v>0</v>
      </c>
      <c r="M18" s="59">
        <f>'Financial Statements'!K17/'Financial Statements'!K$18</f>
        <v>0</v>
      </c>
      <c r="N18" s="59">
        <f>'Financial Statements'!L17/'Financial Statements'!L$18</f>
        <v>0</v>
      </c>
      <c r="O18" s="46"/>
      <c r="P18" s="59">
        <f>'Financial Statements'!N17/'Financial Statements'!N$18</f>
        <v>0</v>
      </c>
      <c r="Q18" s="2"/>
    </row>
    <row r="19" spans="1:17" ht="12.75" customHeight="1" x14ac:dyDescent="0.25">
      <c r="A19" s="19" t="str">
        <f>'Language Index'!A40</f>
        <v>Total Revenues</v>
      </c>
      <c r="B19" s="19"/>
      <c r="C19" s="19"/>
      <c r="D19" s="60">
        <f>'Financial Statements'!B18/'Financial Statements'!B$18</f>
        <v>1</v>
      </c>
      <c r="E19" s="60">
        <f>'Financial Statements'!C18/'Financial Statements'!C$18</f>
        <v>1</v>
      </c>
      <c r="F19" s="60">
        <f>'Financial Statements'!D18/'Financial Statements'!D$18</f>
        <v>1</v>
      </c>
      <c r="G19" s="60">
        <f>'Financial Statements'!E18/'Financial Statements'!E$18</f>
        <v>1</v>
      </c>
      <c r="H19" s="60">
        <f>'Financial Statements'!F18/'Financial Statements'!F$18</f>
        <v>1</v>
      </c>
      <c r="I19" s="60">
        <f>'Financial Statements'!G18/'Financial Statements'!G$18</f>
        <v>1</v>
      </c>
      <c r="J19" s="60">
        <f>'Financial Statements'!H18/'Financial Statements'!H$18</f>
        <v>1</v>
      </c>
      <c r="K19" s="60">
        <f>'Financial Statements'!I18/'Financial Statements'!I$18</f>
        <v>1</v>
      </c>
      <c r="L19" s="60">
        <f>'Financial Statements'!J18/'Financial Statements'!J$18</f>
        <v>1</v>
      </c>
      <c r="M19" s="60">
        <f>'Financial Statements'!K18/'Financial Statements'!K$18</f>
        <v>1</v>
      </c>
      <c r="N19" s="60">
        <f>'Financial Statements'!L18/'Financial Statements'!L$18</f>
        <v>1</v>
      </c>
      <c r="O19" s="61"/>
      <c r="P19" s="60">
        <f>'Financial Statements'!N18/'Financial Statements'!N$18</f>
        <v>1</v>
      </c>
      <c r="Q19" s="62"/>
    </row>
    <row r="20" spans="1:17" ht="12.75" customHeight="1" x14ac:dyDescent="0.25">
      <c r="A20" s="16"/>
      <c r="B20" s="16"/>
      <c r="C20" s="16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46"/>
      <c r="P20" s="59"/>
      <c r="Q20" s="2"/>
    </row>
    <row r="21" spans="1:17" ht="12.75" customHeight="1" x14ac:dyDescent="0.25">
      <c r="A21" s="2" t="str">
        <f>'Language Index'!A41</f>
        <v>Cost Of Goods Sold</v>
      </c>
      <c r="B21" s="17"/>
      <c r="C21" s="17"/>
      <c r="D21" s="59">
        <f>'Financial Statements'!B19/'Financial Statements'!B$18</f>
        <v>0.48867910294957595</v>
      </c>
      <c r="E21" s="59">
        <f>'Financial Statements'!C19/'Financial Statements'!C$18</f>
        <v>0.48991326262218471</v>
      </c>
      <c r="F21" s="59">
        <f>'Financial Statements'!D19/'Financial Statements'!D$18</f>
        <v>0.50498629862736022</v>
      </c>
      <c r="G21" s="59">
        <f>'Financial Statements'!E19/'Financial Statements'!E$18</f>
        <v>0.51789888676884976</v>
      </c>
      <c r="H21" s="59">
        <f>'Financial Statements'!F19/'Financial Statements'!F$18</f>
        <v>0.52169215112261436</v>
      </c>
      <c r="I21" s="59">
        <f>'Financial Statements'!G19/'Financial Statements'!G$18</f>
        <v>0.44141802682191494</v>
      </c>
      <c r="J21" s="59">
        <f>'Financial Statements'!H19/'Financial Statements'!H$18</f>
        <v>0.43018177205096142</v>
      </c>
      <c r="K21" s="59">
        <f>'Financial Statements'!I19/'Financial Statements'!I$18</f>
        <v>0.44168366724207075</v>
      </c>
      <c r="L21" s="59">
        <f>'Financial Statements'!J19/'Financial Statements'!J$18</f>
        <v>0.45326284487031226</v>
      </c>
      <c r="M21" s="59">
        <f>'Financial Statements'!K19/'Financial Statements'!K$18</f>
        <v>0.43934691238279988</v>
      </c>
      <c r="N21" s="59">
        <f>'Financial Statements'!L19/'Financial Statements'!L$18</f>
        <v>0.4275811514987331</v>
      </c>
      <c r="O21" s="46"/>
      <c r="P21" s="59">
        <f>'Financial Statements'!N19/'Financial Statements'!N$18</f>
        <v>0.4275811514987331</v>
      </c>
      <c r="Q21" s="62"/>
    </row>
    <row r="22" spans="1:17" ht="12.75" customHeight="1" x14ac:dyDescent="0.25">
      <c r="A22" s="2" t="str">
        <f>'Language Index'!A42</f>
        <v>Finance Div. Operating Exp.</v>
      </c>
      <c r="B22" s="17"/>
      <c r="C22" s="17"/>
      <c r="D22" s="59">
        <f>'Financial Statements'!B20/'Financial Statements'!B$18</f>
        <v>1.1207741963294646E-2</v>
      </c>
      <c r="E22" s="59">
        <f>'Financial Statements'!C20/'Financial Statements'!C$18</f>
        <v>1.2368334128527912E-2</v>
      </c>
      <c r="F22" s="59">
        <f>'Financial Statements'!D20/'Financial Statements'!D$18</f>
        <v>1.306322651684831E-2</v>
      </c>
      <c r="G22" s="59">
        <f>'Financial Statements'!E20/'Financial Statements'!E$18</f>
        <v>1.5289553823020255E-2</v>
      </c>
      <c r="H22" s="59">
        <f>'Financial Statements'!F20/'Financial Statements'!F$18</f>
        <v>1.422271362339963E-2</v>
      </c>
      <c r="I22" s="59">
        <f>'Financial Statements'!G20/'Financial Statements'!G$18</f>
        <v>1.2198080188515785E-2</v>
      </c>
      <c r="J22" s="59">
        <f>'Financial Statements'!H20/'Financial Statements'!H$18</f>
        <v>1.0456876710342703E-2</v>
      </c>
      <c r="K22" s="59">
        <f>'Financial Statements'!I20/'Financial Statements'!I$18</f>
        <v>9.311084375163467E-3</v>
      </c>
      <c r="L22" s="59">
        <f>'Financial Statements'!J20/'Financial Statements'!J$18</f>
        <v>6.7074178093507351E-3</v>
      </c>
      <c r="M22" s="59">
        <f>'Financial Statements'!K20/'Financial Statements'!K$18</f>
        <v>6.1752344002586482E-3</v>
      </c>
      <c r="N22" s="59">
        <f>'Financial Statements'!L20/'Financial Statements'!L$18</f>
        <v>5.8801969626950104E-3</v>
      </c>
      <c r="O22" s="46"/>
      <c r="P22" s="59">
        <f>'Financial Statements'!N20/'Financial Statements'!N$18</f>
        <v>5.8801969626950104E-3</v>
      </c>
      <c r="Q22" s="2"/>
    </row>
    <row r="23" spans="1:17" ht="12.75" customHeight="1" x14ac:dyDescent="0.25">
      <c r="A23" s="2" t="str">
        <f>'Language Index'!A43</f>
        <v>Insurance Div. Operating Exp.</v>
      </c>
      <c r="B23" s="17"/>
      <c r="C23" s="17"/>
      <c r="D23" s="59">
        <f>'Financial Statements'!B21/'Financial Statements'!B$18</f>
        <v>0</v>
      </c>
      <c r="E23" s="59">
        <f>'Financial Statements'!C21/'Financial Statements'!C$18</f>
        <v>0</v>
      </c>
      <c r="F23" s="59">
        <f>'Financial Statements'!D21/'Financial Statements'!D$18</f>
        <v>0</v>
      </c>
      <c r="G23" s="59">
        <f>'Financial Statements'!E21/'Financial Statements'!E$18</f>
        <v>0</v>
      </c>
      <c r="H23" s="59">
        <f>'Financial Statements'!F21/'Financial Statements'!F$18</f>
        <v>0</v>
      </c>
      <c r="I23" s="59">
        <f>'Financial Statements'!G21/'Financial Statements'!G$18</f>
        <v>0</v>
      </c>
      <c r="J23" s="59">
        <f>'Financial Statements'!H21/'Financial Statements'!H$18</f>
        <v>0</v>
      </c>
      <c r="K23" s="59">
        <f>'Financial Statements'!I21/'Financial Statements'!I$18</f>
        <v>0</v>
      </c>
      <c r="L23" s="59">
        <f>'Financial Statements'!J21/'Financial Statements'!J$18</f>
        <v>0</v>
      </c>
      <c r="M23" s="59">
        <f>'Financial Statements'!K21/'Financial Statements'!K$18</f>
        <v>0</v>
      </c>
      <c r="N23" s="59">
        <f>'Financial Statements'!L21/'Financial Statements'!L$18</f>
        <v>0</v>
      </c>
      <c r="O23" s="46"/>
      <c r="P23" s="59">
        <f>'Financial Statements'!N21/'Financial Statements'!N$18</f>
        <v>0</v>
      </c>
      <c r="Q23" s="2"/>
    </row>
    <row r="24" spans="1:17" ht="12.75" customHeight="1" x14ac:dyDescent="0.25">
      <c r="A24" s="2" t="str">
        <f>'Language Index'!A44</f>
        <v>Interest Expense - Finance Division</v>
      </c>
      <c r="B24" s="17"/>
      <c r="C24" s="17"/>
      <c r="D24" s="59">
        <f>'Financial Statements'!B22/'Financial Statements'!B$18</f>
        <v>0</v>
      </c>
      <c r="E24" s="59">
        <f>'Financial Statements'!C22/'Financial Statements'!C$18</f>
        <v>0</v>
      </c>
      <c r="F24" s="59">
        <f>'Financial Statements'!D22/'Financial Statements'!D$18</f>
        <v>0</v>
      </c>
      <c r="G24" s="59">
        <f>'Financial Statements'!E22/'Financial Statements'!E$18</f>
        <v>0</v>
      </c>
      <c r="H24" s="59">
        <f>'Financial Statements'!F22/'Financial Statements'!F$18</f>
        <v>0</v>
      </c>
      <c r="I24" s="59">
        <f>'Financial Statements'!G22/'Financial Statements'!G$18</f>
        <v>0</v>
      </c>
      <c r="J24" s="59">
        <f>'Financial Statements'!H22/'Financial Statements'!H$18</f>
        <v>0</v>
      </c>
      <c r="K24" s="59">
        <f>'Financial Statements'!I22/'Financial Statements'!I$18</f>
        <v>0</v>
      </c>
      <c r="L24" s="59">
        <f>'Financial Statements'!J22/'Financial Statements'!J$18</f>
        <v>0</v>
      </c>
      <c r="M24" s="59">
        <f>'Financial Statements'!K22/'Financial Statements'!K$18</f>
        <v>0</v>
      </c>
      <c r="N24" s="59">
        <f>'Financial Statements'!L22/'Financial Statements'!L$18</f>
        <v>0</v>
      </c>
      <c r="O24" s="46"/>
      <c r="P24" s="59">
        <f>'Financial Statements'!N22/'Financial Statements'!N$18</f>
        <v>0</v>
      </c>
      <c r="Q24" s="2"/>
    </row>
    <row r="25" spans="1:17" ht="12.75" customHeight="1" x14ac:dyDescent="0.25">
      <c r="A25" s="19" t="str">
        <f>'Language Index'!A45</f>
        <v>Gross Profit</v>
      </c>
      <c r="B25" s="19"/>
      <c r="C25" s="19"/>
      <c r="D25" s="60">
        <f>'Financial Statements'!B23/'Financial Statements'!B$18</f>
        <v>0.50011315508712939</v>
      </c>
      <c r="E25" s="60">
        <f>'Financial Statements'!C23/'Financial Statements'!C$18</f>
        <v>0.4977184032492874</v>
      </c>
      <c r="F25" s="60">
        <f>'Financial Statements'!D23/'Financial Statements'!D$18</f>
        <v>0.48195047485579151</v>
      </c>
      <c r="G25" s="60">
        <f>'Financial Statements'!E23/'Financial Statements'!E$18</f>
        <v>0.46681155940813002</v>
      </c>
      <c r="H25" s="60">
        <f>'Financial Statements'!F23/'Financial Statements'!F$18</f>
        <v>0.46408513525398598</v>
      </c>
      <c r="I25" s="60">
        <f>'Financial Statements'!G23/'Financial Statements'!G$18</f>
        <v>0.54638389298956924</v>
      </c>
      <c r="J25" s="60">
        <f>'Financial Statements'!H23/'Financial Statements'!H$18</f>
        <v>0.5593613512386959</v>
      </c>
      <c r="K25" s="60">
        <f>'Financial Statements'!I23/'Financial Statements'!I$18</f>
        <v>0.54900524838276576</v>
      </c>
      <c r="L25" s="60">
        <f>'Financial Statements'!J23/'Financial Statements'!J$18</f>
        <v>0.54002973732033699</v>
      </c>
      <c r="M25" s="60">
        <f>'Financial Statements'!K23/'Financial Statements'!K$18</f>
        <v>0.55447785321694143</v>
      </c>
      <c r="N25" s="60">
        <f>'Financial Statements'!L23/'Financial Statements'!L$18</f>
        <v>0.56653865153857186</v>
      </c>
      <c r="O25" s="61"/>
      <c r="P25" s="60">
        <f>'Financial Statements'!N23/'Financial Statements'!N$18</f>
        <v>0.56653865153857186</v>
      </c>
      <c r="Q25" s="62"/>
    </row>
    <row r="26" spans="1:17" ht="12.75" customHeight="1" x14ac:dyDescent="0.25">
      <c r="A26" s="16"/>
      <c r="B26" s="16"/>
      <c r="C26" s="16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46"/>
      <c r="P26" s="59"/>
      <c r="Q26" s="2"/>
    </row>
    <row r="27" spans="1:17" ht="12.75" customHeight="1" x14ac:dyDescent="0.25">
      <c r="A27" s="2" t="str">
        <f>'Language Index'!A46</f>
        <v>Selling General &amp; Admin Exp.</v>
      </c>
      <c r="B27" s="17"/>
      <c r="C27" s="17"/>
      <c r="D27" s="59">
        <f>'Financial Statements'!B24/'Financial Statements'!B$18</f>
        <v>0.232226568814458</v>
      </c>
      <c r="E27" s="59">
        <f>'Financial Statements'!C24/'Financial Statements'!C$18</f>
        <v>0.23964717828262438</v>
      </c>
      <c r="F27" s="59">
        <f>'Financial Statements'!D24/'Financial Statements'!D$18</f>
        <v>0.25306873209124237</v>
      </c>
      <c r="G27" s="59">
        <f>'Financial Statements'!E24/'Financial Statements'!E$18</f>
        <v>0.26708702409684226</v>
      </c>
      <c r="H27" s="59">
        <f>'Financial Statements'!F24/'Financial Statements'!F$18</f>
        <v>0.24331896822505056</v>
      </c>
      <c r="I27" s="59">
        <f>'Financial Statements'!G24/'Financial Statements'!G$18</f>
        <v>0.32442734865024087</v>
      </c>
      <c r="J27" s="59">
        <f>'Financial Statements'!H24/'Financial Statements'!H$18</f>
        <v>0.37262364305261059</v>
      </c>
      <c r="K27" s="59">
        <f>'Financial Statements'!I24/'Financial Statements'!I$18</f>
        <v>0.34920053704381787</v>
      </c>
      <c r="L27" s="59">
        <f>'Financial Statements'!J24/'Financial Statements'!J$18</f>
        <v>0.41561209317693704</v>
      </c>
      <c r="M27" s="59">
        <f>'Financial Statements'!K24/'Financial Statements'!K$18</f>
        <v>0.29877141933397994</v>
      </c>
      <c r="N27" s="59">
        <f>'Financial Statements'!L24/'Financial Statements'!L$18</f>
        <v>0.35685943301515466</v>
      </c>
      <c r="O27" s="46"/>
      <c r="P27" s="59">
        <f>'Financial Statements'!N24/'Financial Statements'!N$18</f>
        <v>0.35685943301515466</v>
      </c>
      <c r="Q27" s="62"/>
    </row>
    <row r="28" spans="1:17" ht="12.75" customHeight="1" x14ac:dyDescent="0.25">
      <c r="A28" s="2" t="str">
        <f>'Language Index'!A47</f>
        <v>Exploration/Drilling Costs</v>
      </c>
      <c r="B28" s="17"/>
      <c r="C28" s="17"/>
      <c r="D28" s="59">
        <f>'Financial Statements'!B25/'Financial Statements'!B$18</f>
        <v>0</v>
      </c>
      <c r="E28" s="59">
        <f>'Financial Statements'!C25/'Financial Statements'!C$18</f>
        <v>0</v>
      </c>
      <c r="F28" s="59">
        <f>'Financial Statements'!D25/'Financial Statements'!D$18</f>
        <v>0</v>
      </c>
      <c r="G28" s="59">
        <f>'Financial Statements'!E25/'Financial Statements'!E$18</f>
        <v>0</v>
      </c>
      <c r="H28" s="59">
        <f>'Financial Statements'!F25/'Financial Statements'!F$18</f>
        <v>0</v>
      </c>
      <c r="I28" s="59">
        <f>'Financial Statements'!G25/'Financial Statements'!G$18</f>
        <v>0</v>
      </c>
      <c r="J28" s="59">
        <f>'Financial Statements'!H25/'Financial Statements'!H$18</f>
        <v>0</v>
      </c>
      <c r="K28" s="59">
        <f>'Financial Statements'!I25/'Financial Statements'!I$18</f>
        <v>0</v>
      </c>
      <c r="L28" s="59">
        <f>'Financial Statements'!J25/'Financial Statements'!J$18</f>
        <v>0</v>
      </c>
      <c r="M28" s="59">
        <f>'Financial Statements'!K25/'Financial Statements'!K$18</f>
        <v>0</v>
      </c>
      <c r="N28" s="59">
        <f>'Financial Statements'!L25/'Financial Statements'!L$18</f>
        <v>0</v>
      </c>
      <c r="O28" s="46"/>
      <c r="P28" s="59">
        <f>'Financial Statements'!N25/'Financial Statements'!N$18</f>
        <v>0</v>
      </c>
      <c r="Q28" s="2"/>
    </row>
    <row r="29" spans="1:17" ht="12.75" customHeight="1" x14ac:dyDescent="0.25">
      <c r="A29" s="2" t="str">
        <f>'Language Index'!A48</f>
        <v>Provision for Bad Debts</v>
      </c>
      <c r="B29" s="17"/>
      <c r="C29" s="17"/>
      <c r="D29" s="59">
        <f>'Financial Statements'!B26/'Financial Statements'!B$18</f>
        <v>0</v>
      </c>
      <c r="E29" s="59">
        <f>'Financial Statements'!C26/'Financial Statements'!C$18</f>
        <v>0</v>
      </c>
      <c r="F29" s="59">
        <f>'Financial Statements'!D26/'Financial Statements'!D$18</f>
        <v>0</v>
      </c>
      <c r="G29" s="59">
        <f>'Financial Statements'!E26/'Financial Statements'!E$18</f>
        <v>0</v>
      </c>
      <c r="H29" s="59">
        <f>'Financial Statements'!F26/'Financial Statements'!F$18</f>
        <v>0</v>
      </c>
      <c r="I29" s="59">
        <f>'Financial Statements'!G26/'Financial Statements'!G$18</f>
        <v>0</v>
      </c>
      <c r="J29" s="59">
        <f>'Financial Statements'!H26/'Financial Statements'!H$18</f>
        <v>0</v>
      </c>
      <c r="K29" s="59">
        <f>'Financial Statements'!I26/'Financial Statements'!I$18</f>
        <v>0</v>
      </c>
      <c r="L29" s="59">
        <f>'Financial Statements'!J26/'Financial Statements'!J$18</f>
        <v>0</v>
      </c>
      <c r="M29" s="59">
        <f>'Financial Statements'!K26/'Financial Statements'!K$18</f>
        <v>0</v>
      </c>
      <c r="N29" s="59">
        <f>'Financial Statements'!L26/'Financial Statements'!L$18</f>
        <v>0</v>
      </c>
      <c r="O29" s="46"/>
      <c r="P29" s="59">
        <f>'Financial Statements'!N26/'Financial Statements'!N$18</f>
        <v>0</v>
      </c>
      <c r="Q29" s="2"/>
    </row>
    <row r="30" spans="1:17" ht="12.75" customHeight="1" x14ac:dyDescent="0.25">
      <c r="A30" s="2" t="str">
        <f>'Language Index'!A49</f>
        <v>Stock-Based Compensation</v>
      </c>
      <c r="B30" s="17"/>
      <c r="C30" s="17"/>
      <c r="D30" s="59">
        <f>'Financial Statements'!B27/'Financial Statements'!B$18</f>
        <v>0</v>
      </c>
      <c r="E30" s="59">
        <f>'Financial Statements'!C27/'Financial Statements'!C$18</f>
        <v>0</v>
      </c>
      <c r="F30" s="59">
        <f>'Financial Statements'!D27/'Financial Statements'!D$18</f>
        <v>0</v>
      </c>
      <c r="G30" s="59">
        <f>'Financial Statements'!E27/'Financial Statements'!E$18</f>
        <v>0</v>
      </c>
      <c r="H30" s="59">
        <f>'Financial Statements'!F27/'Financial Statements'!F$18</f>
        <v>0</v>
      </c>
      <c r="I30" s="59">
        <f>'Financial Statements'!G27/'Financial Statements'!G$18</f>
        <v>0</v>
      </c>
      <c r="J30" s="59">
        <f>'Financial Statements'!H27/'Financial Statements'!H$18</f>
        <v>0</v>
      </c>
      <c r="K30" s="59">
        <f>'Financial Statements'!I27/'Financial Statements'!I$18</f>
        <v>0</v>
      </c>
      <c r="L30" s="59">
        <f>'Financial Statements'!J27/'Financial Statements'!J$18</f>
        <v>0</v>
      </c>
      <c r="M30" s="59">
        <f>'Financial Statements'!K27/'Financial Statements'!K$18</f>
        <v>0</v>
      </c>
      <c r="N30" s="59">
        <f>'Financial Statements'!L27/'Financial Statements'!L$18</f>
        <v>0</v>
      </c>
      <c r="O30" s="46"/>
      <c r="P30" s="59">
        <f>'Financial Statements'!N27/'Financial Statements'!N$18</f>
        <v>0</v>
      </c>
      <c r="Q30" s="2"/>
    </row>
    <row r="31" spans="1:17" ht="12.75" customHeight="1" x14ac:dyDescent="0.25">
      <c r="A31" s="2" t="str">
        <f>'Language Index'!A50</f>
        <v>Pre-Opening Costs</v>
      </c>
      <c r="B31" s="17"/>
      <c r="C31" s="17"/>
      <c r="D31" s="59">
        <f>'Financial Statements'!B28/'Financial Statements'!B$18</f>
        <v>0</v>
      </c>
      <c r="E31" s="59">
        <f>'Financial Statements'!C28/'Financial Statements'!C$18</f>
        <v>0</v>
      </c>
      <c r="F31" s="59">
        <f>'Financial Statements'!D28/'Financial Statements'!D$18</f>
        <v>0</v>
      </c>
      <c r="G31" s="59">
        <f>'Financial Statements'!E28/'Financial Statements'!E$18</f>
        <v>0</v>
      </c>
      <c r="H31" s="59">
        <f>'Financial Statements'!F28/'Financial Statements'!F$18</f>
        <v>0</v>
      </c>
      <c r="I31" s="59">
        <f>'Financial Statements'!G28/'Financial Statements'!G$18</f>
        <v>0</v>
      </c>
      <c r="J31" s="59">
        <f>'Financial Statements'!H28/'Financial Statements'!H$18</f>
        <v>0</v>
      </c>
      <c r="K31" s="59">
        <f>'Financial Statements'!I28/'Financial Statements'!I$18</f>
        <v>0</v>
      </c>
      <c r="L31" s="59">
        <f>'Financial Statements'!J28/'Financial Statements'!J$18</f>
        <v>0</v>
      </c>
      <c r="M31" s="59">
        <f>'Financial Statements'!K28/'Financial Statements'!K$18</f>
        <v>0</v>
      </c>
      <c r="N31" s="59">
        <f>'Financial Statements'!L28/'Financial Statements'!L$18</f>
        <v>0</v>
      </c>
      <c r="O31" s="46"/>
      <c r="P31" s="59">
        <f>'Financial Statements'!N28/'Financial Statements'!N$18</f>
        <v>0</v>
      </c>
      <c r="Q31" s="2"/>
    </row>
    <row r="32" spans="1:17" ht="12.75" customHeight="1" x14ac:dyDescent="0.25">
      <c r="A32" s="2" t="str">
        <f>'Language Index'!A51</f>
        <v>R &amp; D Exp.</v>
      </c>
      <c r="B32" s="17"/>
      <c r="C32" s="17"/>
      <c r="D32" s="59">
        <f>'Financial Statements'!B29/'Financial Statements'!B$18</f>
        <v>5.8592781783108637E-2</v>
      </c>
      <c r="E32" s="59">
        <f>'Financial Statements'!C29/'Financial Statements'!C$18</f>
        <v>6.4190553088413399E-2</v>
      </c>
      <c r="F32" s="59">
        <f>'Financial Statements'!D29/'Financial Statements'!D$18</f>
        <v>7.1647543137426647E-2</v>
      </c>
      <c r="G32" s="59">
        <f>'Financial Statements'!E29/'Financial Statements'!E$18</f>
        <v>7.0635211463374564E-2</v>
      </c>
      <c r="H32" s="59">
        <f>'Financial Statements'!F29/'Financial Statements'!F$18</f>
        <v>6.7583018180447541E-2</v>
      </c>
      <c r="I32" s="59">
        <f>'Financial Statements'!G29/'Financial Statements'!G$18</f>
        <v>0.10240149703711404</v>
      </c>
      <c r="J32" s="59">
        <f>'Financial Statements'!H29/'Financial Statements'!H$18</f>
        <v>0.11348520270392722</v>
      </c>
      <c r="K32" s="59">
        <f>'Financial Statements'!I29/'Financial Statements'!I$18</f>
        <v>0.11312793150947673</v>
      </c>
      <c r="L32" s="59">
        <f>'Financial Statements'!J29/'Financial Statements'!J$18</f>
        <v>0.10849165702957211</v>
      </c>
      <c r="M32" s="59">
        <f>'Financial Statements'!K29/'Financial Statements'!K$18</f>
        <v>0.10952150016165535</v>
      </c>
      <c r="N32" s="59">
        <f>'Financial Statements'!L29/'Financial Statements'!L$18</f>
        <v>0.11918155307315985</v>
      </c>
      <c r="O32" s="46"/>
      <c r="P32" s="59">
        <f>'Financial Statements'!N29/'Financial Statements'!N$18</f>
        <v>0.11918155307315985</v>
      </c>
      <c r="Q32" s="2"/>
    </row>
    <row r="33" spans="1:17" ht="12.75" customHeight="1" x14ac:dyDescent="0.25">
      <c r="A33" s="2" t="str">
        <f>'Language Index'!A52</f>
        <v>Depreciation &amp; Amort.</v>
      </c>
      <c r="B33" s="17"/>
      <c r="C33" s="17"/>
      <c r="D33" s="59">
        <f>'Financial Statements'!B30/'Financial Statements'!B$18</f>
        <v>0</v>
      </c>
      <c r="E33" s="59">
        <f>'Financial Statements'!C30/'Financial Statements'!C$18</f>
        <v>0</v>
      </c>
      <c r="F33" s="59">
        <f>'Financial Statements'!D30/'Financial Statements'!D$18</f>
        <v>0</v>
      </c>
      <c r="G33" s="59">
        <f>'Financial Statements'!E30/'Financial Statements'!E$18</f>
        <v>0</v>
      </c>
      <c r="H33" s="59">
        <f>'Financial Statements'!F30/'Financial Statements'!F$18</f>
        <v>0</v>
      </c>
      <c r="I33" s="59">
        <f>'Financial Statements'!G30/'Financial Statements'!G$18</f>
        <v>0</v>
      </c>
      <c r="J33" s="59">
        <f>'Financial Statements'!H30/'Financial Statements'!H$18</f>
        <v>0</v>
      </c>
      <c r="K33" s="59">
        <f>'Financial Statements'!I30/'Financial Statements'!I$18</f>
        <v>0</v>
      </c>
      <c r="L33" s="59">
        <f>'Financial Statements'!J30/'Financial Statements'!J$18</f>
        <v>0</v>
      </c>
      <c r="M33" s="59">
        <f>'Financial Statements'!K30/'Financial Statements'!K$18</f>
        <v>0</v>
      </c>
      <c r="N33" s="59">
        <f>'Financial Statements'!L30/'Financial Statements'!L$18</f>
        <v>0</v>
      </c>
      <c r="O33" s="46"/>
      <c r="P33" s="59">
        <f>'Financial Statements'!N30/'Financial Statements'!N$18</f>
        <v>0</v>
      </c>
      <c r="Q33" s="2"/>
    </row>
    <row r="34" spans="1:17" ht="12.75" customHeight="1" x14ac:dyDescent="0.25">
      <c r="A34" s="2" t="str">
        <f>'Language Index'!A53</f>
        <v>Amort. of Goodwill and Intangibles</v>
      </c>
      <c r="B34" s="17"/>
      <c r="C34" s="17"/>
      <c r="D34" s="59">
        <f>'Financial Statements'!B31/'Financial Statements'!B$18</f>
        <v>0</v>
      </c>
      <c r="E34" s="59">
        <f>'Financial Statements'!C31/'Financial Statements'!C$18</f>
        <v>0</v>
      </c>
      <c r="F34" s="59">
        <f>'Financial Statements'!D31/'Financial Statements'!D$18</f>
        <v>0</v>
      </c>
      <c r="G34" s="59">
        <f>'Financial Statements'!E31/'Financial Statements'!E$18</f>
        <v>0</v>
      </c>
      <c r="H34" s="59">
        <f>'Financial Statements'!F31/'Financial Statements'!F$18</f>
        <v>0</v>
      </c>
      <c r="I34" s="59">
        <f>'Financial Statements'!G31/'Financial Statements'!G$18</f>
        <v>0</v>
      </c>
      <c r="J34" s="59">
        <f>'Financial Statements'!H31/'Financial Statements'!H$18</f>
        <v>0</v>
      </c>
      <c r="K34" s="59">
        <f>'Financial Statements'!I31/'Financial Statements'!I$18</f>
        <v>0</v>
      </c>
      <c r="L34" s="59">
        <f>'Financial Statements'!J31/'Financial Statements'!J$18</f>
        <v>0</v>
      </c>
      <c r="M34" s="59">
        <f>'Financial Statements'!K31/'Financial Statements'!K$18</f>
        <v>0</v>
      </c>
      <c r="N34" s="59">
        <f>'Financial Statements'!L31/'Financial Statements'!L$18</f>
        <v>0</v>
      </c>
      <c r="O34" s="46"/>
      <c r="P34" s="59">
        <f>'Financial Statements'!N31/'Financial Statements'!N$18</f>
        <v>0</v>
      </c>
      <c r="Q34" s="2"/>
    </row>
    <row r="35" spans="1:17" ht="12.75" customHeight="1" x14ac:dyDescent="0.25">
      <c r="A35" s="2" t="str">
        <f>'Language Index'!A54</f>
        <v>Impair. of Oil, Gas &amp; Mineral Prop.</v>
      </c>
      <c r="B35" s="17"/>
      <c r="C35" s="17"/>
      <c r="D35" s="59">
        <f>'Financial Statements'!B32/'Financial Statements'!B$18</f>
        <v>0</v>
      </c>
      <c r="E35" s="59">
        <f>'Financial Statements'!C32/'Financial Statements'!C$18</f>
        <v>0</v>
      </c>
      <c r="F35" s="59">
        <f>'Financial Statements'!D32/'Financial Statements'!D$18</f>
        <v>0</v>
      </c>
      <c r="G35" s="59">
        <f>'Financial Statements'!E32/'Financial Statements'!E$18</f>
        <v>0</v>
      </c>
      <c r="H35" s="59">
        <f>'Financial Statements'!F32/'Financial Statements'!F$18</f>
        <v>0</v>
      </c>
      <c r="I35" s="59">
        <f>'Financial Statements'!G32/'Financial Statements'!G$18</f>
        <v>0</v>
      </c>
      <c r="J35" s="59">
        <f>'Financial Statements'!H32/'Financial Statements'!H$18</f>
        <v>0</v>
      </c>
      <c r="K35" s="59">
        <f>'Financial Statements'!I32/'Financial Statements'!I$18</f>
        <v>0</v>
      </c>
      <c r="L35" s="59">
        <f>'Financial Statements'!J32/'Financial Statements'!J$18</f>
        <v>0</v>
      </c>
      <c r="M35" s="59">
        <f>'Financial Statements'!K32/'Financial Statements'!K$18</f>
        <v>0</v>
      </c>
      <c r="N35" s="59">
        <f>'Financial Statements'!L32/'Financial Statements'!L$18</f>
        <v>0</v>
      </c>
      <c r="O35" s="46"/>
      <c r="P35" s="59">
        <f>'Financial Statements'!N32/'Financial Statements'!N$18</f>
        <v>0</v>
      </c>
      <c r="Q35" s="2"/>
    </row>
    <row r="36" spans="1:17" ht="12.75" customHeight="1" x14ac:dyDescent="0.25">
      <c r="A36" s="2" t="str">
        <f>'Language Index'!A55</f>
        <v>Other Operating Expense/(Income)</v>
      </c>
      <c r="B36" s="17"/>
      <c r="C36" s="17"/>
      <c r="D36" s="63">
        <f>'Financial Statements'!B33/'Financial Statements'!B$18</f>
        <v>-7.6298858750121238E-3</v>
      </c>
      <c r="E36" s="63">
        <f>'Financial Statements'!C33/'Financial Statements'!C$18</f>
        <v>-8.1843872719932469E-3</v>
      </c>
      <c r="F36" s="63">
        <f>'Financial Statements'!D33/'Financial Statements'!D$18</f>
        <v>-2.0070321200215218E-2</v>
      </c>
      <c r="G36" s="63">
        <f>'Financial Statements'!E33/'Financial Statements'!E$18</f>
        <v>-1.8524368516155118E-2</v>
      </c>
      <c r="H36" s="63">
        <f>'Financial Statements'!F33/'Financial Statements'!F$18</f>
        <v>-1.289090475053712E-2</v>
      </c>
      <c r="I36" s="63">
        <f>'Financial Statements'!G33/'Financial Statements'!G$18</f>
        <v>-1.1071836989292027E-2</v>
      </c>
      <c r="J36" s="63">
        <f>'Financial Statements'!H33/'Financial Statements'!H$18</f>
        <v>-1.123615868355715E-2</v>
      </c>
      <c r="K36" s="63">
        <f>'Financial Statements'!I33/'Financial Statements'!I$18</f>
        <v>-1.0671130407490716E-2</v>
      </c>
      <c r="L36" s="63">
        <f>'Financial Statements'!J33/'Financial Statements'!J$18</f>
        <v>-1.0953246324136792E-2</v>
      </c>
      <c r="M36" s="63">
        <f>'Financial Statements'!K33/'Financial Statements'!K$18</f>
        <v>-1.3902360168121564E-2</v>
      </c>
      <c r="N36" s="63">
        <f>'Financial Statements'!L33/'Financial Statements'!L$18</f>
        <v>-1.5871751151339378E-2</v>
      </c>
      <c r="O36" s="46"/>
      <c r="P36" s="63">
        <f>'Financial Statements'!N33/'Financial Statements'!N$18</f>
        <v>-1.5871751151339378E-2</v>
      </c>
      <c r="Q36" s="2"/>
    </row>
    <row r="37" spans="1:17" ht="12.75" customHeight="1" x14ac:dyDescent="0.25">
      <c r="A37" s="19" t="str">
        <f>'Language Index'!A56</f>
        <v>Other Operating Exp., Total</v>
      </c>
      <c r="B37" s="19"/>
      <c r="C37" s="19"/>
      <c r="D37" s="64">
        <f>'Financial Statements'!B34/'Financial Statements'!B$18</f>
        <v>0.28318946472255452</v>
      </c>
      <c r="E37" s="64">
        <f>'Financial Statements'!C34/'Financial Statements'!C$18</f>
        <v>0.29565334409904453</v>
      </c>
      <c r="F37" s="64">
        <f>'Financial Statements'!D34/'Financial Statements'!D$18</f>
        <v>0.30464595402845379</v>
      </c>
      <c r="G37" s="64">
        <f>'Financial Statements'!E34/'Financial Statements'!E$18</f>
        <v>0.31919786704406172</v>
      </c>
      <c r="H37" s="64">
        <f>'Financial Statements'!F34/'Financial Statements'!F$18</f>
        <v>0.29801108165496099</v>
      </c>
      <c r="I37" s="64">
        <f>'Financial Statements'!G34/'Financial Statements'!G$18</f>
        <v>0.41575700869806287</v>
      </c>
      <c r="J37" s="64">
        <f>'Financial Statements'!H34/'Financial Statements'!H$18</f>
        <v>0.47487268707298064</v>
      </c>
      <c r="K37" s="64">
        <f>'Financial Statements'!I34/'Financial Statements'!I$18</f>
        <v>0.45165733814580389</v>
      </c>
      <c r="L37" s="64">
        <f>'Financial Statements'!J34/'Financial Statements'!J$18</f>
        <v>0.51315050388237238</v>
      </c>
      <c r="M37" s="64">
        <f>'Financial Statements'!K34/'Financial Statements'!K$18</f>
        <v>0.39439055932751377</v>
      </c>
      <c r="N37" s="64">
        <f>'Financial Statements'!L34/'Financial Statements'!L$18</f>
        <v>0.46016923493697515</v>
      </c>
      <c r="O37" s="61"/>
      <c r="P37" s="64">
        <f>'Financial Statements'!N34/'Financial Statements'!N$18</f>
        <v>0.46016923493697515</v>
      </c>
      <c r="Q37" s="62"/>
    </row>
    <row r="38" spans="1:17" ht="12.75" customHeight="1" x14ac:dyDescent="0.25">
      <c r="A38" s="16"/>
      <c r="B38" s="16"/>
      <c r="C38" s="1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46"/>
      <c r="P38" s="59"/>
      <c r="Q38" s="2"/>
    </row>
    <row r="39" spans="1:17" ht="12.75" customHeight="1" thickBot="1" x14ac:dyDescent="0.3">
      <c r="A39" s="19" t="str">
        <f>'Language Index'!A57</f>
        <v>Operating Income</v>
      </c>
      <c r="B39" s="19"/>
      <c r="C39" s="19"/>
      <c r="D39" s="65">
        <f>'Financial Statements'!B35/'Financial Statements'!B$18</f>
        <v>0.2169236903645749</v>
      </c>
      <c r="E39" s="65">
        <f>'Financial Statements'!C35/'Financial Statements'!C$18</f>
        <v>0.20206505915024284</v>
      </c>
      <c r="F39" s="65">
        <f>'Financial Statements'!D35/'Financial Statements'!D$18</f>
        <v>0.17730452082733769</v>
      </c>
      <c r="G39" s="65">
        <f>'Financial Statements'!E35/'Financial Statements'!E$18</f>
        <v>0.14761369236406829</v>
      </c>
      <c r="H39" s="65">
        <f>'Financial Statements'!F35/'Financial Statements'!F$18</f>
        <v>0.16607405359902502</v>
      </c>
      <c r="I39" s="65">
        <f>'Financial Statements'!G35/'Financial Statements'!G$18</f>
        <v>0.1306268842915064</v>
      </c>
      <c r="J39" s="65">
        <f>'Financial Statements'!H35/'Financial Statements'!H$18</f>
        <v>8.4488664165715224E-2</v>
      </c>
      <c r="K39" s="65">
        <f>'Financial Statements'!I35/'Financial Statements'!I$18</f>
        <v>9.7347910236961863E-2</v>
      </c>
      <c r="L39" s="65">
        <f>'Financial Statements'!J35/'Financial Statements'!J$18</f>
        <v>2.6879233437964646E-2</v>
      </c>
      <c r="M39" s="65">
        <f>'Financial Statements'!K35/'Financial Statements'!K$18</f>
        <v>0.16008729388942775</v>
      </c>
      <c r="N39" s="65">
        <f>'Financial Statements'!L35/'Financial Statements'!L$18</f>
        <v>0.10636941660159674</v>
      </c>
      <c r="O39" s="61"/>
      <c r="P39" s="65">
        <f>'Financial Statements'!N35/'Financial Statements'!N$18</f>
        <v>0.10636941660159674</v>
      </c>
      <c r="Q39" s="62"/>
    </row>
    <row r="40" spans="1:17" ht="12.75" customHeight="1" thickTop="1" x14ac:dyDescent="0.25">
      <c r="A40" s="16"/>
      <c r="B40" s="16"/>
      <c r="C40" s="1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46"/>
      <c r="P40" s="59"/>
      <c r="Q40" s="2"/>
    </row>
    <row r="41" spans="1:17" ht="12.75" customHeight="1" x14ac:dyDescent="0.25">
      <c r="A41" s="2" t="str">
        <f>'Language Index'!A58</f>
        <v>Interest Expense</v>
      </c>
      <c r="B41" s="17"/>
      <c r="C41" s="17"/>
      <c r="D41" s="59">
        <f>'Financial Statements'!B36/'Financial Statements'!B$18</f>
        <v>-5.2159106829178922E-3</v>
      </c>
      <c r="E41" s="59">
        <f>'Financial Statements'!C36/'Financial Statements'!C$18</f>
        <v>-5.7254009615737515E-3</v>
      </c>
      <c r="F41" s="59">
        <f>'Financial Statements'!D36/'Financial Statements'!D$18</f>
        <v>-7.8829815187877721E-3</v>
      </c>
      <c r="G41" s="59">
        <f>'Financial Statements'!E36/'Financial Statements'!E$18</f>
        <v>-7.7711368604607084E-3</v>
      </c>
      <c r="H41" s="59">
        <f>'Financial Statements'!F36/'Financial Statements'!F$18</f>
        <v>-9.083941651694287E-3</v>
      </c>
      <c r="I41" s="59">
        <f>'Financial Statements'!G36/'Financial Statements'!G$18</f>
        <v>-2.3287243996257406E-2</v>
      </c>
      <c r="J41" s="59">
        <f>'Financial Statements'!H36/'Financial Statements'!H$18</f>
        <v>-2.3342213523260661E-2</v>
      </c>
      <c r="K41" s="59">
        <f>'Financial Statements'!I36/'Financial Statements'!I$18</f>
        <v>-2.0139143170999633E-2</v>
      </c>
      <c r="L41" s="59">
        <f>'Financial Statements'!J36/'Financial Statements'!J$18</f>
        <v>-2.0089211961011069E-2</v>
      </c>
      <c r="M41" s="59">
        <f>'Financial Statements'!K36/'Financial Statements'!K$18</f>
        <v>-2.5978014872292274E-2</v>
      </c>
      <c r="N41" s="59">
        <f>'Financial Statements'!L36/'Financial Statements'!L$18</f>
        <v>-2.7281564228005036E-2</v>
      </c>
      <c r="O41" s="46"/>
      <c r="P41" s="59">
        <f>'Financial Statements'!N36/'Financial Statements'!N$18</f>
        <v>-2.7281564228005036E-2</v>
      </c>
      <c r="Q41" s="62"/>
    </row>
    <row r="42" spans="1:17" ht="12.75" customHeight="1" x14ac:dyDescent="0.25">
      <c r="A42" s="2" t="str">
        <f>'Language Index'!A59</f>
        <v>Interest and Invest. Income</v>
      </c>
      <c r="B42" s="17"/>
      <c r="C42" s="17"/>
      <c r="D42" s="59">
        <f>'Financial Statements'!B37/'Financial Statements'!B$18</f>
        <v>9.6990074682357509E-4</v>
      </c>
      <c r="E42" s="59">
        <f>'Financial Statements'!C37/'Financial Statements'!C$18</f>
        <v>8.8083091716519252E-4</v>
      </c>
      <c r="F42" s="59">
        <f>'Financial Statements'!D37/'Financial Statements'!D$18</f>
        <v>1.3513682603636182E-3</v>
      </c>
      <c r="G42" s="59">
        <f>'Financial Statements'!E37/'Financial Statements'!E$18</f>
        <v>0</v>
      </c>
      <c r="H42" s="59">
        <f>'Financial Statements'!F37/'Financial Statements'!F$18</f>
        <v>0</v>
      </c>
      <c r="I42" s="59">
        <f>'Financial Statements'!G37/'Financial Statements'!G$18</f>
        <v>0</v>
      </c>
      <c r="J42" s="59">
        <f>'Financial Statements'!H37/'Financial Statements'!H$18</f>
        <v>0</v>
      </c>
      <c r="K42" s="59">
        <f>'Financial Statements'!I37/'Financial Statements'!I$18</f>
        <v>9.0669735488483195E-4</v>
      </c>
      <c r="L42" s="59">
        <f>'Financial Statements'!J37/'Financial Statements'!J$18</f>
        <v>2.6763588303320668E-3</v>
      </c>
      <c r="M42" s="59">
        <f>'Financial Statements'!K37/'Financial Statements'!K$18</f>
        <v>1.0830908503071451E-2</v>
      </c>
      <c r="N42" s="59">
        <f>'Financial Statements'!L37/'Financial Statements'!L$18</f>
        <v>1.1903813363504533E-2</v>
      </c>
      <c r="O42" s="46"/>
      <c r="P42" s="59">
        <f>'Financial Statements'!N37/'Financial Statements'!N$18</f>
        <v>1.1903813363504533E-2</v>
      </c>
      <c r="Q42" s="2"/>
    </row>
    <row r="43" spans="1:17" ht="12.75" customHeight="1" x14ac:dyDescent="0.25">
      <c r="A43" s="19" t="str">
        <f>'Language Index'!A60</f>
        <v>Net Interest Exp.</v>
      </c>
      <c r="B43" s="19"/>
      <c r="C43" s="19"/>
      <c r="D43" s="60">
        <f>'Financial Statements'!B38/'Financial Statements'!B$18</f>
        <v>-4.2460099360943178E-3</v>
      </c>
      <c r="E43" s="60">
        <f>'Financial Statements'!C38/'Financial Statements'!C$18</f>
        <v>-4.8445700444085587E-3</v>
      </c>
      <c r="F43" s="60">
        <f>'Financial Statements'!D38/'Financial Statements'!D$18</f>
        <v>-6.5316132584241548E-3</v>
      </c>
      <c r="G43" s="60">
        <f>'Financial Statements'!E38/'Financial Statements'!E$18</f>
        <v>-7.7711368604607084E-3</v>
      </c>
      <c r="H43" s="60">
        <f>'Financial Statements'!F38/'Financial Statements'!F$18</f>
        <v>-9.083941651694287E-3</v>
      </c>
      <c r="I43" s="60">
        <f>'Financial Statements'!G38/'Financial Statements'!G$18</f>
        <v>-2.3287243996257406E-2</v>
      </c>
      <c r="J43" s="60">
        <f>'Financial Statements'!H38/'Financial Statements'!H$18</f>
        <v>-2.3342213523260661E-2</v>
      </c>
      <c r="K43" s="60">
        <f>'Financial Statements'!I38/'Financial Statements'!I$18</f>
        <v>-1.9232445816114802E-2</v>
      </c>
      <c r="L43" s="60">
        <f>'Financial Statements'!J38/'Financial Statements'!J$18</f>
        <v>-1.7412853130679001E-2</v>
      </c>
      <c r="M43" s="60">
        <f>'Financial Statements'!K38/'Financial Statements'!K$18</f>
        <v>-1.5147106369220821E-2</v>
      </c>
      <c r="N43" s="60">
        <f>'Financial Statements'!L38/'Financial Statements'!L$18</f>
        <v>-1.5377750864500501E-2</v>
      </c>
      <c r="O43" s="61"/>
      <c r="P43" s="60">
        <f>'Financial Statements'!N38/'Financial Statements'!N$18</f>
        <v>-1.5377750864500501E-2</v>
      </c>
      <c r="Q43" s="2"/>
    </row>
    <row r="44" spans="1:17" ht="12.75" customHeight="1" x14ac:dyDescent="0.25">
      <c r="A44" s="16"/>
      <c r="B44" s="16"/>
      <c r="C44" s="16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46"/>
      <c r="P44" s="59"/>
      <c r="Q44" s="2"/>
    </row>
    <row r="45" spans="1:17" ht="12.75" customHeight="1" x14ac:dyDescent="0.25">
      <c r="A45" s="2" t="str">
        <f>'Financial Statements'!A39</f>
        <v>Income / (Loss) from Affiliates</v>
      </c>
      <c r="B45" s="16"/>
      <c r="C45" s="16"/>
      <c r="D45" s="59">
        <f>'Financial Statements'!B39/'Financial Statements'!B$18</f>
        <v>0</v>
      </c>
      <c r="E45" s="59">
        <f>'Financial Statements'!C39/'Financial Statements'!C$18</f>
        <v>0</v>
      </c>
      <c r="F45" s="59">
        <f>'Financial Statements'!D39/'Financial Statements'!D$18</f>
        <v>0</v>
      </c>
      <c r="G45" s="59">
        <f>'Financial Statements'!E39/'Financial Statements'!E$18</f>
        <v>0</v>
      </c>
      <c r="H45" s="59">
        <f>'Financial Statements'!F39/'Financial Statements'!F$18</f>
        <v>0</v>
      </c>
      <c r="I45" s="59">
        <f>'Financial Statements'!G39/'Financial Statements'!G$18</f>
        <v>0</v>
      </c>
      <c r="J45" s="59">
        <f>'Financial Statements'!H39/'Financial Statements'!H$18</f>
        <v>0</v>
      </c>
      <c r="K45" s="59">
        <f>'Financial Statements'!I39/'Financial Statements'!I$18</f>
        <v>0</v>
      </c>
      <c r="L45" s="59">
        <f>'Financial Statements'!J39/'Financial Statements'!J$18</f>
        <v>0</v>
      </c>
      <c r="M45" s="59">
        <f>'Financial Statements'!K39/'Financial Statements'!K$18</f>
        <v>0</v>
      </c>
      <c r="N45" s="59">
        <f>'Financial Statements'!L39/'Financial Statements'!L$18</f>
        <v>0</v>
      </c>
      <c r="O45" s="46"/>
      <c r="P45" s="59">
        <f>'Financial Statements'!N39/'Financial Statements'!N$18</f>
        <v>0</v>
      </c>
      <c r="Q45" s="62"/>
    </row>
    <row r="46" spans="1:17" ht="12.75" customHeight="1" x14ac:dyDescent="0.25">
      <c r="A46" s="2" t="str">
        <f>'Financial Statements'!A40</f>
        <v>Currency Exchange Gains (Loss)</v>
      </c>
      <c r="B46" s="16"/>
      <c r="C46" s="16"/>
      <c r="D46" s="59">
        <f>'Financial Statements'!B40/'Financial Statements'!B$18</f>
        <v>-8.6213399717651113E-4</v>
      </c>
      <c r="E46" s="59">
        <f>'Financial Statements'!C40/'Financial Statements'!C$18</f>
        <v>5.4929594695440473E-3</v>
      </c>
      <c r="F46" s="59">
        <f>'Financial Statements'!D40/'Financial Statements'!D$18</f>
        <v>-1.801824347151491E-3</v>
      </c>
      <c r="G46" s="59">
        <f>'Financial Statements'!E40/'Financial Statements'!E$18</f>
        <v>0</v>
      </c>
      <c r="H46" s="59">
        <f>'Financial Statements'!F40/'Financial Statements'!F$18</f>
        <v>-5.4528778379465013E-3</v>
      </c>
      <c r="I46" s="59">
        <f>'Financial Statements'!G40/'Financial Statements'!G$18</f>
        <v>-2.42575458294348E-4</v>
      </c>
      <c r="J46" s="59">
        <f>'Financial Statements'!H40/'Financial Statements'!H$18</f>
        <v>-2.1747403903659001E-4</v>
      </c>
      <c r="K46" s="59">
        <f>'Financial Statements'!I40/'Financial Statements'!I$18</f>
        <v>-1.7436487593939078E-5</v>
      </c>
      <c r="L46" s="59">
        <f>'Financial Statements'!J40/'Financial Statements'!J$18</f>
        <v>8.2603667602841567E-3</v>
      </c>
      <c r="M46" s="59">
        <f>'Financial Statements'!K40/'Financial Statements'!K$18</f>
        <v>-1.1154219204655674E-3</v>
      </c>
      <c r="N46" s="59">
        <f>'Financial Statements'!L40/'Financial Statements'!L$18</f>
        <v>3.1870986247669437E-4</v>
      </c>
      <c r="O46" s="46"/>
      <c r="P46" s="59">
        <f>'Financial Statements'!N40/'Financial Statements'!N$18</f>
        <v>3.1870986247669437E-4</v>
      </c>
      <c r="Q46" s="2"/>
    </row>
    <row r="47" spans="1:17" ht="12.75" customHeight="1" x14ac:dyDescent="0.25">
      <c r="A47" s="2" t="str">
        <f>'Financial Statements'!A41</f>
        <v>Other Non-Operating Inc. (Exp.)</v>
      </c>
      <c r="B47" s="17"/>
      <c r="C47" s="17"/>
      <c r="D47" s="59">
        <f>'Financial Statements'!B41/'Financial Statements'!B$18</f>
        <v>1.8180250665459679E-2</v>
      </c>
      <c r="E47" s="59">
        <f>'Financial Statements'!C41/'Financial Statements'!C$18</f>
        <v>3.0462069218629576E-3</v>
      </c>
      <c r="F47" s="59">
        <f>'Financial Statements'!D41/'Financial Statements'!D$18</f>
        <v>-9.885008571178318E-4</v>
      </c>
      <c r="G47" s="59">
        <f>'Financial Statements'!E41/'Financial Statements'!E$18</f>
        <v>4.2077863000543345E-3</v>
      </c>
      <c r="H47" s="59">
        <f>'Financial Statements'!F41/'Financial Statements'!F$18</f>
        <v>-9.0336847130957024E-3</v>
      </c>
      <c r="I47" s="59">
        <f>'Financial Statements'!G41/'Financial Statements'!G$18</f>
        <v>4.5569532522438229E-3</v>
      </c>
      <c r="J47" s="59">
        <f>'Financial Statements'!H41/'Financial Statements'!H$18</f>
        <v>-1.4317040903242175E-2</v>
      </c>
      <c r="K47" s="59">
        <f>'Financial Statements'!I41/'Financial Statements'!I$18</f>
        <v>3.9232097086362924E-3</v>
      </c>
      <c r="L47" s="59">
        <f>'Financial Statements'!J41/'Financial Statements'!J$18</f>
        <v>0.1033371881711548</v>
      </c>
      <c r="M47" s="59">
        <f>'Financial Statements'!K41/'Financial Statements'!K$18</f>
        <v>3.6372453928225023E-3</v>
      </c>
      <c r="N47" s="59">
        <f>'Financial Statements'!L41/'Financial Statements'!L$18</f>
        <v>6.3407327139738345E-2</v>
      </c>
      <c r="O47" s="46"/>
      <c r="P47" s="59">
        <f>'Financial Statements'!N41/'Financial Statements'!N$18</f>
        <v>6.3407327139738345E-2</v>
      </c>
      <c r="Q47" s="2"/>
    </row>
    <row r="48" spans="1:17" ht="12.75" customHeight="1" x14ac:dyDescent="0.25">
      <c r="A48" s="19" t="str">
        <f>'Financial Statements'!A42</f>
        <v>EBT Excl Unusual Items</v>
      </c>
      <c r="B48" s="19"/>
      <c r="C48" s="19"/>
      <c r="D48" s="60">
        <f>'Financial Statements'!B42/'Financial Statements'!B$18</f>
        <v>0.22999579709676377</v>
      </c>
      <c r="E48" s="60">
        <f>'Financial Statements'!C42/'Financial Statements'!C$18</f>
        <v>0.20575965549724129</v>
      </c>
      <c r="F48" s="60">
        <f>'Financial Statements'!D42/'Financial Statements'!D$18</f>
        <v>0.1679825823646442</v>
      </c>
      <c r="G48" s="60">
        <f>'Financial Statements'!E42/'Financial Statements'!E$18</f>
        <v>0.14405034180366191</v>
      </c>
      <c r="H48" s="60">
        <f>'Financial Statements'!F42/'Financial Statements'!F$18</f>
        <v>0.14250354939628854</v>
      </c>
      <c r="I48" s="60">
        <f>'Financial Statements'!G42/'Financial Statements'!G$18</f>
        <v>0.11165401808919846</v>
      </c>
      <c r="J48" s="60">
        <f>'Financial Statements'!H42/'Financial Statements'!H$18</f>
        <v>4.6611935700175793E-2</v>
      </c>
      <c r="K48" s="60">
        <f>'Financial Statements'!I42/'Financial Statements'!I$18</f>
        <v>8.2021237641889413E-2</v>
      </c>
      <c r="L48" s="60">
        <f>'Financial Statements'!J42/'Financial Statements'!J$18</f>
        <v>0.12106393523872459</v>
      </c>
      <c r="M48" s="60">
        <f>'Financial Statements'!K42/'Financial Statements'!K$18</f>
        <v>0.14746201099256384</v>
      </c>
      <c r="N48" s="60">
        <f>'Financial Statements'!L42/'Financial Statements'!L$18</f>
        <v>0.15471770273931126</v>
      </c>
      <c r="O48" s="61"/>
      <c r="P48" s="60">
        <f>'Financial Statements'!N42/'Financial Statements'!N$18</f>
        <v>0.15471770273931126</v>
      </c>
      <c r="Q48" s="62"/>
    </row>
    <row r="49" spans="1:17" ht="12.75" customHeight="1" x14ac:dyDescent="0.25">
      <c r="A49" s="16"/>
      <c r="B49" s="16"/>
      <c r="C49" s="16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46"/>
      <c r="P49" s="59"/>
      <c r="Q49" s="2"/>
    </row>
    <row r="50" spans="1:17" ht="12.75" customHeight="1" x14ac:dyDescent="0.25">
      <c r="A50" s="2" t="str">
        <f>'Language Index'!A65</f>
        <v>Restructuring Charges</v>
      </c>
      <c r="B50" s="16"/>
      <c r="C50" s="16"/>
      <c r="D50" s="59">
        <f>'Financial Statements'!B43/'Financial Statements'!B$18</f>
        <v>-1.5863265548047806E-2</v>
      </c>
      <c r="E50" s="59">
        <f>'Financial Statements'!C43/'Financial Statements'!C$18</f>
        <v>-7.1812187274439996E-3</v>
      </c>
      <c r="F50" s="59">
        <f>'Financial Statements'!D43/'Financial Statements'!D$18</f>
        <v>-1.2988150502383663E-2</v>
      </c>
      <c r="G50" s="59">
        <f>'Financial Statements'!E43/'Financial Statements'!E$18</f>
        <v>0</v>
      </c>
      <c r="H50" s="59">
        <f>'Financial Statements'!F43/'Financial Statements'!F$18</f>
        <v>0</v>
      </c>
      <c r="I50" s="59">
        <f>'Financial Statements'!G43/'Financial Statements'!G$18</f>
        <v>0</v>
      </c>
      <c r="J50" s="59">
        <f>'Financial Statements'!H43/'Financial Statements'!H$18</f>
        <v>0</v>
      </c>
      <c r="K50" s="59">
        <f>'Financial Statements'!I43/'Financial Statements'!I$18</f>
        <v>0</v>
      </c>
      <c r="L50" s="59">
        <f>'Financial Statements'!J43/'Financial Statements'!J$18</f>
        <v>0</v>
      </c>
      <c r="M50" s="59">
        <f>'Financial Statements'!K43/'Financial Statements'!K$18</f>
        <v>-7.0805043646944713E-3</v>
      </c>
      <c r="N50" s="59">
        <f>'Financial Statements'!L43/'Financial Statements'!L$18</f>
        <v>-1.1091103214188963E-2</v>
      </c>
      <c r="O50" s="46"/>
      <c r="P50" s="59">
        <f>'Financial Statements'!N43/'Financial Statements'!N$18</f>
        <v>-1.1091103214188963E-2</v>
      </c>
      <c r="Q50" s="62"/>
    </row>
    <row r="51" spans="1:17" ht="12.75" customHeight="1" x14ac:dyDescent="0.25">
      <c r="A51" s="2" t="str">
        <f>'Language Index'!A66</f>
        <v>Merger &amp; Related Restruct. Charges</v>
      </c>
      <c r="B51" s="17"/>
      <c r="C51" s="17"/>
      <c r="D51" s="59">
        <f>'Financial Statements'!B44/'Financial Statements'!B$18</f>
        <v>-1.2932009957647666E-4</v>
      </c>
      <c r="E51" s="59">
        <f>'Financial Statements'!C44/'Financial Statements'!C$18</f>
        <v>-3.1807783119854174E-4</v>
      </c>
      <c r="F51" s="59">
        <f>'Financial Statements'!D44/'Financial Statements'!D$18</f>
        <v>-6.2563345387204545E-5</v>
      </c>
      <c r="G51" s="59">
        <f>'Financial Statements'!E44/'Financial Statements'!E$18</f>
        <v>0</v>
      </c>
      <c r="H51" s="59">
        <f>'Financial Statements'!F44/'Financial Statements'!F$18</f>
        <v>0</v>
      </c>
      <c r="I51" s="59">
        <f>'Financial Statements'!G44/'Financial Statements'!G$18</f>
        <v>0</v>
      </c>
      <c r="J51" s="59">
        <f>'Financial Statements'!H44/'Financial Statements'!H$18</f>
        <v>0</v>
      </c>
      <c r="K51" s="59">
        <f>'Financial Statements'!I44/'Financial Statements'!I$18</f>
        <v>0</v>
      </c>
      <c r="L51" s="59">
        <f>'Financial Statements'!J44/'Financial Statements'!J$18</f>
        <v>0</v>
      </c>
      <c r="M51" s="59">
        <f>'Financial Statements'!K44/'Financial Statements'!K$18</f>
        <v>-5.3346265761396703E-4</v>
      </c>
      <c r="N51" s="59">
        <f>'Financial Statements'!L44/'Financial Statements'!L$18</f>
        <v>-1.9600656542316701E-3</v>
      </c>
      <c r="O51" s="46"/>
      <c r="P51" s="59">
        <f>'Financial Statements'!N44/'Financial Statements'!N$18</f>
        <v>-1.9600656542316701E-3</v>
      </c>
      <c r="Q51" s="2"/>
    </row>
    <row r="52" spans="1:17" ht="12.75" customHeight="1" x14ac:dyDescent="0.25">
      <c r="A52" s="2" t="str">
        <f>'Language Index'!A67</f>
        <v>Impairment of Goodwill</v>
      </c>
      <c r="B52" s="17"/>
      <c r="C52" s="17"/>
      <c r="D52" s="59">
        <f>'Financial Statements'!B45/'Financial Statements'!B$18</f>
        <v>0</v>
      </c>
      <c r="E52" s="59">
        <f>'Financial Statements'!C45/'Financial Statements'!C$18</f>
        <v>0</v>
      </c>
      <c r="F52" s="59">
        <f>'Financial Statements'!D45/'Financial Statements'!D$18</f>
        <v>0</v>
      </c>
      <c r="G52" s="59">
        <f>'Financial Statements'!E45/'Financial Statements'!E$18</f>
        <v>0</v>
      </c>
      <c r="H52" s="59">
        <f>'Financial Statements'!F45/'Financial Statements'!F$18</f>
        <v>0</v>
      </c>
      <c r="I52" s="59">
        <f>'Financial Statements'!G45/'Financial Statements'!G$18</f>
        <v>0</v>
      </c>
      <c r="J52" s="59">
        <f>'Financial Statements'!H45/'Financial Statements'!H$18</f>
        <v>0</v>
      </c>
      <c r="K52" s="59">
        <f>'Financial Statements'!I45/'Financial Statements'!I$18</f>
        <v>0</v>
      </c>
      <c r="L52" s="59">
        <f>'Financial Statements'!J45/'Financial Statements'!J$18</f>
        <v>0</v>
      </c>
      <c r="M52" s="59">
        <f>'Financial Statements'!K45/'Financial Statements'!K$18</f>
        <v>0</v>
      </c>
      <c r="N52" s="59">
        <f>'Financial Statements'!L45/'Financial Statements'!L$18</f>
        <v>0</v>
      </c>
      <c r="O52" s="46"/>
      <c r="P52" s="59">
        <f>'Financial Statements'!N45/'Financial Statements'!N$18</f>
        <v>0</v>
      </c>
      <c r="Q52" s="2"/>
    </row>
    <row r="53" spans="1:17" ht="12.75" customHeight="1" x14ac:dyDescent="0.25">
      <c r="A53" s="2" t="str">
        <f>'Language Index'!A68</f>
        <v>Gain (Loss) On Sale Of Invest.</v>
      </c>
      <c r="B53" s="17"/>
      <c r="C53" s="17"/>
      <c r="D53" s="59">
        <f>'Financial Statements'!B46/'Financial Statements'!B$18</f>
        <v>2.8019354908236614E-4</v>
      </c>
      <c r="E53" s="59">
        <f>'Financial Statements'!C46/'Financial Statements'!C$18</f>
        <v>-5.749868487050562E-4</v>
      </c>
      <c r="F53" s="59">
        <f>'Financial Statements'!D46/'Financial Statements'!D$18</f>
        <v>-2.8779138878114093E-4</v>
      </c>
      <c r="G53" s="59">
        <f>'Financial Statements'!E46/'Financial Statements'!E$18</f>
        <v>0</v>
      </c>
      <c r="H53" s="59">
        <f>'Financial Statements'!F46/'Financial Statements'!F$18</f>
        <v>0</v>
      </c>
      <c r="I53" s="59">
        <f>'Financial Statements'!G46/'Financial Statements'!G$18</f>
        <v>0</v>
      </c>
      <c r="J53" s="59">
        <f>'Financial Statements'!H46/'Financial Statements'!H$18</f>
        <v>0</v>
      </c>
      <c r="K53" s="59">
        <f>'Financial Statements'!I46/'Financial Statements'!I$18</f>
        <v>2.3190528499938971E-3</v>
      </c>
      <c r="L53" s="59">
        <f>'Financial Statements'!J46/'Financial Statements'!J$18</f>
        <v>-4.5927639187179911E-3</v>
      </c>
      <c r="M53" s="59">
        <f>'Financial Statements'!K46/'Financial Statements'!K$18</f>
        <v>6.3045586808923378E-4</v>
      </c>
      <c r="N53" s="59">
        <f>'Financial Statements'!L46/'Financial Statements'!L$18</f>
        <v>3.1870986247669437E-4</v>
      </c>
      <c r="O53" s="46"/>
      <c r="P53" s="59">
        <f>'Financial Statements'!N46/'Financial Statements'!N$18</f>
        <v>3.1870986247669437E-4</v>
      </c>
      <c r="Q53" s="2"/>
    </row>
    <row r="54" spans="1:17" ht="12.75" customHeight="1" x14ac:dyDescent="0.25">
      <c r="A54" s="2" t="str">
        <f>'Language Index'!A69</f>
        <v>Gain (Loss) On Sale Of Assets</v>
      </c>
      <c r="B54" s="17"/>
      <c r="C54" s="17"/>
      <c r="D54" s="59">
        <f>'Financial Statements'!B47/'Financial Statements'!B$18</f>
        <v>2.5432952916707081E-3</v>
      </c>
      <c r="E54" s="59">
        <f>'Financial Statements'!C47/'Financial Statements'!C$18</f>
        <v>1.5903891559927087E-4</v>
      </c>
      <c r="F54" s="59">
        <f>'Financial Statements'!D47/'Financial Statements'!D$18</f>
        <v>3.3784206509090454E-4</v>
      </c>
      <c r="G54" s="59">
        <f>'Financial Statements'!E47/'Financial Statements'!E$18</f>
        <v>0</v>
      </c>
      <c r="H54" s="59">
        <f>'Financial Statements'!F47/'Financial Statements'!F$18</f>
        <v>0</v>
      </c>
      <c r="I54" s="59">
        <f>'Financial Statements'!G47/'Financial Statements'!G$18</f>
        <v>1.320303565859237E-2</v>
      </c>
      <c r="J54" s="59">
        <f>'Financial Statements'!H47/'Financial Statements'!H$18</f>
        <v>0</v>
      </c>
      <c r="K54" s="59">
        <f>'Financial Statements'!I47/'Financial Statements'!I$18</f>
        <v>0</v>
      </c>
      <c r="L54" s="59">
        <f>'Financial Statements'!J47/'Financial Statements'!J$18</f>
        <v>0</v>
      </c>
      <c r="M54" s="59">
        <f>'Financial Statements'!K47/'Financial Statements'!K$18</f>
        <v>0</v>
      </c>
      <c r="N54" s="59">
        <f>'Financial Statements'!L47/'Financial Statements'!L$18</f>
        <v>0</v>
      </c>
      <c r="O54" s="46"/>
      <c r="P54" s="59">
        <f>'Financial Statements'!N47/'Financial Statements'!N$18</f>
        <v>0</v>
      </c>
      <c r="Q54" s="2"/>
    </row>
    <row r="55" spans="1:17" ht="12.75" customHeight="1" x14ac:dyDescent="0.25">
      <c r="A55" s="2" t="str">
        <f>'Language Index'!A70</f>
        <v>Asset Writedown</v>
      </c>
      <c r="B55" s="17"/>
      <c r="C55" s="17"/>
      <c r="D55" s="59">
        <f>'Financial Statements'!B48/'Financial Statements'!B$18</f>
        <v>0</v>
      </c>
      <c r="E55" s="59">
        <f>'Financial Statements'!C48/'Financial Statements'!C$18</f>
        <v>0</v>
      </c>
      <c r="F55" s="59">
        <f>'Financial Statements'!D48/'Financial Statements'!D$18</f>
        <v>0</v>
      </c>
      <c r="G55" s="59">
        <f>'Financial Statements'!E48/'Financial Statements'!E$18</f>
        <v>0</v>
      </c>
      <c r="H55" s="59">
        <f>'Financial Statements'!F48/'Financial Statements'!F$18</f>
        <v>0</v>
      </c>
      <c r="I55" s="59">
        <f>'Financial Statements'!G48/'Financial Statements'!G$18</f>
        <v>0</v>
      </c>
      <c r="J55" s="59">
        <f>'Financial Statements'!H48/'Financial Statements'!H$18</f>
        <v>0</v>
      </c>
      <c r="K55" s="59">
        <f>'Financial Statements'!I48/'Financial Statements'!I$18</f>
        <v>0</v>
      </c>
      <c r="L55" s="59">
        <f>'Financial Statements'!J48/'Financial Statements'!J$18</f>
        <v>0</v>
      </c>
      <c r="M55" s="59">
        <f>'Financial Statements'!K48/'Financial Statements'!K$18</f>
        <v>0</v>
      </c>
      <c r="N55" s="59">
        <f>'Financial Statements'!L48/'Financial Statements'!L$18</f>
        <v>0</v>
      </c>
      <c r="O55" s="46"/>
      <c r="P55" s="59">
        <f>'Financial Statements'!N48/'Financial Statements'!N$18</f>
        <v>0</v>
      </c>
      <c r="Q55" s="2"/>
    </row>
    <row r="56" spans="1:17" ht="12.75" customHeight="1" x14ac:dyDescent="0.25">
      <c r="A56" s="2" t="str">
        <f>'Language Index'!A71</f>
        <v>In Process R &amp; D Exp.</v>
      </c>
      <c r="B56" s="17"/>
      <c r="C56" s="17"/>
      <c r="D56" s="59">
        <f>'Financial Statements'!B49/'Financial Statements'!B$18</f>
        <v>0</v>
      </c>
      <c r="E56" s="59">
        <f>'Financial Statements'!C49/'Financial Statements'!C$18</f>
        <v>0</v>
      </c>
      <c r="F56" s="59">
        <f>'Financial Statements'!D49/'Financial Statements'!D$18</f>
        <v>0</v>
      </c>
      <c r="G56" s="59">
        <f>'Financial Statements'!E49/'Financial Statements'!E$18</f>
        <v>0</v>
      </c>
      <c r="H56" s="59">
        <f>'Financial Statements'!F49/'Financial Statements'!F$18</f>
        <v>0</v>
      </c>
      <c r="I56" s="59">
        <f>'Financial Statements'!G49/'Financial Statements'!G$18</f>
        <v>0</v>
      </c>
      <c r="J56" s="59">
        <f>'Financial Statements'!H49/'Financial Statements'!H$18</f>
        <v>0</v>
      </c>
      <c r="K56" s="59">
        <f>'Financial Statements'!I49/'Financial Statements'!I$18</f>
        <v>0</v>
      </c>
      <c r="L56" s="59">
        <f>'Financial Statements'!J49/'Financial Statements'!J$18</f>
        <v>0</v>
      </c>
      <c r="M56" s="59">
        <f>'Financial Statements'!K49/'Financial Statements'!K$18</f>
        <v>0</v>
      </c>
      <c r="N56" s="59">
        <f>'Financial Statements'!L49/'Financial Statements'!L$18</f>
        <v>0</v>
      </c>
      <c r="O56" s="46"/>
      <c r="P56" s="59">
        <f>'Financial Statements'!N49/'Financial Statements'!N$18</f>
        <v>0</v>
      </c>
      <c r="Q56" s="2"/>
    </row>
    <row r="57" spans="1:17" ht="12.75" customHeight="1" x14ac:dyDescent="0.25">
      <c r="A57" s="2" t="str">
        <f>'Language Index'!A72</f>
        <v>Insurance Settlements</v>
      </c>
      <c r="B57" s="17"/>
      <c r="C57" s="17"/>
      <c r="D57" s="59">
        <f>'Financial Statements'!B50/'Financial Statements'!B$18</f>
        <v>0</v>
      </c>
      <c r="E57" s="59">
        <f>'Financial Statements'!C50/'Financial Statements'!C$18</f>
        <v>0</v>
      </c>
      <c r="F57" s="59">
        <f>'Financial Statements'!D50/'Financial Statements'!D$18</f>
        <v>0</v>
      </c>
      <c r="G57" s="59">
        <f>'Financial Statements'!E50/'Financial Statements'!E$18</f>
        <v>0</v>
      </c>
      <c r="H57" s="59">
        <f>'Financial Statements'!F50/'Financial Statements'!F$18</f>
        <v>0</v>
      </c>
      <c r="I57" s="59">
        <f>'Financial Statements'!G50/'Financial Statements'!G$18</f>
        <v>0</v>
      </c>
      <c r="J57" s="59">
        <f>'Financial Statements'!H50/'Financial Statements'!H$18</f>
        <v>0</v>
      </c>
      <c r="K57" s="59">
        <f>'Financial Statements'!I50/'Financial Statements'!I$18</f>
        <v>0</v>
      </c>
      <c r="L57" s="59">
        <f>'Financial Statements'!J50/'Financial Statements'!J$18</f>
        <v>0</v>
      </c>
      <c r="M57" s="59">
        <f>'Financial Statements'!K50/'Financial Statements'!K$18</f>
        <v>0</v>
      </c>
      <c r="N57" s="59">
        <f>'Financial Statements'!L50/'Financial Statements'!L$18</f>
        <v>0</v>
      </c>
      <c r="O57" s="46"/>
      <c r="P57" s="59">
        <f>'Financial Statements'!N50/'Financial Statements'!N$18</f>
        <v>0</v>
      </c>
      <c r="Q57" s="2"/>
    </row>
    <row r="58" spans="1:17" ht="12.75" customHeight="1" x14ac:dyDescent="0.25">
      <c r="A58" s="2" t="str">
        <f>'Language Index'!A73</f>
        <v>Legal Settlements</v>
      </c>
      <c r="B58" s="17"/>
      <c r="C58" s="17"/>
      <c r="D58" s="59">
        <f>'Financial Statements'!B51/'Financial Statements'!B$18</f>
        <v>-1.5949478947765456E-3</v>
      </c>
      <c r="E58" s="59">
        <f>'Financial Statements'!C51/'Financial Statements'!C$18</f>
        <v>-2.8504667180484704E-3</v>
      </c>
      <c r="F58" s="59">
        <f>'Financial Statements'!D51/'Financial Statements'!D$18</f>
        <v>-7.0070946833669092E-4</v>
      </c>
      <c r="G58" s="59">
        <f>'Financial Statements'!E51/'Financial Statements'!E$18</f>
        <v>0</v>
      </c>
      <c r="H58" s="59">
        <f>'Financial Statements'!F51/'Financial Statements'!F$18</f>
        <v>0</v>
      </c>
      <c r="I58" s="59">
        <f>'Financial Statements'!G51/'Financial Statements'!G$18</f>
        <v>0</v>
      </c>
      <c r="J58" s="59">
        <f>'Financial Statements'!H51/'Financial Statements'!H$18</f>
        <v>0</v>
      </c>
      <c r="K58" s="59">
        <f>'Financial Statements'!I51/'Financial Statements'!I$18</f>
        <v>0</v>
      </c>
      <c r="L58" s="59">
        <f>'Financial Statements'!J51/'Financial Statements'!J$18</f>
        <v>0</v>
      </c>
      <c r="M58" s="59">
        <f>'Financial Statements'!K51/'Financial Statements'!K$18</f>
        <v>0</v>
      </c>
      <c r="N58" s="59">
        <f>'Financial Statements'!L51/'Financial Statements'!L$18</f>
        <v>0</v>
      </c>
      <c r="O58" s="46"/>
      <c r="P58" s="59">
        <f>'Financial Statements'!N51/'Financial Statements'!N$18</f>
        <v>0</v>
      </c>
      <c r="Q58" s="2"/>
    </row>
    <row r="59" spans="1:17" ht="12.75" customHeight="1" x14ac:dyDescent="0.25">
      <c r="A59" s="2" t="str">
        <f>'Language Index'!A74</f>
        <v>Other Unusual Items</v>
      </c>
      <c r="B59" s="17"/>
      <c r="C59" s="17"/>
      <c r="D59" s="63">
        <f>'Financial Statements'!B52/'Financial Statements'!B$18</f>
        <v>1.4009677454118307E-4</v>
      </c>
      <c r="E59" s="63">
        <f>'Financial Statements'!C52/'Financial Statements'!C$18</f>
        <v>7.340257643043271E-5</v>
      </c>
      <c r="F59" s="63">
        <f>'Financial Statements'!D52/'Financial Statements'!D$18</f>
        <v>0</v>
      </c>
      <c r="G59" s="63">
        <f>'Financial Statements'!E52/'Financial Statements'!E$18</f>
        <v>0</v>
      </c>
      <c r="H59" s="63">
        <f>'Financial Statements'!F52/'Financial Statements'!F$18</f>
        <v>0</v>
      </c>
      <c r="I59" s="63">
        <f>'Financial Statements'!G52/'Financial Statements'!G$18</f>
        <v>0</v>
      </c>
      <c r="J59" s="63">
        <f>'Financial Statements'!H52/'Financial Statements'!H$18</f>
        <v>0</v>
      </c>
      <c r="K59" s="63">
        <f>'Financial Statements'!I52/'Financial Statements'!I$18</f>
        <v>0</v>
      </c>
      <c r="L59" s="63">
        <f>'Financial Statements'!J52/'Financial Statements'!J$18</f>
        <v>-9.7373203370229644E-2</v>
      </c>
      <c r="M59" s="63">
        <f>'Financial Statements'!K52/'Financial Statements'!K$18</f>
        <v>0</v>
      </c>
      <c r="N59" s="63">
        <f>'Financial Statements'!L52/'Financial Statements'!L$18</f>
        <v>-4.9607190094497475E-2</v>
      </c>
      <c r="O59" s="46"/>
      <c r="P59" s="63">
        <f>'Financial Statements'!N52/'Financial Statements'!N$18</f>
        <v>-4.9607190094497475E-2</v>
      </c>
      <c r="Q59" s="2"/>
    </row>
    <row r="60" spans="1:17" ht="12.75" customHeight="1" x14ac:dyDescent="0.25">
      <c r="A60" s="19" t="str">
        <f>'Language Index'!A75</f>
        <v>EBT Incl Unusual Items</v>
      </c>
      <c r="B60" s="19"/>
      <c r="C60" s="19"/>
      <c r="D60" s="60">
        <f>'Financial Statements'!B53/'Financial Statements'!B$18</f>
        <v>0.21537184916965718</v>
      </c>
      <c r="E60" s="60">
        <f>'Financial Statements'!C53/'Financial Statements'!C$18</f>
        <v>0.19506734686387492</v>
      </c>
      <c r="F60" s="60">
        <f>'Financial Statements'!D53/'Financial Statements'!D$18</f>
        <v>0.15428120972484641</v>
      </c>
      <c r="G60" s="60">
        <f>'Financial Statements'!E53/'Financial Statements'!E$18</f>
        <v>0.14405034180366191</v>
      </c>
      <c r="H60" s="60">
        <f>'Financial Statements'!F53/'Financial Statements'!F$18</f>
        <v>0.14250354939628854</v>
      </c>
      <c r="I60" s="60">
        <f>'Financial Statements'!G53/'Financial Statements'!G$18</f>
        <v>0.12485705374779082</v>
      </c>
      <c r="J60" s="60">
        <f>'Financial Statements'!H53/'Financial Statements'!H$18</f>
        <v>4.6611935700175793E-2</v>
      </c>
      <c r="K60" s="60">
        <f>'Financial Statements'!I53/'Financial Statements'!I$18</f>
        <v>8.434029049188331E-2</v>
      </c>
      <c r="L60" s="60">
        <f>'Financial Statements'!J53/'Financial Statements'!J$18</f>
        <v>1.9097967949776969E-2</v>
      </c>
      <c r="M60" s="60">
        <f>'Financial Statements'!K53/'Financial Statements'!K$18</f>
        <v>0.14047849983834465</v>
      </c>
      <c r="N60" s="60">
        <f>'Financial Statements'!L53/'Financial Statements'!L$18</f>
        <v>9.2378053638869861E-2</v>
      </c>
      <c r="O60" s="61"/>
      <c r="P60" s="60">
        <f>'Financial Statements'!N53/'Financial Statements'!N$18</f>
        <v>9.2378053638869861E-2</v>
      </c>
      <c r="Q60" s="62"/>
    </row>
    <row r="61" spans="1:17" ht="12.75" customHeight="1" x14ac:dyDescent="0.25">
      <c r="A61" s="16"/>
      <c r="B61" s="16"/>
      <c r="C61" s="16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46"/>
      <c r="P61" s="59"/>
      <c r="Q61" s="2"/>
    </row>
    <row r="62" spans="1:17" ht="12.75" customHeight="1" x14ac:dyDescent="0.25">
      <c r="A62" s="2" t="str">
        <f>'Language Index'!A76</f>
        <v>Income Tax Expense</v>
      </c>
      <c r="B62" s="17"/>
      <c r="C62" s="17"/>
      <c r="D62" s="59">
        <f>'Financial Statements'!B54/'Financial Statements'!B$18</f>
        <v>4.5628441800566855E-2</v>
      </c>
      <c r="E62" s="59">
        <f>'Financial Statements'!C54/'Financial Statements'!C$18</f>
        <v>3.1575341627824473E-2</v>
      </c>
      <c r="F62" s="59">
        <f>'Financial Statements'!D54/'Financial Statements'!D$18</f>
        <v>5.6181884157709685E-3</v>
      </c>
      <c r="G62" s="59">
        <f>'Financial Statements'!E54/'Financial Statements'!E$18</f>
        <v>7.1292283197917583E-2</v>
      </c>
      <c r="H62" s="59">
        <f>'Financial Statements'!F54/'Financial Statements'!F$18</f>
        <v>3.2905730547423705E-2</v>
      </c>
      <c r="I62" s="59">
        <f>'Financial Statements'!G54/'Financial Statements'!G$18</f>
        <v>1.0396091069757771E-3</v>
      </c>
      <c r="J62" s="59">
        <f>'Financial Statements'!H54/'Financial Statements'!H$18</f>
        <v>-2.46470577574802E-2</v>
      </c>
      <c r="K62" s="59">
        <f>'Financial Statements'!I54/'Financial Statements'!I$18</f>
        <v>2.1621244616484457E-3</v>
      </c>
      <c r="L62" s="59">
        <f>'Financial Statements'!J54/'Financial Statements'!J$18</f>
        <v>-1.0341979183875765E-2</v>
      </c>
      <c r="M62" s="59">
        <f>'Financial Statements'!K54/'Financial Statements'!K$18</f>
        <v>1.9010669253152278E-2</v>
      </c>
      <c r="N62" s="59">
        <f>'Financial Statements'!L54/'Financial Statements'!L$18</f>
        <v>-3.4739375009959685E-3</v>
      </c>
      <c r="O62" s="46"/>
      <c r="P62" s="59">
        <f>'Financial Statements'!N54/'Financial Statements'!N$18</f>
        <v>-3.4739375009959685E-3</v>
      </c>
      <c r="Q62" s="62"/>
    </row>
    <row r="63" spans="1:17" ht="12.75" customHeight="1" x14ac:dyDescent="0.25">
      <c r="A63" s="19" t="str">
        <f>'Language Index'!A77</f>
        <v>Earnings from Cont. Ops.</v>
      </c>
      <c r="B63" s="19"/>
      <c r="C63" s="19"/>
      <c r="D63" s="60">
        <f>'Financial Statements'!B55/'Financial Statements'!B$18</f>
        <v>0.16974340736909035</v>
      </c>
      <c r="E63" s="60">
        <f>'Financial Statements'!C55/'Financial Statements'!C$18</f>
        <v>0.16349200523605045</v>
      </c>
      <c r="F63" s="60">
        <f>'Financial Statements'!D55/'Financial Statements'!D$18</f>
        <v>0.14866302130907544</v>
      </c>
      <c r="G63" s="60">
        <f>'Financial Statements'!E55/'Financial Statements'!E$18</f>
        <v>7.275805860574433E-2</v>
      </c>
      <c r="H63" s="60">
        <f>'Financial Statements'!F55/'Financial Statements'!F$18</f>
        <v>0.10959781884886483</v>
      </c>
      <c r="I63" s="60">
        <f>'Financial Statements'!G55/'Financial Statements'!G$18</f>
        <v>0.12381744464081505</v>
      </c>
      <c r="J63" s="60">
        <f>'Financial Statements'!H55/'Financial Statements'!H$18</f>
        <v>7.1258993457655989E-2</v>
      </c>
      <c r="K63" s="60">
        <f>'Financial Statements'!I55/'Financial Statements'!I$18</f>
        <v>8.2178166030234867E-2</v>
      </c>
      <c r="L63" s="60">
        <f>'Financial Statements'!J55/'Financial Statements'!J$18</f>
        <v>2.9439947133652736E-2</v>
      </c>
      <c r="M63" s="60">
        <f>'Financial Statements'!K55/'Financial Statements'!K$18</f>
        <v>0.12146783058519237</v>
      </c>
      <c r="N63" s="60">
        <f>'Financial Statements'!L55/'Financial Statements'!L$18</f>
        <v>9.5851991139865825E-2</v>
      </c>
      <c r="O63" s="61"/>
      <c r="P63" s="60">
        <f>'Financial Statements'!N55/'Financial Statements'!N$18</f>
        <v>9.5851991139865825E-2</v>
      </c>
      <c r="Q63" s="62"/>
    </row>
    <row r="64" spans="1:17" ht="12.75" customHeight="1" x14ac:dyDescent="0.25">
      <c r="A64" s="16"/>
      <c r="B64" s="16"/>
      <c r="C64" s="16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46"/>
      <c r="P64" s="59"/>
      <c r="Q64" s="2"/>
    </row>
    <row r="65" spans="1:17" ht="12.75" customHeight="1" x14ac:dyDescent="0.25">
      <c r="A65" s="2" t="str">
        <f>'Language Index'!A78</f>
        <v>Earnings of Discontinued Ops.</v>
      </c>
      <c r="B65" s="17"/>
      <c r="C65" s="17"/>
      <c r="D65" s="59">
        <f>'Financial Statements'!B56/'Financial Statements'!B$18</f>
        <v>-4.0186220943390125E-2</v>
      </c>
      <c r="E65" s="59">
        <f>'Financial Statements'!C56/'Financial Statements'!C$18</f>
        <v>-2.1286747164825487E-3</v>
      </c>
      <c r="F65" s="59">
        <f>'Financial Statements'!D56/'Financial Statements'!D$18</f>
        <v>-1.1261402169696819E-4</v>
      </c>
      <c r="G65" s="59">
        <f>'Financial Statements'!E56/'Financial Statements'!E$18</f>
        <v>-6.3179974475290309E-5</v>
      </c>
      <c r="H65" s="59">
        <f>'Financial Statements'!F56/'Financial Statements'!F$18</f>
        <v>6.2821173248231584E-5</v>
      </c>
      <c r="I65" s="59">
        <f>'Financial Statements'!G56/'Financial Statements'!G$18</f>
        <v>3.9591780157327512E-2</v>
      </c>
      <c r="J65" s="59">
        <f>'Financial Statements'!H56/'Financial Statements'!H$18</f>
        <v>3.0047663060222187E-2</v>
      </c>
      <c r="K65" s="59">
        <f>'Financial Statements'!I56/'Financial Statements'!I$18</f>
        <v>1.795958222175725E-2</v>
      </c>
      <c r="L65" s="59">
        <f>'Financial Statements'!J56/'Financial Statements'!J$18</f>
        <v>-2.3624648934412688E-3</v>
      </c>
      <c r="M65" s="59">
        <f>'Financial Statements'!K56/'Financial Statements'!K$18</f>
        <v>-1.9398642095053346E-4</v>
      </c>
      <c r="N65" s="59">
        <f>'Financial Statements'!L56/'Financial Statements'!L$18</f>
        <v>1.2748394499067774E-4</v>
      </c>
      <c r="O65" s="46"/>
      <c r="P65" s="59">
        <f>'Financial Statements'!N56/'Financial Statements'!N$18</f>
        <v>1.2748394499067774E-4</v>
      </c>
      <c r="Q65" s="62"/>
    </row>
    <row r="66" spans="1:17" ht="12.75" customHeight="1" x14ac:dyDescent="0.25">
      <c r="A66" s="2" t="str">
        <f>'Language Index'!A79</f>
        <v>Extraord. Item &amp; Account. Change</v>
      </c>
      <c r="B66" s="17"/>
      <c r="C66" s="17"/>
      <c r="D66" s="59">
        <f>'Financial Statements'!B57/'Financial Statements'!B$18</f>
        <v>0</v>
      </c>
      <c r="E66" s="59">
        <f>'Financial Statements'!C57/'Financial Statements'!C$18</f>
        <v>0</v>
      </c>
      <c r="F66" s="59">
        <f>'Financial Statements'!D57/'Financial Statements'!D$18</f>
        <v>0</v>
      </c>
      <c r="G66" s="59">
        <f>'Financial Statements'!E57/'Financial Statements'!E$18</f>
        <v>0</v>
      </c>
      <c r="H66" s="59">
        <f>'Financial Statements'!F57/'Financial Statements'!F$18</f>
        <v>0</v>
      </c>
      <c r="I66" s="59">
        <f>'Financial Statements'!G57/'Financial Statements'!G$18</f>
        <v>0</v>
      </c>
      <c r="J66" s="59">
        <f>'Financial Statements'!H57/'Financial Statements'!H$18</f>
        <v>0</v>
      </c>
      <c r="K66" s="59">
        <f>'Financial Statements'!I57/'Financial Statements'!I$18</f>
        <v>0</v>
      </c>
      <c r="L66" s="59">
        <f>'Financial Statements'!J57/'Financial Statements'!J$18</f>
        <v>0</v>
      </c>
      <c r="M66" s="59">
        <f>'Financial Statements'!K57/'Financial Statements'!K$18</f>
        <v>0</v>
      </c>
      <c r="N66" s="59">
        <f>'Financial Statements'!L57/'Financial Statements'!L$18</f>
        <v>0</v>
      </c>
      <c r="O66" s="46"/>
      <c r="P66" s="59">
        <f>'Financial Statements'!N57/'Financial Statements'!N$18</f>
        <v>0</v>
      </c>
      <c r="Q66" s="2"/>
    </row>
    <row r="67" spans="1:17" ht="12.75" customHeight="1" x14ac:dyDescent="0.25">
      <c r="A67" s="19" t="str">
        <f>'Language Index'!A80</f>
        <v>Net Income to Company</v>
      </c>
      <c r="B67" s="19"/>
      <c r="C67" s="19"/>
      <c r="D67" s="66">
        <f>'Financial Statements'!B58/'Financial Statements'!B$18</f>
        <v>0.12955718642570022</v>
      </c>
      <c r="E67" s="66">
        <f>'Financial Statements'!C58/'Financial Statements'!C$18</f>
        <v>0.16136333051956792</v>
      </c>
      <c r="F67" s="66">
        <f>'Financial Statements'!D58/'Financial Statements'!D$18</f>
        <v>0.14855040728737848</v>
      </c>
      <c r="G67" s="66">
        <f>'Financial Statements'!E58/'Financial Statements'!E$18</f>
        <v>7.2694878631269028E-2</v>
      </c>
      <c r="H67" s="66">
        <f>'Financial Statements'!F58/'Financial Statements'!F$18</f>
        <v>0.10966064002211305</v>
      </c>
      <c r="I67" s="66">
        <f>'Financial Statements'!G58/'Financial Statements'!G$18</f>
        <v>0.16340922479814257</v>
      </c>
      <c r="J67" s="66">
        <f>'Financial Statements'!H58/'Financial Statements'!H$18</f>
        <v>0.10130665651787818</v>
      </c>
      <c r="K67" s="66">
        <f>'Financial Statements'!I58/'Financial Statements'!I$18</f>
        <v>0.10013774825199212</v>
      </c>
      <c r="L67" s="66">
        <f>'Financial Statements'!J58/'Financial Statements'!J$18</f>
        <v>2.7077482240211465E-2</v>
      </c>
      <c r="M67" s="66">
        <f>'Financial Statements'!K58/'Financial Statements'!K$18</f>
        <v>0.12127384416424183</v>
      </c>
      <c r="N67" s="66">
        <f>'Financial Statements'!L58/'Financial Statements'!L$18</f>
        <v>9.5979475084856505E-2</v>
      </c>
      <c r="O67" s="61"/>
      <c r="P67" s="66">
        <f>'Financial Statements'!N58/'Financial Statements'!N$18</f>
        <v>9.5979475084856505E-2</v>
      </c>
      <c r="Q67" s="62"/>
    </row>
    <row r="68" spans="1:17" ht="12.75" customHeight="1" x14ac:dyDescent="0.25">
      <c r="A68" s="19"/>
      <c r="B68" s="19"/>
      <c r="C68" s="19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1"/>
      <c r="P68" s="64"/>
      <c r="Q68" s="62"/>
    </row>
    <row r="69" spans="1:17" ht="12.75" customHeight="1" x14ac:dyDescent="0.25">
      <c r="A69" s="2" t="str">
        <f>'Language Index'!A81</f>
        <v>Minority Int. in Earnings</v>
      </c>
      <c r="B69" s="17"/>
      <c r="C69" s="17"/>
      <c r="D69" s="59">
        <f>'Financial Statements'!B59/'Financial Statements'!B$18</f>
        <v>0</v>
      </c>
      <c r="E69" s="59">
        <f>'Financial Statements'!C59/'Financial Statements'!C$18</f>
        <v>0</v>
      </c>
      <c r="F69" s="59">
        <f>'Financial Statements'!D59/'Financial Statements'!D$18</f>
        <v>0</v>
      </c>
      <c r="G69" s="59">
        <f>'Financial Statements'!E59/'Financial Statements'!E$18</f>
        <v>0</v>
      </c>
      <c r="H69" s="59">
        <f>'Financial Statements'!F59/'Financial Statements'!F$18</f>
        <v>0</v>
      </c>
      <c r="I69" s="59">
        <f>'Financial Statements'!G59/'Financial Statements'!G$18</f>
        <v>0</v>
      </c>
      <c r="J69" s="59">
        <f>'Financial Statements'!H59/'Financial Statements'!H$18</f>
        <v>0</v>
      </c>
      <c r="K69" s="59">
        <f>'Financial Statements'!I59/'Financial Statements'!I$18</f>
        <v>0</v>
      </c>
      <c r="L69" s="59">
        <f>'Financial Statements'!J59/'Financial Statements'!J$18</f>
        <v>0</v>
      </c>
      <c r="M69" s="59">
        <f>'Financial Statements'!K59/'Financial Statements'!K$18</f>
        <v>0</v>
      </c>
      <c r="N69" s="59">
        <f>'Financial Statements'!L59/'Financial Statements'!L$18</f>
        <v>0</v>
      </c>
      <c r="O69" s="46"/>
      <c r="P69" s="59">
        <f>'Financial Statements'!N59/'Financial Statements'!N$18</f>
        <v>0</v>
      </c>
      <c r="Q69" s="2"/>
    </row>
    <row r="70" spans="1:17" ht="12.75" customHeight="1" thickBot="1" x14ac:dyDescent="0.3">
      <c r="A70" s="19" t="str">
        <f>'Language Index'!A82</f>
        <v>Net Income to Parent</v>
      </c>
      <c r="B70" s="17"/>
      <c r="C70" s="17"/>
      <c r="D70" s="65">
        <f>'Financial Statements'!B60/'Financial Statements'!B$18</f>
        <v>0.12955718642570022</v>
      </c>
      <c r="E70" s="65">
        <f>'Financial Statements'!C60/'Financial Statements'!C$18</f>
        <v>0.16136333051956792</v>
      </c>
      <c r="F70" s="65">
        <f>'Financial Statements'!D60/'Financial Statements'!D$18</f>
        <v>0.14855040728737848</v>
      </c>
      <c r="G70" s="65">
        <f>'Financial Statements'!E60/'Financial Statements'!E$18</f>
        <v>7.2694878631269028E-2</v>
      </c>
      <c r="H70" s="65">
        <f>'Financial Statements'!F60/'Financial Statements'!F$18</f>
        <v>0.10966064002211305</v>
      </c>
      <c r="I70" s="65">
        <f>'Financial Statements'!G60/'Financial Statements'!G$18</f>
        <v>0.16340922479814257</v>
      </c>
      <c r="J70" s="65">
        <f>'Financial Statements'!H60/'Financial Statements'!H$18</f>
        <v>0.10130665651787818</v>
      </c>
      <c r="K70" s="65">
        <f>'Financial Statements'!I60/'Financial Statements'!I$18</f>
        <v>0.10013774825199212</v>
      </c>
      <c r="L70" s="65">
        <f>'Financial Statements'!J60/'Financial Statements'!J$18</f>
        <v>2.7077482240211465E-2</v>
      </c>
      <c r="M70" s="65">
        <f>'Financial Statements'!K60/'Financial Statements'!K$18</f>
        <v>0.12127384416424183</v>
      </c>
      <c r="N70" s="65">
        <f>'Financial Statements'!L60/'Financial Statements'!L$18</f>
        <v>9.5979475084856505E-2</v>
      </c>
      <c r="O70" s="46"/>
      <c r="P70" s="65">
        <f>'Financial Statements'!N60/'Financial Statements'!N$18</f>
        <v>9.5979475084856505E-2</v>
      </c>
      <c r="Q70" s="2"/>
    </row>
    <row r="71" spans="1:17" ht="12.75" customHeight="1" thickTop="1" x14ac:dyDescent="0.25">
      <c r="A71" s="16"/>
      <c r="B71" s="16"/>
      <c r="C71" s="16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46"/>
      <c r="P71" s="59"/>
      <c r="Q71" s="2"/>
    </row>
    <row r="72" spans="1:17" ht="12.75" customHeight="1" x14ac:dyDescent="0.25">
      <c r="A72" s="2" t="str">
        <f>'Language Index'!A83</f>
        <v>Pref. Dividends and Other Adj.</v>
      </c>
      <c r="B72" s="17"/>
      <c r="C72" s="17"/>
      <c r="D72" s="59">
        <f>'Financial Statements'!B61/'Financial Statements'!B$18</f>
        <v>0</v>
      </c>
      <c r="E72" s="59">
        <f>'Financial Statements'!C61/'Financial Statements'!C$18</f>
        <v>0</v>
      </c>
      <c r="F72" s="59">
        <f>'Financial Statements'!D61/'Financial Statements'!D$18</f>
        <v>0</v>
      </c>
      <c r="G72" s="59">
        <f>'Financial Statements'!E61/'Financial Statements'!E$18</f>
        <v>0</v>
      </c>
      <c r="H72" s="59">
        <f>'Financial Statements'!F61/'Financial Statements'!F$18</f>
        <v>0</v>
      </c>
      <c r="I72" s="59">
        <f>'Financial Statements'!G61/'Financial Statements'!G$18</f>
        <v>0</v>
      </c>
      <c r="J72" s="59">
        <f>'Financial Statements'!H61/'Financial Statements'!H$18</f>
        <v>0</v>
      </c>
      <c r="K72" s="59">
        <f>'Financial Statements'!I61/'Financial Statements'!I$18</f>
        <v>0</v>
      </c>
      <c r="L72" s="59">
        <f>'Financial Statements'!J61/'Financial Statements'!J$18</f>
        <v>0</v>
      </c>
      <c r="M72" s="59">
        <f>'Financial Statements'!K61/'Financial Statements'!K$18</f>
        <v>0</v>
      </c>
      <c r="N72" s="59">
        <f>'Financial Statements'!L61/'Financial Statements'!L$18</f>
        <v>0</v>
      </c>
      <c r="O72" s="46"/>
      <c r="P72" s="59">
        <f>'Financial Statements'!N61/'Financial Statements'!N$18</f>
        <v>0</v>
      </c>
      <c r="Q72" s="62"/>
    </row>
    <row r="73" spans="1:17" ht="12.75" customHeight="1" x14ac:dyDescent="0.25">
      <c r="A73" s="16"/>
      <c r="B73" s="16"/>
      <c r="C73" s="16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46"/>
      <c r="P73" s="59"/>
      <c r="Q73" s="62"/>
    </row>
    <row r="74" spans="1:17" ht="12.75" customHeight="1" x14ac:dyDescent="0.25">
      <c r="A74" s="19" t="str">
        <f>'Language Index'!A84</f>
        <v>NI to Common Incl Extra Items</v>
      </c>
      <c r="B74" s="19"/>
      <c r="C74" s="19"/>
      <c r="D74" s="64">
        <f>'Financial Statements'!B62/'Financial Statements'!B$18</f>
        <v>0.12955718642570022</v>
      </c>
      <c r="E74" s="64">
        <f>'Financial Statements'!C62/'Financial Statements'!C$18</f>
        <v>0.16136333051956792</v>
      </c>
      <c r="F74" s="64">
        <f>'Financial Statements'!D62/'Financial Statements'!D$18</f>
        <v>0.14855040728737848</v>
      </c>
      <c r="G74" s="64">
        <f>'Financial Statements'!E62/'Financial Statements'!E$18</f>
        <v>7.2694878631269028E-2</v>
      </c>
      <c r="H74" s="64">
        <f>'Financial Statements'!F62/'Financial Statements'!F$18</f>
        <v>0.10966064002211305</v>
      </c>
      <c r="I74" s="64">
        <f>'Financial Statements'!G62/'Financial Statements'!G$18</f>
        <v>0.16340922479814257</v>
      </c>
      <c r="J74" s="64">
        <f>'Financial Statements'!H62/'Financial Statements'!H$18</f>
        <v>0.10130665651787818</v>
      </c>
      <c r="K74" s="64">
        <f>'Financial Statements'!I62/'Financial Statements'!I$18</f>
        <v>0.10013774825199212</v>
      </c>
      <c r="L74" s="64">
        <f>'Financial Statements'!J62/'Financial Statements'!J$18</f>
        <v>2.7077482240211465E-2</v>
      </c>
      <c r="M74" s="64">
        <f>'Financial Statements'!K62/'Financial Statements'!K$18</f>
        <v>0.12127384416424183</v>
      </c>
      <c r="N74" s="64">
        <f>'Financial Statements'!L62/'Financial Statements'!L$18</f>
        <v>9.5979475084856505E-2</v>
      </c>
      <c r="O74" s="61"/>
      <c r="P74" s="64">
        <f>'Financial Statements'!N62/'Financial Statements'!N$18</f>
        <v>9.5979475084856505E-2</v>
      </c>
      <c r="Q74" s="62"/>
    </row>
    <row r="75" spans="1:17" ht="12.75" customHeight="1" x14ac:dyDescent="0.25">
      <c r="A75" s="19" t="str">
        <f>'Language Index'!A85</f>
        <v>NI to Common Excl Extra Items</v>
      </c>
      <c r="B75" s="19"/>
      <c r="C75" s="19"/>
      <c r="D75" s="64">
        <f>'Financial Statements'!B63/'Financial Statements'!B$18</f>
        <v>0.16974340736909035</v>
      </c>
      <c r="E75" s="64">
        <f>'Financial Statements'!C63/'Financial Statements'!C$18</f>
        <v>0.16349200523605045</v>
      </c>
      <c r="F75" s="64">
        <f>'Financial Statements'!D63/'Financial Statements'!D$18</f>
        <v>0.14866302130907544</v>
      </c>
      <c r="G75" s="64">
        <f>'Financial Statements'!E63/'Financial Statements'!E$18</f>
        <v>7.275805860574433E-2</v>
      </c>
      <c r="H75" s="64">
        <f>'Financial Statements'!F63/'Financial Statements'!F$18</f>
        <v>0.10959781884886483</v>
      </c>
      <c r="I75" s="64">
        <f>'Financial Statements'!G63/'Financial Statements'!G$18</f>
        <v>0.12381744464081505</v>
      </c>
      <c r="J75" s="64">
        <f>'Financial Statements'!H63/'Financial Statements'!H$18</f>
        <v>7.1258993457655989E-2</v>
      </c>
      <c r="K75" s="64">
        <f>'Financial Statements'!I63/'Financial Statements'!I$18</f>
        <v>8.2178166030234867E-2</v>
      </c>
      <c r="L75" s="64">
        <f>'Financial Statements'!J63/'Financial Statements'!J$18</f>
        <v>2.9439947133652736E-2</v>
      </c>
      <c r="M75" s="64">
        <f>'Financial Statements'!K63/'Financial Statements'!K$18</f>
        <v>0.12146783058519237</v>
      </c>
      <c r="N75" s="64">
        <f>'Financial Statements'!L63/'Financial Statements'!L$18</f>
        <v>9.5851991139865825E-2</v>
      </c>
      <c r="O75" s="61"/>
      <c r="P75" s="64">
        <f>'Financial Statements'!N63/'Financial Statements'!N$18</f>
        <v>9.5851991139865825E-2</v>
      </c>
      <c r="Q75" s="62"/>
    </row>
    <row r="76" spans="1:17" ht="12.75" customHeight="1" x14ac:dyDescent="0.25">
      <c r="A76" s="25"/>
      <c r="B76" s="25"/>
      <c r="C76" s="25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</row>
    <row r="77" spans="1:17" ht="12.75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2"/>
    </row>
    <row r="78" spans="1:17" ht="12.75" customHeight="1" x14ac:dyDescent="0.25">
      <c r="A78" s="9" t="str">
        <f>UPPER('Language Index'!A30)</f>
        <v>BALANCE SHEET</v>
      </c>
      <c r="B78" s="1"/>
      <c r="C78" s="1"/>
      <c r="D78" s="14" t="str">
        <f>D9</f>
        <v>Fiscal Year Ended,</v>
      </c>
      <c r="E78" s="14"/>
      <c r="F78" s="15"/>
      <c r="G78" s="15"/>
      <c r="H78" s="15"/>
      <c r="I78" s="15"/>
      <c r="J78" s="15"/>
      <c r="K78" s="15"/>
      <c r="L78" s="15"/>
      <c r="M78" s="15"/>
      <c r="N78" s="15"/>
      <c r="O78" s="4"/>
      <c r="P78" s="14" t="str">
        <f>'Language Index'!A14</f>
        <v>LTM</v>
      </c>
      <c r="Q78" s="2"/>
    </row>
    <row r="79" spans="1:17" ht="12.75" customHeight="1" x14ac:dyDescent="0.25">
      <c r="A79" s="2"/>
      <c r="B79" s="2"/>
      <c r="C79" s="2"/>
      <c r="D79" s="58">
        <f>D$10</f>
        <v>42004</v>
      </c>
      <c r="E79" s="58">
        <f t="shared" ref="E79:P79" si="0">E$10</f>
        <v>42369</v>
      </c>
      <c r="F79" s="58">
        <f t="shared" si="0"/>
        <v>42735</v>
      </c>
      <c r="G79" s="58">
        <f t="shared" si="0"/>
        <v>43100</v>
      </c>
      <c r="H79" s="58">
        <f t="shared" si="0"/>
        <v>43465</v>
      </c>
      <c r="I79" s="58">
        <f t="shared" si="0"/>
        <v>43830</v>
      </c>
      <c r="J79" s="58">
        <f t="shared" si="0"/>
        <v>44196</v>
      </c>
      <c r="K79" s="58">
        <f t="shared" si="0"/>
        <v>44561</v>
      </c>
      <c r="L79" s="58">
        <f t="shared" si="0"/>
        <v>44926</v>
      </c>
      <c r="M79" s="58">
        <f t="shared" si="0"/>
        <v>45291</v>
      </c>
      <c r="N79" s="58">
        <f t="shared" si="0"/>
        <v>45657</v>
      </c>
      <c r="O79" s="68"/>
      <c r="P79" s="58">
        <f t="shared" si="0"/>
        <v>45657</v>
      </c>
      <c r="Q79" s="2"/>
    </row>
    <row r="80" spans="1:17" ht="12.7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2"/>
    </row>
    <row r="81" spans="1:17" ht="12.75" customHeight="1" x14ac:dyDescent="0.25">
      <c r="A81" s="9" t="str">
        <f>'Language Index'!A300</f>
        <v>ASSETS</v>
      </c>
      <c r="B81" s="34"/>
      <c r="C81" s="3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25">
      <c r="A82" s="2" t="str">
        <f>'Language Index'!A301</f>
        <v>Cash And Equivalents</v>
      </c>
      <c r="B82" s="17"/>
      <c r="C82" s="17"/>
      <c r="D82" s="59">
        <f>'Financial Statements'!B280/'Financial Statements'!B$310</f>
        <v>7.2277033537703275E-2</v>
      </c>
      <c r="E82" s="59">
        <f>'Financial Statements'!C280/'Financial Statements'!C$310</f>
        <v>6.9559708584098823E-2</v>
      </c>
      <c r="F82" s="59">
        <f>'Financial Statements'!D280/'Financial Statements'!D$310</f>
        <v>6.6621265003830768E-2</v>
      </c>
      <c r="G82" s="59">
        <f>'Financial Statements'!E280/'Financial Statements'!E$310</f>
        <v>9.5504004594913691E-2</v>
      </c>
      <c r="H82" s="59">
        <f>'Financial Statements'!F280/'Financial Statements'!F$310</f>
        <v>9.2225770371691176E-2</v>
      </c>
      <c r="I82" s="59">
        <f>'Financial Statements'!G280/'Financial Statements'!G$310</f>
        <v>5.3697449174037036E-2</v>
      </c>
      <c r="J82" s="59">
        <f>'Financial Statements'!H280/'Financial Statements'!H$310</f>
        <v>8.455417994370748E-2</v>
      </c>
      <c r="K82" s="59">
        <f>'Financial Statements'!I280/'Financial Statements'!I$310</f>
        <v>5.0378406224195274E-2</v>
      </c>
      <c r="L82" s="59">
        <f>'Financial Statements'!J280/'Financial Statements'!J$310</f>
        <v>6.1975904371949733E-2</v>
      </c>
      <c r="M82" s="59">
        <f>'Financial Statements'!K280/'Financial Statements'!K$310</f>
        <v>9.6627502014921512E-2</v>
      </c>
      <c r="N82" s="59">
        <f>'Financial Statements'!L280/'Financial Statements'!L$310</f>
        <v>0.10167304537998907</v>
      </c>
      <c r="O82" s="46"/>
      <c r="P82" s="59">
        <f>'Financial Statements'!N280/'Financial Statements'!N$310</f>
        <v>0.10167304537998907</v>
      </c>
      <c r="Q82" s="46"/>
    </row>
    <row r="83" spans="1:17" ht="12.75" customHeight="1" x14ac:dyDescent="0.25">
      <c r="A83" s="2" t="str">
        <f>'Language Index'!A302</f>
        <v>Short Term Investments</v>
      </c>
      <c r="B83" s="17"/>
      <c r="C83" s="17"/>
      <c r="D83" s="59">
        <f>'Financial Statements'!B281/'Financial Statements'!B$310</f>
        <v>0</v>
      </c>
      <c r="E83" s="59">
        <f>'Financial Statements'!C281/'Financial Statements'!C$310</f>
        <v>4.5974930992352591E-3</v>
      </c>
      <c r="F83" s="59">
        <f>'Financial Statements'!D281/'Financial Statements'!D$310</f>
        <v>5.9674810589937857E-3</v>
      </c>
      <c r="G83" s="59">
        <f>'Financial Statements'!E281/'Financial Statements'!E$310</f>
        <v>4.8501866683684867E-3</v>
      </c>
      <c r="H83" s="59">
        <f>'Financial Statements'!F281/'Financial Statements'!F$310</f>
        <v>5.0088343518503511E-3</v>
      </c>
      <c r="I83" s="59">
        <f>'Financial Statements'!G281/'Financial Statements'!G$310</f>
        <v>4.5733510309752543E-3</v>
      </c>
      <c r="J83" s="59">
        <f>'Financial Statements'!H281/'Financial Statements'!H$310</f>
        <v>3.8468689692314597E-3</v>
      </c>
      <c r="K83" s="59">
        <f>'Financial Statements'!I281/'Financial Statements'!I$310</f>
        <v>4.5454201104537083E-3</v>
      </c>
      <c r="L83" s="59">
        <f>'Financial Statements'!J281/'Financial Statements'!J$310</f>
        <v>6.6958496734594438E-3</v>
      </c>
      <c r="M83" s="59">
        <f>'Financial Statements'!K281/'Financial Statements'!K$310</f>
        <v>2.7580393519716652E-3</v>
      </c>
      <c r="N83" s="59">
        <f>'Financial Statements'!L281/'Financial Statements'!L$310</f>
        <v>4.6947330052852197E-3</v>
      </c>
      <c r="O83" s="46"/>
      <c r="P83" s="59">
        <f>'Financial Statements'!N281/'Financial Statements'!N$310</f>
        <v>4.6947330052852197E-3</v>
      </c>
      <c r="Q83" s="46"/>
    </row>
    <row r="84" spans="1:17" ht="12.75" customHeight="1" x14ac:dyDescent="0.25">
      <c r="A84" s="2" t="str">
        <f>'Language Index'!A303</f>
        <v>Trading Asset Securities</v>
      </c>
      <c r="B84" s="17"/>
      <c r="C84" s="17"/>
      <c r="D84" s="59">
        <f>'Financial Statements'!B282/'Financial Statements'!B$310</f>
        <v>4.2636286891047231E-5</v>
      </c>
      <c r="E84" s="59">
        <f>'Financial Statements'!C282/'Financial Statements'!C$310</f>
        <v>0</v>
      </c>
      <c r="F84" s="59">
        <f>'Financial Statements'!D282/'Financial Statements'!D$310</f>
        <v>0</v>
      </c>
      <c r="G84" s="59">
        <f>'Financial Statements'!E282/'Financial Statements'!E$310</f>
        <v>1.5954561409106862E-5</v>
      </c>
      <c r="H84" s="59">
        <f>'Financial Statements'!F282/'Financial Statements'!F$310</f>
        <v>0</v>
      </c>
      <c r="I84" s="59">
        <f>'Financial Statements'!G282/'Financial Statements'!G$310</f>
        <v>0</v>
      </c>
      <c r="J84" s="59">
        <f>'Financial Statements'!H282/'Financial Statements'!H$310</f>
        <v>0</v>
      </c>
      <c r="K84" s="59">
        <f>'Financial Statements'!I282/'Financial Statements'!I$310</f>
        <v>0</v>
      </c>
      <c r="L84" s="59">
        <f>'Financial Statements'!J282/'Financial Statements'!J$310</f>
        <v>0</v>
      </c>
      <c r="M84" s="59">
        <f>'Financial Statements'!K282/'Financial Statements'!K$310</f>
        <v>0</v>
      </c>
      <c r="N84" s="59">
        <f>'Financial Statements'!L282/'Financial Statements'!L$310</f>
        <v>0</v>
      </c>
      <c r="O84" s="46"/>
      <c r="P84" s="59">
        <f>'Financial Statements'!N282/'Financial Statements'!N$310</f>
        <v>0</v>
      </c>
      <c r="Q84" s="46"/>
    </row>
    <row r="85" spans="1:17" ht="12.75" customHeight="1" x14ac:dyDescent="0.25">
      <c r="A85" s="19" t="str">
        <f>'Language Index'!A304</f>
        <v>Total Cash &amp; ST Investments</v>
      </c>
      <c r="B85" s="19"/>
      <c r="C85" s="19"/>
      <c r="D85" s="60">
        <f>'Financial Statements'!B283/'Financial Statements'!B$310</f>
        <v>7.2319669824594313E-2</v>
      </c>
      <c r="E85" s="60">
        <f>'Financial Statements'!C283/'Financial Statements'!C$310</f>
        <v>7.415720168333409E-2</v>
      </c>
      <c r="F85" s="60">
        <f>'Financial Statements'!D283/'Financial Statements'!D$310</f>
        <v>7.2588746062824547E-2</v>
      </c>
      <c r="G85" s="60">
        <f>'Financial Statements'!E283/'Financial Statements'!E$310</f>
        <v>0.10037014582469128</v>
      </c>
      <c r="H85" s="60">
        <f>'Financial Statements'!F283/'Financial Statements'!F$310</f>
        <v>9.7234604723541521E-2</v>
      </c>
      <c r="I85" s="60">
        <f>'Financial Statements'!G283/'Financial Statements'!G$310</f>
        <v>5.8270800205012289E-2</v>
      </c>
      <c r="J85" s="60">
        <f>'Financial Statements'!H283/'Financial Statements'!H$310</f>
        <v>8.8401048912938943E-2</v>
      </c>
      <c r="K85" s="60">
        <f>'Financial Statements'!I283/'Financial Statements'!I$310</f>
        <v>5.4923826334648977E-2</v>
      </c>
      <c r="L85" s="60">
        <f>'Financial Statements'!J283/'Financial Statements'!J$310</f>
        <v>6.8671754045409178E-2</v>
      </c>
      <c r="M85" s="60">
        <f>'Financial Statements'!K283/'Financial Statements'!K$310</f>
        <v>9.9385541366893176E-2</v>
      </c>
      <c r="N85" s="60">
        <f>'Financial Statements'!L283/'Financial Statements'!L$310</f>
        <v>0.10636777838527428</v>
      </c>
      <c r="O85" s="61"/>
      <c r="P85" s="60">
        <f>'Financial Statements'!N283/'Financial Statements'!N$310</f>
        <v>0.10636777838527428</v>
      </c>
      <c r="Q85" s="61"/>
    </row>
    <row r="86" spans="1:17" ht="12.75" customHeight="1" x14ac:dyDescent="0.25">
      <c r="A86" s="16"/>
      <c r="B86" s="16"/>
      <c r="C86" s="16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46"/>
      <c r="P86" s="59"/>
      <c r="Q86" s="46"/>
    </row>
    <row r="87" spans="1:17" ht="12.75" customHeight="1" x14ac:dyDescent="0.25">
      <c r="A87" s="2" t="str">
        <f>'Language Index'!A305</f>
        <v>Accounts Receivable</v>
      </c>
      <c r="B87" s="17"/>
      <c r="C87" s="17"/>
      <c r="D87" s="59">
        <f>'Financial Statements'!B284/'Financial Statements'!B$310</f>
        <v>7.751276956792387E-2</v>
      </c>
      <c r="E87" s="59">
        <f>'Financial Statements'!C284/'Financial Statements'!C$310</f>
        <v>7.5415177157337435E-2</v>
      </c>
      <c r="F87" s="59">
        <f>'Financial Statements'!D284/'Financial Statements'!D$310</f>
        <v>7.8164637779858687E-2</v>
      </c>
      <c r="G87" s="59">
        <f>'Financial Statements'!E284/'Financial Statements'!E$310</f>
        <v>7.4978461342097708E-2</v>
      </c>
      <c r="H87" s="59">
        <f>'Financial Statements'!F284/'Financial Statements'!F$310</f>
        <v>6.4044998460067115E-2</v>
      </c>
      <c r="I87" s="59">
        <f>'Financial Statements'!G284/'Financial Statements'!G$310</f>
        <v>5.494592143824005E-2</v>
      </c>
      <c r="J87" s="59">
        <f>'Financial Statements'!H284/'Financial Statements'!H$310</f>
        <v>3.9847151072955868E-2</v>
      </c>
      <c r="K87" s="59">
        <f>'Financial Statements'!I284/'Financial Statements'!I$310</f>
        <v>5.4734433830046739E-2</v>
      </c>
      <c r="L87" s="59">
        <f>'Financial Statements'!J284/'Financial Statements'!J$310</f>
        <v>5.5052144322280991E-2</v>
      </c>
      <c r="M87" s="59">
        <f>'Financial Statements'!K284/'Financial Statements'!K$310</f>
        <v>5.7075886750319799E-2</v>
      </c>
      <c r="N87" s="59">
        <f>'Financial Statements'!L284/'Financial Statements'!L$310</f>
        <v>5.2757426644796795E-2</v>
      </c>
      <c r="O87" s="46"/>
      <c r="P87" s="59">
        <f>'Financial Statements'!N284/'Financial Statements'!N$310</f>
        <v>5.2757426644796795E-2</v>
      </c>
      <c r="Q87" s="46"/>
    </row>
    <row r="88" spans="1:17" ht="12.75" customHeight="1" x14ac:dyDescent="0.25">
      <c r="A88" s="2" t="str">
        <f>'Language Index'!A306</f>
        <v>Other Receivables</v>
      </c>
      <c r="B88" s="17"/>
      <c r="C88" s="17"/>
      <c r="D88" s="59">
        <f>'Financial Statements'!B285/'Financial Statements'!B$310</f>
        <v>2.4780209941076652E-2</v>
      </c>
      <c r="E88" s="59">
        <f>'Financial Statements'!C285/'Financial Statements'!C$310</f>
        <v>1.086927010271958E-2</v>
      </c>
      <c r="F88" s="59">
        <f>'Financial Statements'!D285/'Financial Statements'!D$310</f>
        <v>8.9980420532902016E-3</v>
      </c>
      <c r="G88" s="59">
        <f>'Financial Statements'!E285/'Financial Statements'!E$310</f>
        <v>7.8257123711669169E-3</v>
      </c>
      <c r="H88" s="59">
        <f>'Financial Statements'!F285/'Financial Statements'!F$310</f>
        <v>6.0219480961566513E-3</v>
      </c>
      <c r="I88" s="59">
        <f>'Financial Statements'!G285/'Financial Statements'!G$310</f>
        <v>1.1216537657866033E-2</v>
      </c>
      <c r="J88" s="59">
        <f>'Financial Statements'!H285/'Financial Statements'!H$310</f>
        <v>4.4559565560264407E-3</v>
      </c>
      <c r="K88" s="59">
        <f>'Financial Statements'!I285/'Financial Statements'!I$310</f>
        <v>7.5757001840895148E-3</v>
      </c>
      <c r="L88" s="59">
        <f>'Financial Statements'!J285/'Financial Statements'!J$310</f>
        <v>5.3205284377136662E-3</v>
      </c>
      <c r="M88" s="59">
        <f>'Financial Statements'!K285/'Financial Statements'!K$310</f>
        <v>4.6509564407243367E-3</v>
      </c>
      <c r="N88" s="59">
        <f>'Financial Statements'!L285/'Financial Statements'!L$310</f>
        <v>6.6921815199562605E-3</v>
      </c>
      <c r="O88" s="46"/>
      <c r="P88" s="59">
        <f>'Financial Statements'!N285/'Financial Statements'!N$310</f>
        <v>6.6921815199562605E-3</v>
      </c>
      <c r="Q88" s="46"/>
    </row>
    <row r="89" spans="1:17" ht="12.75" customHeight="1" x14ac:dyDescent="0.25">
      <c r="A89" s="2" t="str">
        <f>'Language Index'!A307</f>
        <v>Notes Receivable</v>
      </c>
      <c r="B89" s="17"/>
      <c r="C89" s="17"/>
      <c r="D89" s="59">
        <f>'Financial Statements'!B286/'Financial Statements'!B$310</f>
        <v>0</v>
      </c>
      <c r="E89" s="59">
        <f>'Financial Statements'!C286/'Financial Statements'!C$310</f>
        <v>0</v>
      </c>
      <c r="F89" s="59">
        <f>'Financial Statements'!D286/'Financial Statements'!D$310</f>
        <v>0</v>
      </c>
      <c r="G89" s="59">
        <f>'Financial Statements'!E286/'Financial Statements'!E$310</f>
        <v>0</v>
      </c>
      <c r="H89" s="59">
        <f>'Financial Statements'!F286/'Financial Statements'!F$310</f>
        <v>0</v>
      </c>
      <c r="I89" s="59">
        <f>'Financial Statements'!G286/'Financial Statements'!G$310</f>
        <v>0</v>
      </c>
      <c r="J89" s="59">
        <f>'Financial Statements'!H286/'Financial Statements'!H$310</f>
        <v>0</v>
      </c>
      <c r="K89" s="59">
        <f>'Financial Statements'!I286/'Financial Statements'!I$310</f>
        <v>0</v>
      </c>
      <c r="L89" s="59">
        <f>'Financial Statements'!J286/'Financial Statements'!J$310</f>
        <v>0</v>
      </c>
      <c r="M89" s="59">
        <f>'Financial Statements'!K286/'Financial Statements'!K$310</f>
        <v>0</v>
      </c>
      <c r="N89" s="59">
        <f>'Financial Statements'!L286/'Financial Statements'!L$310</f>
        <v>0</v>
      </c>
      <c r="O89" s="46"/>
      <c r="P89" s="59">
        <f>'Financial Statements'!N286/'Financial Statements'!N$310</f>
        <v>0</v>
      </c>
      <c r="Q89" s="46"/>
    </row>
    <row r="90" spans="1:17" ht="12.75" customHeight="1" x14ac:dyDescent="0.25">
      <c r="A90" s="19" t="str">
        <f>'Language Index'!A308</f>
        <v>Total Receivables</v>
      </c>
      <c r="B90" s="19"/>
      <c r="C90" s="19"/>
      <c r="D90" s="60">
        <f>'Financial Statements'!B287/'Financial Statements'!B$310</f>
        <v>0.10229297950900051</v>
      </c>
      <c r="E90" s="60">
        <f>'Financial Statements'!C287/'Financial Statements'!C$310</f>
        <v>8.6284447260057018E-2</v>
      </c>
      <c r="F90" s="60">
        <f>'Financial Statements'!D287/'Financial Statements'!D$310</f>
        <v>8.716267983314889E-2</v>
      </c>
      <c r="G90" s="60">
        <f>'Financial Statements'!E287/'Financial Statements'!E$310</f>
        <v>8.2804173713264623E-2</v>
      </c>
      <c r="H90" s="60">
        <f>'Financial Statements'!F287/'Financial Statements'!F$310</f>
        <v>7.0066946556223766E-2</v>
      </c>
      <c r="I90" s="60">
        <f>'Financial Statements'!G287/'Financial Statements'!G$310</f>
        <v>6.6162459096106074E-2</v>
      </c>
      <c r="J90" s="60">
        <f>'Financial Statements'!H287/'Financial Statements'!H$310</f>
        <v>4.4303107628982312E-2</v>
      </c>
      <c r="K90" s="60">
        <f>'Financial Statements'!I287/'Financial Statements'!I$310</f>
        <v>6.2310134014136258E-2</v>
      </c>
      <c r="L90" s="60">
        <f>'Financial Statements'!J287/'Financial Statements'!J$310</f>
        <v>6.0372672759994653E-2</v>
      </c>
      <c r="M90" s="60">
        <f>'Financial Statements'!K287/'Financial Statements'!K$310</f>
        <v>6.1726843191044135E-2</v>
      </c>
      <c r="N90" s="60">
        <f>'Financial Statements'!L287/'Financial Statements'!L$310</f>
        <v>5.9449608164753052E-2</v>
      </c>
      <c r="O90" s="61"/>
      <c r="P90" s="60">
        <f>'Financial Statements'!N287/'Financial Statements'!N$310</f>
        <v>5.9449608164753052E-2</v>
      </c>
      <c r="Q90" s="61"/>
    </row>
    <row r="91" spans="1:17" ht="12.75" customHeight="1" x14ac:dyDescent="0.25">
      <c r="A91" s="16"/>
      <c r="B91" s="16"/>
      <c r="C91" s="16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46"/>
      <c r="P91" s="59"/>
      <c r="Q91" s="46"/>
    </row>
    <row r="92" spans="1:17" ht="12.75" customHeight="1" x14ac:dyDescent="0.25">
      <c r="A92" s="2" t="str">
        <f>'Language Index'!A309</f>
        <v>Inventory</v>
      </c>
      <c r="B92" s="17"/>
      <c r="C92" s="17"/>
      <c r="D92" s="59">
        <f>'Financial Statements'!B288/'Financial Statements'!B$310</f>
        <v>1.7932822266374465E-2</v>
      </c>
      <c r="E92" s="59">
        <f>'Financial Statements'!C288/'Financial Statements'!C$310</f>
        <v>1.4036834245893479E-2</v>
      </c>
      <c r="F92" s="59">
        <f>'Financial Statements'!D288/'Financial Statements'!D$310</f>
        <v>1.3220396697029029E-2</v>
      </c>
      <c r="G92" s="59">
        <f>'Financial Statements'!E288/'Financial Statements'!E$310</f>
        <v>1.2628035355308083E-2</v>
      </c>
      <c r="H92" s="59">
        <f>'Financial Statements'!F288/'Financial Statements'!F$310</f>
        <v>1.3632458543385583E-2</v>
      </c>
      <c r="I92" s="59">
        <f>'Financial Statements'!G288/'Financial Statements'!G$310</f>
        <v>1.0638297872340425E-2</v>
      </c>
      <c r="J92" s="59">
        <f>'Financial Statements'!H288/'Financial Statements'!H$310</f>
        <v>1.1617544287079009E-2</v>
      </c>
      <c r="K92" s="59">
        <f>'Financial Statements'!I288/'Financial Statements'!I$310</f>
        <v>1.2492329603563609E-2</v>
      </c>
      <c r="L92" s="59">
        <f>'Financial Statements'!J288/'Financial Statements'!J$310</f>
        <v>1.2197134616442555E-2</v>
      </c>
      <c r="M92" s="59">
        <f>'Financial Statements'!K288/'Financial Statements'!K$310</f>
        <v>8.5846747657884817E-3</v>
      </c>
      <c r="N92" s="59">
        <f>'Financial Statements'!L288/'Financial Statements'!L$310</f>
        <v>9.3967559686531799E-3</v>
      </c>
      <c r="O92" s="46"/>
      <c r="P92" s="59">
        <f>'Financial Statements'!N288/'Financial Statements'!N$310</f>
        <v>9.3967559686531799E-3</v>
      </c>
      <c r="Q92" s="46"/>
    </row>
    <row r="93" spans="1:17" ht="12.75" customHeight="1" x14ac:dyDescent="0.25">
      <c r="A93" s="2" t="str">
        <f>'Language Index'!A310</f>
        <v>Prepaid Exp.</v>
      </c>
      <c r="B93" s="17"/>
      <c r="C93" s="17"/>
      <c r="D93" s="59">
        <f>'Financial Statements'!B289/'Financial Statements'!B$310</f>
        <v>3.5950917106531026E-2</v>
      </c>
      <c r="E93" s="59">
        <f>'Financial Statements'!C289/'Financial Statements'!C$310</f>
        <v>3.5404316937417982E-2</v>
      </c>
      <c r="F93" s="59">
        <f>'Financial Statements'!D289/'Financial Statements'!D$310</f>
        <v>3.4323657103941432E-2</v>
      </c>
      <c r="G93" s="59">
        <f>'Financial Statements'!E289/'Financial Statements'!E$310</f>
        <v>9.5966686875777786E-3</v>
      </c>
      <c r="H93" s="59">
        <f>'Financial Statements'!F289/'Financial Statements'!F$310</f>
        <v>1.2343777860627968E-2</v>
      </c>
      <c r="I93" s="59">
        <f>'Financial Statements'!G289/'Financial Statements'!G$310</f>
        <v>9.5935237144021135E-3</v>
      </c>
      <c r="J93" s="59">
        <f>'Financial Statements'!H289/'Financial Statements'!H$310</f>
        <v>1.0123676837360792E-2</v>
      </c>
      <c r="K93" s="59">
        <f>'Financial Statements'!I289/'Financial Statements'!I$310</f>
        <v>1.3863531336883811E-2</v>
      </c>
      <c r="L93" s="59">
        <f>'Financial Statements'!J289/'Financial Statements'!J$310</f>
        <v>1.4743443647194737E-2</v>
      </c>
      <c r="M93" s="59">
        <f>'Financial Statements'!K289/'Financial Statements'!K$310</f>
        <v>1.3072958644198135E-2</v>
      </c>
      <c r="N93" s="59">
        <f>'Financial Statements'!L289/'Financial Statements'!L$310</f>
        <v>1.1022416621104428E-2</v>
      </c>
      <c r="O93" s="46"/>
      <c r="P93" s="59">
        <f>'Financial Statements'!N289/'Financial Statements'!N$310</f>
        <v>1.1022416621104428E-2</v>
      </c>
      <c r="Q93" s="46"/>
    </row>
    <row r="94" spans="1:17" ht="12.75" customHeight="1" x14ac:dyDescent="0.25">
      <c r="A94" s="2" t="str">
        <f>'Language Index'!A311</f>
        <v>Finance Div. Loans and Leases, ST</v>
      </c>
      <c r="B94" s="17"/>
      <c r="C94" s="17"/>
      <c r="D94" s="59">
        <f>'Financial Statements'!B290/'Financial Statements'!B$310</f>
        <v>0.16913815009678437</v>
      </c>
      <c r="E94" s="59">
        <f>'Financial Statements'!C290/'Financial Statements'!C$310</f>
        <v>0.17213448572333589</v>
      </c>
      <c r="F94" s="59">
        <f>'Financial Statements'!D290/'Financial Statements'!D$310</f>
        <v>0.161794500723589</v>
      </c>
      <c r="G94" s="59">
        <f>'Financial Statements'!E290/'Financial Statements'!E$310</f>
        <v>0.17327451418360509</v>
      </c>
      <c r="H94" s="59">
        <f>'Financial Statements'!F290/'Financial Statements'!F$310</f>
        <v>0.18145272406023569</v>
      </c>
      <c r="I94" s="59">
        <f>'Financial Statements'!G290/'Financial Statements'!G$310</f>
        <v>9.3254307229311495E-2</v>
      </c>
      <c r="J94" s="59">
        <f>'Financial Statements'!H290/'Financial Statements'!H$310</f>
        <v>6.7377909996089017E-2</v>
      </c>
      <c r="K94" s="59">
        <f>'Financial Statements'!I290/'Financial Statements'!I$310</f>
        <v>5.4704131029310384E-2</v>
      </c>
      <c r="L94" s="59">
        <f>'Financial Statements'!J290/'Financial Statements'!J$310</f>
        <v>5.3841861634824704E-2</v>
      </c>
      <c r="M94" s="59">
        <f>'Financial Statements'!K290/'Financial Statements'!K$310</f>
        <v>4.5119453420190622E-2</v>
      </c>
      <c r="N94" s="59">
        <f>'Financial Statements'!L290/'Financial Statements'!L$310</f>
        <v>4.5627847639876068E-2</v>
      </c>
      <c r="O94" s="46"/>
      <c r="P94" s="59">
        <f>'Financial Statements'!N290/'Financial Statements'!N$310</f>
        <v>4.5627847639876068E-2</v>
      </c>
      <c r="Q94" s="46"/>
    </row>
    <row r="95" spans="1:17" ht="12.75" customHeight="1" x14ac:dyDescent="0.25">
      <c r="A95" s="2" t="str">
        <f>'Language Index'!A312</f>
        <v>Finance Div. Other Curr. Assets</v>
      </c>
      <c r="B95" s="17"/>
      <c r="C95" s="17"/>
      <c r="D95" s="59">
        <f>'Financial Statements'!B291/'Financial Statements'!B$310</f>
        <v>0</v>
      </c>
      <c r="E95" s="59">
        <f>'Financial Statements'!C291/'Financial Statements'!C$310</f>
        <v>0</v>
      </c>
      <c r="F95" s="59">
        <f>'Financial Statements'!D291/'Financial Statements'!D$310</f>
        <v>0</v>
      </c>
      <c r="G95" s="59">
        <f>'Financial Statements'!E291/'Financial Statements'!E$310</f>
        <v>0</v>
      </c>
      <c r="H95" s="59">
        <f>'Financial Statements'!F291/'Financial Statements'!F$310</f>
        <v>0</v>
      </c>
      <c r="I95" s="59">
        <f>'Financial Statements'!G291/'Financial Statements'!G$310</f>
        <v>0</v>
      </c>
      <c r="J95" s="59">
        <f>'Financial Statements'!H291/'Financial Statements'!H$310</f>
        <v>2.4555846920260816E-3</v>
      </c>
      <c r="K95" s="59">
        <f>'Financial Statements'!I291/'Financial Statements'!I$310</f>
        <v>6.0075302459829854E-3</v>
      </c>
      <c r="L95" s="59">
        <f>'Financial Statements'!J291/'Financial Statements'!J$310</f>
        <v>7.3795808020873446E-3</v>
      </c>
      <c r="M95" s="59">
        <f>'Financial Statements'!K291/'Financial Statements'!K$310</f>
        <v>5.1167915055345646E-3</v>
      </c>
      <c r="N95" s="59">
        <f>'Financial Statements'!L291/'Financial Statements'!L$310</f>
        <v>6.5609622744669215E-3</v>
      </c>
      <c r="O95" s="46"/>
      <c r="P95" s="59">
        <f>'Financial Statements'!N291/'Financial Statements'!N$310</f>
        <v>6.5609622744669215E-3</v>
      </c>
      <c r="Q95" s="46"/>
    </row>
    <row r="96" spans="1:17" ht="12.75" customHeight="1" x14ac:dyDescent="0.25">
      <c r="A96" s="2" t="str">
        <f>'Language Index'!A313</f>
        <v>Loans Held For Sale</v>
      </c>
      <c r="B96" s="17"/>
      <c r="C96" s="17"/>
      <c r="D96" s="59">
        <f>'Financial Statements'!B292/'Financial Statements'!B$310</f>
        <v>0</v>
      </c>
      <c r="E96" s="59">
        <f>'Financial Statements'!C292/'Financial Statements'!C$310</f>
        <v>0</v>
      </c>
      <c r="F96" s="59">
        <f>'Financial Statements'!D292/'Financial Statements'!D$310</f>
        <v>0</v>
      </c>
      <c r="G96" s="59">
        <f>'Financial Statements'!E292/'Financial Statements'!E$310</f>
        <v>0</v>
      </c>
      <c r="H96" s="59">
        <f>'Financial Statements'!F292/'Financial Statements'!F$310</f>
        <v>0</v>
      </c>
      <c r="I96" s="59">
        <f>'Financial Statements'!G292/'Financial Statements'!G$310</f>
        <v>0</v>
      </c>
      <c r="J96" s="59">
        <f>'Financial Statements'!H292/'Financial Statements'!H$310</f>
        <v>0</v>
      </c>
      <c r="K96" s="59">
        <f>'Financial Statements'!I292/'Financial Statements'!I$310</f>
        <v>0</v>
      </c>
      <c r="L96" s="59">
        <f>'Financial Statements'!J292/'Financial Statements'!J$310</f>
        <v>0</v>
      </c>
      <c r="M96" s="59">
        <f>'Financial Statements'!K292/'Financial Statements'!K$310</f>
        <v>0</v>
      </c>
      <c r="N96" s="59">
        <f>'Financial Statements'!L292/'Financial Statements'!L$310</f>
        <v>0</v>
      </c>
      <c r="O96" s="46"/>
      <c r="P96" s="59">
        <f>'Financial Statements'!N292/'Financial Statements'!N$310</f>
        <v>0</v>
      </c>
      <c r="Q96" s="46"/>
    </row>
    <row r="97" spans="1:17" ht="12.75" customHeight="1" x14ac:dyDescent="0.25">
      <c r="A97" s="2" t="str">
        <f>'Language Index'!A314</f>
        <v>Deferred Tax Assets, Curr.</v>
      </c>
      <c r="B97" s="17"/>
      <c r="C97" s="17"/>
      <c r="D97" s="59">
        <f>'Financial Statements'!B293/'Financial Statements'!B$310</f>
        <v>0</v>
      </c>
      <c r="E97" s="59">
        <f>'Financial Statements'!C293/'Financial Statements'!C$310</f>
        <v>0</v>
      </c>
      <c r="F97" s="59">
        <f>'Financial Statements'!D293/'Financial Statements'!D$310</f>
        <v>0</v>
      </c>
      <c r="G97" s="59">
        <f>'Financial Statements'!E293/'Financial Statements'!E$310</f>
        <v>0</v>
      </c>
      <c r="H97" s="59">
        <f>'Financial Statements'!F293/'Financial Statements'!F$310</f>
        <v>0</v>
      </c>
      <c r="I97" s="59">
        <f>'Financial Statements'!G293/'Financial Statements'!G$310</f>
        <v>0</v>
      </c>
      <c r="J97" s="59">
        <f>'Financial Statements'!H293/'Financial Statements'!H$310</f>
        <v>0</v>
      </c>
      <c r="K97" s="59">
        <f>'Financial Statements'!I293/'Financial Statements'!I$310</f>
        <v>0</v>
      </c>
      <c r="L97" s="59">
        <f>'Financial Statements'!J293/'Financial Statements'!J$310</f>
        <v>0</v>
      </c>
      <c r="M97" s="59">
        <f>'Financial Statements'!K293/'Financial Statements'!K$310</f>
        <v>0</v>
      </c>
      <c r="N97" s="59">
        <f>'Financial Statements'!L293/'Financial Statements'!L$310</f>
        <v>0</v>
      </c>
      <c r="O97" s="46"/>
      <c r="P97" s="59">
        <f>'Financial Statements'!N293/'Financial Statements'!N$310</f>
        <v>0</v>
      </c>
      <c r="Q97" s="46"/>
    </row>
    <row r="98" spans="1:17" ht="12.75" customHeight="1" x14ac:dyDescent="0.25">
      <c r="A98" s="2" t="str">
        <f>'Language Index'!A315</f>
        <v>Restricted Cash</v>
      </c>
      <c r="B98" s="17"/>
      <c r="C98" s="17"/>
      <c r="D98" s="59">
        <f>'Financial Statements'!B294/'Financial Statements'!B$310</f>
        <v>0</v>
      </c>
      <c r="E98" s="59">
        <f>'Financial Statements'!C294/'Financial Statements'!C$310</f>
        <v>0</v>
      </c>
      <c r="F98" s="59">
        <f>'Financial Statements'!D294/'Financial Statements'!D$310</f>
        <v>0</v>
      </c>
      <c r="G98" s="59">
        <f>'Financial Statements'!E294/'Financial Statements'!E$310</f>
        <v>2.090047544592999E-3</v>
      </c>
      <c r="H98" s="59">
        <f>'Financial Statements'!F294/'Financial Statements'!F$310</f>
        <v>1.8236047397513413E-3</v>
      </c>
      <c r="I98" s="59">
        <f>'Financial Statements'!G294/'Financial Statements'!G$310</f>
        <v>9.2649783817171094E-4</v>
      </c>
      <c r="J98" s="59">
        <f>'Financial Statements'!H294/'Financial Statements'!H$310</f>
        <v>2.9685005545902763E-3</v>
      </c>
      <c r="K98" s="59">
        <f>'Financial Statements'!I294/'Financial Statements'!I$310</f>
        <v>2.3257399565154808E-3</v>
      </c>
      <c r="L98" s="59">
        <f>'Financial Statements'!J294/'Financial Statements'!J$310</f>
        <v>8.0947478446751495E-4</v>
      </c>
      <c r="M98" s="59">
        <f>'Financial Statements'!K294/'Financial Statements'!K$310</f>
        <v>1.5527835493674255E-4</v>
      </c>
      <c r="N98" s="59">
        <f>'Financial Statements'!L294/'Financial Statements'!L$310</f>
        <v>1.5600510297065792E-3</v>
      </c>
      <c r="O98" s="46"/>
      <c r="P98" s="59">
        <f>'Financial Statements'!N294/'Financial Statements'!N$310</f>
        <v>1.5600510297065792E-3</v>
      </c>
      <c r="Q98" s="46"/>
    </row>
    <row r="99" spans="1:17" ht="12.75" customHeight="1" x14ac:dyDescent="0.25">
      <c r="A99" s="2" t="str">
        <f>'Language Index'!A316</f>
        <v>Other Current Assets</v>
      </c>
      <c r="B99" s="17"/>
      <c r="C99" s="17"/>
      <c r="D99" s="59">
        <f>'Financial Statements'!B295/'Financial Statements'!B$310</f>
        <v>6.3613340041442472E-3</v>
      </c>
      <c r="E99" s="59">
        <f>'Financial Statements'!C295/'Financial Statements'!C$310</f>
        <v>2.6517036969998641E-3</v>
      </c>
      <c r="F99" s="59">
        <f>'Financial Statements'!D295/'Financial Statements'!D$310</f>
        <v>4.5288158678811613E-3</v>
      </c>
      <c r="G99" s="59">
        <f>'Financial Statements'!E295/'Financial Statements'!E$310</f>
        <v>1.5986470531925076E-2</v>
      </c>
      <c r="H99" s="59">
        <f>'Financial Statements'!F295/'Financial Statements'!F$310</f>
        <v>2.1769788137653789E-2</v>
      </c>
      <c r="I99" s="59">
        <f>'Financial Statements'!G295/'Financial Statements'!G$310</f>
        <v>1.360834767981286E-2</v>
      </c>
      <c r="J99" s="59">
        <f>'Financial Statements'!H295/'Financial Statements'!H$310</f>
        <v>2.3856999057517102E-2</v>
      </c>
      <c r="K99" s="59">
        <f>'Financial Statements'!I295/'Financial Statements'!I$310</f>
        <v>1.7151385216778659E-2</v>
      </c>
      <c r="L99" s="59">
        <f>'Financial Statements'!J295/'Financial Statements'!J$310</f>
        <v>1.0821813380696777E-2</v>
      </c>
      <c r="M99" s="59">
        <f>'Financial Statements'!K295/'Financial Statements'!K$310</f>
        <v>1.0167035144667668E-2</v>
      </c>
      <c r="N99" s="59">
        <f>'Financial Statements'!L295/'Financial Statements'!L$310</f>
        <v>1.138691452524148E-2</v>
      </c>
      <c r="O99" s="46"/>
      <c r="P99" s="59">
        <f>'Financial Statements'!N295/'Financial Statements'!N$310</f>
        <v>1.138691452524148E-2</v>
      </c>
      <c r="Q99" s="46"/>
    </row>
    <row r="100" spans="1:17" ht="12.75" customHeight="1" x14ac:dyDescent="0.25">
      <c r="A100" s="19" t="str">
        <f>'Language Index'!A317</f>
        <v>Total Current Assets</v>
      </c>
      <c r="B100" s="19"/>
      <c r="C100" s="19"/>
      <c r="D100" s="60">
        <f>'Financial Statements'!B296/'Financial Statements'!B$310</f>
        <v>0.40399587280742894</v>
      </c>
      <c r="E100" s="60">
        <f>'Financial Statements'!C296/'Financial Statements'!C$310</f>
        <v>0.38466898954703832</v>
      </c>
      <c r="F100" s="60">
        <f>'Financial Statements'!D296/'Financial Statements'!D$310</f>
        <v>0.37361879628841405</v>
      </c>
      <c r="G100" s="60">
        <f>'Financial Statements'!E296/'Financial Statements'!E$310</f>
        <v>0.39675005584096495</v>
      </c>
      <c r="H100" s="60">
        <f>'Financial Statements'!F296/'Financial Statements'!F$310</f>
        <v>0.39832390462141964</v>
      </c>
      <c r="I100" s="60">
        <f>'Financial Statements'!G296/'Financial Statements'!G$310</f>
        <v>0.25245423363515695</v>
      </c>
      <c r="J100" s="60">
        <f>'Financial Statements'!H296/'Financial Statements'!H$310</f>
        <v>0.25110437196658353</v>
      </c>
      <c r="K100" s="60">
        <f>'Financial Statements'!I296/'Financial Statements'!I$310</f>
        <v>0.22377860773782016</v>
      </c>
      <c r="L100" s="60">
        <f>'Financial Statements'!J296/'Financial Statements'!J$310</f>
        <v>0.22883773567111748</v>
      </c>
      <c r="M100" s="60">
        <f>'Financial Statements'!K296/'Financial Statements'!K$310</f>
        <v>0.24332857639325353</v>
      </c>
      <c r="N100" s="60">
        <f>'Financial Statements'!L296/'Financial Statements'!L$310</f>
        <v>0.25137233460907599</v>
      </c>
      <c r="O100" s="61"/>
      <c r="P100" s="60">
        <f>'Financial Statements'!N296/'Financial Statements'!N$310</f>
        <v>0.25137233460907599</v>
      </c>
      <c r="Q100" s="61"/>
    </row>
    <row r="101" spans="1:17" ht="12.75" customHeight="1" x14ac:dyDescent="0.25">
      <c r="A101" s="16"/>
      <c r="B101" s="16"/>
      <c r="C101" s="16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46"/>
      <c r="P101" s="59"/>
      <c r="Q101" s="46"/>
    </row>
    <row r="102" spans="1:17" ht="12.75" customHeight="1" x14ac:dyDescent="0.25">
      <c r="A102" s="2" t="str">
        <f>'Language Index'!A318</f>
        <v>Gross Property, Plant &amp; Equipment</v>
      </c>
      <c r="B102" s="17"/>
      <c r="C102" s="17"/>
      <c r="D102" s="59">
        <f>'Financial Statements'!B297/'Financial Statements'!B$310</f>
        <v>0.33285296450102753</v>
      </c>
      <c r="E102" s="59">
        <f>'Financial Statements'!C297/'Financial Statements'!C$310</f>
        <v>0.2655595275804335</v>
      </c>
      <c r="F102" s="59">
        <f>'Financial Statements'!D297/'Financial Statements'!D$310</f>
        <v>0.25651655741891549</v>
      </c>
      <c r="G102" s="59">
        <f>'Financial Statements'!E297/'Financial Statements'!E$310</f>
        <v>0.257913462458917</v>
      </c>
      <c r="H102" s="59">
        <f>'Financial Statements'!F297/'Financial Statements'!F$310</f>
        <v>0.26308537712146018</v>
      </c>
      <c r="I102" s="59">
        <f>'Financial Statements'!G297/'Financial Statements'!G$310</f>
        <v>0.24328124794659167</v>
      </c>
      <c r="J102" s="59">
        <f>'Financial Statements'!H297/'Financial Statements'!H$310</f>
        <v>0.15173974649133493</v>
      </c>
      <c r="K102" s="59">
        <f>'Financial Statements'!I297/'Financial Statements'!I$310</f>
        <v>0.17655926849039022</v>
      </c>
      <c r="L102" s="59">
        <f>'Financial Statements'!J297/'Financial Statements'!J$310</f>
        <v>0.16954174296424951</v>
      </c>
      <c r="M102" s="59">
        <f>'Financial Statements'!K297/'Financial Statements'!K$310</f>
        <v>0.15780717385999807</v>
      </c>
      <c r="N102" s="59">
        <f>'Financial Statements'!L297/'Financial Statements'!L$310</f>
        <v>0.15227264443229452</v>
      </c>
      <c r="O102" s="46"/>
      <c r="P102" s="59">
        <f>'Financial Statements'!N297/'Financial Statements'!N$310</f>
        <v>0.15227264443229452</v>
      </c>
      <c r="Q102" s="46"/>
    </row>
    <row r="103" spans="1:17" ht="12.75" customHeight="1" x14ac:dyDescent="0.25">
      <c r="A103" s="2" t="str">
        <f>'Language Index'!A319</f>
        <v>Accumulated Depreciation</v>
      </c>
      <c r="B103" s="17"/>
      <c r="C103" s="17"/>
      <c r="D103" s="59">
        <f>'Financial Statements'!B298/'Financial Statements'!B$310</f>
        <v>-0.2410058752803336</v>
      </c>
      <c r="E103" s="59">
        <f>'Financial Statements'!C298/'Financial Statements'!C$310</f>
        <v>-0.1684782116837866</v>
      </c>
      <c r="F103" s="59">
        <f>'Financial Statements'!D298/'Financial Statements'!D$310</f>
        <v>-0.16432280582276326</v>
      </c>
      <c r="G103" s="59">
        <f>'Financial Statements'!E298/'Financial Statements'!E$310</f>
        <v>-0.16923801014710105</v>
      </c>
      <c r="H103" s="59">
        <f>'Financial Statements'!F298/'Financial Statements'!F$310</f>
        <v>-0.17561718889303141</v>
      </c>
      <c r="I103" s="59">
        <f>'Financial Statements'!G298/'Financial Statements'!G$310</f>
        <v>-0.14467822270116831</v>
      </c>
      <c r="J103" s="59">
        <f>'Financial Statements'!H298/'Financial Statements'!H$310</f>
        <v>-8.9093485327400607E-2</v>
      </c>
      <c r="K103" s="59">
        <f>'Financial Statements'!I298/'Financial Statements'!I$310</f>
        <v>-0.10901432564904812</v>
      </c>
      <c r="L103" s="59">
        <f>'Financial Statements'!J298/'Financial Statements'!J$310</f>
        <v>-0.10500381160456763</v>
      </c>
      <c r="M103" s="59">
        <f>'Financial Statements'!K298/'Financial Statements'!K$310</f>
        <v>-9.3322291316982275E-2</v>
      </c>
      <c r="N103" s="59">
        <f>'Financial Statements'!L298/'Financial Statements'!L$310</f>
        <v>-8.7180608711499907E-2</v>
      </c>
      <c r="O103" s="46"/>
      <c r="P103" s="59">
        <f>'Financial Statements'!N298/'Financial Statements'!N$310</f>
        <v>-8.7180608711499907E-2</v>
      </c>
      <c r="Q103" s="46"/>
    </row>
    <row r="104" spans="1:17" ht="12.75" customHeight="1" x14ac:dyDescent="0.25">
      <c r="A104" s="19" t="str">
        <f>'Language Index'!A320</f>
        <v>Net Property, Plant &amp; Equipment</v>
      </c>
      <c r="B104" s="19"/>
      <c r="C104" s="19"/>
      <c r="D104" s="60">
        <f>'Financial Statements'!B299/'Financial Statements'!B$310</f>
        <v>9.1847089220693942E-2</v>
      </c>
      <c r="E104" s="60">
        <f>'Financial Statements'!C299/'Financial Statements'!C$310</f>
        <v>9.7081315896646911E-2</v>
      </c>
      <c r="F104" s="60">
        <f>'Financial Statements'!D299/'Financial Statements'!D$310</f>
        <v>9.2193751596152215E-2</v>
      </c>
      <c r="G104" s="60">
        <f>'Financial Statements'!E299/'Financial Statements'!E$310</f>
        <v>8.867545231181595E-2</v>
      </c>
      <c r="H104" s="60">
        <f>'Financial Statements'!F299/'Financial Statements'!F$310</f>
        <v>8.7468188228428778E-2</v>
      </c>
      <c r="I104" s="60">
        <f>'Financial Statements'!G299/'Financial Statements'!G$310</f>
        <v>9.8603025245423359E-2</v>
      </c>
      <c r="J104" s="60">
        <f>'Financial Statements'!H299/'Financial Statements'!H$310</f>
        <v>6.2646261163934319E-2</v>
      </c>
      <c r="K104" s="60">
        <f>'Financial Statements'!I299/'Financial Statements'!I$310</f>
        <v>6.7544942841342118E-2</v>
      </c>
      <c r="L104" s="60">
        <f>'Financial Statements'!J299/'Financial Statements'!J$310</f>
        <v>6.4537931359681874E-2</v>
      </c>
      <c r="M104" s="60">
        <f>'Financial Statements'!K299/'Financial Statements'!K$310</f>
        <v>6.4484882543015806E-2</v>
      </c>
      <c r="N104" s="60">
        <f>'Financial Statements'!L299/'Financial Statements'!L$310</f>
        <v>6.5092035720794611E-2</v>
      </c>
      <c r="O104" s="61"/>
      <c r="P104" s="60">
        <f>'Financial Statements'!N299/'Financial Statements'!N$310</f>
        <v>6.5092035720794611E-2</v>
      </c>
      <c r="Q104" s="61"/>
    </row>
    <row r="105" spans="1:17" ht="12.75" customHeight="1" x14ac:dyDescent="0.25">
      <c r="A105" s="16"/>
      <c r="B105" s="16"/>
      <c r="C105" s="16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46"/>
      <c r="P105" s="59"/>
      <c r="Q105" s="46"/>
    </row>
    <row r="106" spans="1:17" ht="12.75" customHeight="1" x14ac:dyDescent="0.25">
      <c r="A106" s="2" t="str">
        <f>'Language Index'!A321</f>
        <v>Long-term Investments</v>
      </c>
      <c r="B106" s="16"/>
      <c r="C106" s="16"/>
      <c r="D106" s="59">
        <f>'Financial Statements'!B300/'Financial Statements'!B$310</f>
        <v>1.0420308516171943E-2</v>
      </c>
      <c r="E106" s="59">
        <f>'Financial Statements'!C300/'Financial Statements'!C$310</f>
        <v>1.02357572740848E-2</v>
      </c>
      <c r="F106" s="59">
        <f>'Financial Statements'!D300/'Financial Statements'!D$310</f>
        <v>5.6099429641610623E-3</v>
      </c>
      <c r="G106" s="59">
        <f>'Financial Statements'!E300/'Financial Statements'!E$310</f>
        <v>4.6348000893455437E-3</v>
      </c>
      <c r="H106" s="59">
        <f>'Financial Statements'!F300/'Financial Statements'!F$310</f>
        <v>1.8317096497057917E-3</v>
      </c>
      <c r="I106" s="59">
        <f>'Financial Statements'!G300/'Financial Statements'!G$310</f>
        <v>1.4587412771214171E-3</v>
      </c>
      <c r="J106" s="59">
        <f>'Financial Statements'!H300/'Financial Statements'!H$310</f>
        <v>1.3848728289233255E-3</v>
      </c>
      <c r="K106" s="59">
        <f>'Financial Statements'!I300/'Financial Statements'!I$310</f>
        <v>1.3507473428231604E-2</v>
      </c>
      <c r="L106" s="59">
        <f>'Financial Statements'!J300/'Financial Statements'!J$310</f>
        <v>1.2652955368861156E-2</v>
      </c>
      <c r="M106" s="59">
        <f>'Financial Statements'!K300/'Financial Statements'!K$310</f>
        <v>1.1749395523546853E-2</v>
      </c>
      <c r="N106" s="59">
        <f>'Financial Statements'!L300/'Financial Statements'!L$310</f>
        <v>1.2327319117915072E-2</v>
      </c>
      <c r="O106" s="46"/>
      <c r="P106" s="59">
        <f>'Financial Statements'!N300/'Financial Statements'!N$310</f>
        <v>1.2327319117915072E-2</v>
      </c>
      <c r="Q106" s="46"/>
    </row>
    <row r="107" spans="1:17" ht="12.75" customHeight="1" x14ac:dyDescent="0.25">
      <c r="A107" s="2" t="str">
        <f>'Language Index'!A322</f>
        <v>Goodwill</v>
      </c>
      <c r="B107" s="17"/>
      <c r="C107" s="17"/>
      <c r="D107" s="59">
        <f>'Financial Statements'!B301/'Financial Statements'!B$310</f>
        <v>0.26055887644856784</v>
      </c>
      <c r="E107" s="59">
        <f>'Financial Statements'!C301/'Financial Statements'!C$310</f>
        <v>0.28979591836734692</v>
      </c>
      <c r="F107" s="59">
        <f>'Financial Statements'!D301/'Financial Statements'!D$310</f>
        <v>0.30815527368689877</v>
      </c>
      <c r="G107" s="59">
        <f>'Financial Statements'!E301/'Financial Statements'!E$310</f>
        <v>0.29346820255911166</v>
      </c>
      <c r="H107" s="59">
        <f>'Financial Statements'!F301/'Financial Statements'!F$310</f>
        <v>0.293924559498144</v>
      </c>
      <c r="I107" s="59">
        <f>'Financial Statements'!G301/'Financial Statements'!G$310</f>
        <v>0.38257132719172593</v>
      </c>
      <c r="J107" s="59">
        <f>'Financial Statements'!H301/'Financial Statements'!H$310</f>
        <v>0.34471151688454904</v>
      </c>
      <c r="K107" s="59">
        <f>'Financial Statements'!I301/'Financial Statements'!I$310</f>
        <v>0.42153468534329286</v>
      </c>
      <c r="L107" s="59">
        <f>'Financial Statements'!J301/'Financial Statements'!J$310</f>
        <v>0.43970198753566009</v>
      </c>
      <c r="M107" s="59">
        <f>'Financial Statements'!K301/'Financial Statements'!K$310</f>
        <v>0.44496861158968065</v>
      </c>
      <c r="N107" s="59">
        <f>'Financial Statements'!L301/'Financial Statements'!L$310</f>
        <v>0.44254419537087664</v>
      </c>
      <c r="O107" s="46"/>
      <c r="P107" s="59">
        <f>'Financial Statements'!N301/'Financial Statements'!N$310</f>
        <v>0.44254419537087664</v>
      </c>
      <c r="Q107" s="46"/>
    </row>
    <row r="108" spans="1:17" ht="12.75" customHeight="1" x14ac:dyDescent="0.25">
      <c r="A108" s="2" t="str">
        <f>'Language Index'!A323</f>
        <v>Other Intangibles</v>
      </c>
      <c r="B108" s="17"/>
      <c r="C108" s="17"/>
      <c r="D108" s="59">
        <f>'Financial Statements'!B302/'Financial Statements'!B$310</f>
        <v>2.6468606901962122E-2</v>
      </c>
      <c r="E108" s="59">
        <f>'Financial Statements'!C302/'Financial Statements'!C$310</f>
        <v>3.155798904927825E-2</v>
      </c>
      <c r="F108" s="59">
        <f>'Financial Statements'!D302/'Financial Statements'!D$310</f>
        <v>3.99080616327573E-2</v>
      </c>
      <c r="G108" s="59">
        <f>'Financial Statements'!E302/'Financial Statements'!E$310</f>
        <v>2.9850984396438941E-2</v>
      </c>
      <c r="H108" s="59">
        <f>'Financial Statements'!F302/'Financial Statements'!F$310</f>
        <v>2.5019857029388404E-2</v>
      </c>
      <c r="I108" s="59">
        <f>'Financial Statements'!G302/'Financial Statements'!G$310</f>
        <v>0.10010776286912068</v>
      </c>
      <c r="J108" s="59">
        <f>'Financial Statements'!H302/'Financial Statements'!H$310</f>
        <v>8.8086887947118372E-2</v>
      </c>
      <c r="K108" s="59">
        <f>'Financial Statements'!I302/'Financial Statements'!I$310</f>
        <v>9.4779585003143915E-2</v>
      </c>
      <c r="L108" s="59">
        <f>'Financial Statements'!J302/'Financial Statements'!J$310</f>
        <v>8.7894815431890164E-2</v>
      </c>
      <c r="M108" s="59">
        <f>'Financial Statements'!K302/'Financial Statements'!K$310</f>
        <v>8.1602472622947189E-2</v>
      </c>
      <c r="N108" s="59">
        <f>'Financial Statements'!L302/'Financial Statements'!L$310</f>
        <v>7.7710953162019314E-2</v>
      </c>
      <c r="O108" s="46"/>
      <c r="P108" s="59">
        <f>'Financial Statements'!N302/'Financial Statements'!N$310</f>
        <v>7.7710953162019314E-2</v>
      </c>
      <c r="Q108" s="46"/>
    </row>
    <row r="109" spans="1:17" ht="12.75" customHeight="1" x14ac:dyDescent="0.25">
      <c r="A109" s="2" t="str">
        <f>'Language Index'!A324</f>
        <v>Finance Div. Loans and Leases, LT</v>
      </c>
      <c r="B109" s="17"/>
      <c r="C109" s="17"/>
      <c r="D109" s="59">
        <f>'Financial Statements'!B303/'Financial Statements'!B$310</f>
        <v>9.4729302214528743E-2</v>
      </c>
      <c r="E109" s="59">
        <f>'Financial Statements'!C303/'Financial Statements'!C$310</f>
        <v>9.0619485044572151E-2</v>
      </c>
      <c r="F109" s="59">
        <f>'Financial Statements'!D303/'Financial Statements'!D$310</f>
        <v>7.6794075082999916E-2</v>
      </c>
      <c r="G109" s="59">
        <f>'Financial Statements'!E303/'Financial Statements'!E$310</f>
        <v>7.6183030728485271E-2</v>
      </c>
      <c r="H109" s="59">
        <f>'Financial Statements'!F303/'Financial Statements'!F$310</f>
        <v>7.4143716263312315E-2</v>
      </c>
      <c r="I109" s="59">
        <f>'Financial Statements'!G303/'Financial Statements'!G$310</f>
        <v>5.7245738767035079E-2</v>
      </c>
      <c r="J109" s="59">
        <f>'Financial Statements'!H303/'Financial Statements'!H$310</f>
        <v>4.5431522526623538E-2</v>
      </c>
      <c r="K109" s="59">
        <f>'Financial Statements'!I303/'Financial Statements'!I$310</f>
        <v>4.1098173498685615E-2</v>
      </c>
      <c r="L109" s="59">
        <f>'Financial Statements'!J303/'Financial Statements'!J$310</f>
        <v>4.5629229112799916E-2</v>
      </c>
      <c r="M109" s="59">
        <f>'Financial Statements'!K303/'Financial Statements'!K$310</f>
        <v>4.2634999741202745E-2</v>
      </c>
      <c r="N109" s="59">
        <f>'Financial Statements'!L303/'Financial Statements'!L$310</f>
        <v>3.9023145616912704E-2</v>
      </c>
      <c r="O109" s="46"/>
      <c r="P109" s="59">
        <f>'Financial Statements'!N303/'Financial Statements'!N$310</f>
        <v>3.9023145616912704E-2</v>
      </c>
      <c r="Q109" s="46"/>
    </row>
    <row r="110" spans="1:17" ht="12.75" customHeight="1" x14ac:dyDescent="0.25">
      <c r="A110" s="2" t="str">
        <f>'Language Index'!A325</f>
        <v>Finance Div. Other LT Assets</v>
      </c>
      <c r="B110" s="17"/>
      <c r="C110" s="17"/>
      <c r="D110" s="59">
        <f>'Financial Statements'!B304/'Financial Statements'!B$310</f>
        <v>0</v>
      </c>
      <c r="E110" s="59">
        <f>'Financial Statements'!C304/'Financial Statements'!C$310</f>
        <v>0</v>
      </c>
      <c r="F110" s="59">
        <f>'Financial Statements'!D304/'Financial Statements'!D$310</f>
        <v>0</v>
      </c>
      <c r="G110" s="59">
        <f>'Financial Statements'!E304/'Financial Statements'!E$310</f>
        <v>0</v>
      </c>
      <c r="H110" s="59">
        <f>'Financial Statements'!F304/'Financial Statements'!F$310</f>
        <v>0</v>
      </c>
      <c r="I110" s="59">
        <f>'Financial Statements'!G304/'Financial Statements'!G$310</f>
        <v>0</v>
      </c>
      <c r="J110" s="59">
        <f>'Financial Statements'!H304/'Financial Statements'!H$310</f>
        <v>0</v>
      </c>
      <c r="K110" s="59">
        <f>'Financial Statements'!I304/'Financial Statements'!I$310</f>
        <v>0</v>
      </c>
      <c r="L110" s="59">
        <f>'Financial Statements'!J304/'Financial Statements'!J$310</f>
        <v>0</v>
      </c>
      <c r="M110" s="59">
        <f>'Financial Statements'!K304/'Financial Statements'!K$310</f>
        <v>0</v>
      </c>
      <c r="N110" s="59">
        <f>'Financial Statements'!L304/'Financial Statements'!L$310</f>
        <v>0</v>
      </c>
      <c r="O110" s="46"/>
      <c r="P110" s="59">
        <f>'Financial Statements'!N304/'Financial Statements'!N$310</f>
        <v>0</v>
      </c>
      <c r="Q110" s="46"/>
    </row>
    <row r="111" spans="1:17" ht="12.75" customHeight="1" x14ac:dyDescent="0.25">
      <c r="A111" s="2" t="str">
        <f>'Language Index'!A326</f>
        <v>Accounts Receivable Long-Term</v>
      </c>
      <c r="B111" s="17"/>
      <c r="C111" s="17"/>
      <c r="D111" s="59">
        <f>'Financial Statements'!B305/'Financial Statements'!B$310</f>
        <v>0</v>
      </c>
      <c r="E111" s="59">
        <f>'Financial Statements'!C305/'Financial Statements'!C$310</f>
        <v>0</v>
      </c>
      <c r="F111" s="59">
        <f>'Financial Statements'!D305/'Financial Statements'!D$310</f>
        <v>0</v>
      </c>
      <c r="G111" s="59">
        <f>'Financial Statements'!E305/'Financial Statements'!E$310</f>
        <v>0</v>
      </c>
      <c r="H111" s="59">
        <f>'Financial Statements'!F305/'Financial Statements'!F$310</f>
        <v>0</v>
      </c>
      <c r="I111" s="59">
        <f>'Financial Statements'!G305/'Financial Statements'!G$310</f>
        <v>0</v>
      </c>
      <c r="J111" s="59">
        <f>'Financial Statements'!H305/'Financial Statements'!H$310</f>
        <v>0</v>
      </c>
      <c r="K111" s="59">
        <f>'Financial Statements'!I305/'Financial Statements'!I$310</f>
        <v>0</v>
      </c>
      <c r="L111" s="59">
        <f>'Financial Statements'!J305/'Financial Statements'!J$310</f>
        <v>0</v>
      </c>
      <c r="M111" s="59">
        <f>'Financial Statements'!K305/'Financial Statements'!K$310</f>
        <v>0</v>
      </c>
      <c r="N111" s="59">
        <f>'Financial Statements'!L305/'Financial Statements'!L$310</f>
        <v>0</v>
      </c>
      <c r="O111" s="46"/>
      <c r="P111" s="59">
        <f>'Financial Statements'!N305/'Financial Statements'!N$310</f>
        <v>0</v>
      </c>
      <c r="Q111" s="46"/>
    </row>
    <row r="112" spans="1:17" ht="12.75" customHeight="1" x14ac:dyDescent="0.25">
      <c r="A112" s="2" t="str">
        <f>'Language Index'!A327</f>
        <v>Loans Receivable Long-Term</v>
      </c>
      <c r="B112" s="17"/>
      <c r="C112" s="17"/>
      <c r="D112" s="59">
        <f>'Financial Statements'!B306/'Financial Statements'!B$310</f>
        <v>0</v>
      </c>
      <c r="E112" s="59">
        <f>'Financial Statements'!C306/'Financial Statements'!C$310</f>
        <v>0</v>
      </c>
      <c r="F112" s="59">
        <f>'Financial Statements'!D306/'Financial Statements'!D$310</f>
        <v>0</v>
      </c>
      <c r="G112" s="59">
        <f>'Financial Statements'!E306/'Financial Statements'!E$310</f>
        <v>0</v>
      </c>
      <c r="H112" s="59">
        <f>'Financial Statements'!F306/'Financial Statements'!F$310</f>
        <v>0</v>
      </c>
      <c r="I112" s="59">
        <f>'Financial Statements'!G306/'Financial Statements'!G$310</f>
        <v>0</v>
      </c>
      <c r="J112" s="59">
        <f>'Financial Statements'!H306/'Financial Statements'!H$310</f>
        <v>0</v>
      </c>
      <c r="K112" s="59">
        <f>'Financial Statements'!I306/'Financial Statements'!I$310</f>
        <v>0</v>
      </c>
      <c r="L112" s="59">
        <f>'Financial Statements'!J306/'Financial Statements'!J$310</f>
        <v>0</v>
      </c>
      <c r="M112" s="59">
        <f>'Financial Statements'!K306/'Financial Statements'!K$310</f>
        <v>0</v>
      </c>
      <c r="N112" s="59">
        <f>'Financial Statements'!L306/'Financial Statements'!L$310</f>
        <v>0</v>
      </c>
      <c r="O112" s="46"/>
      <c r="P112" s="59">
        <f>'Financial Statements'!N306/'Financial Statements'!N$310</f>
        <v>0</v>
      </c>
      <c r="Q112" s="46"/>
    </row>
    <row r="113" spans="1:17" ht="12.75" customHeight="1" x14ac:dyDescent="0.25">
      <c r="A113" s="2" t="str">
        <f>'Language Index'!A328</f>
        <v>Deferred Tax Assets, LT</v>
      </c>
      <c r="B113" s="17"/>
      <c r="C113" s="17"/>
      <c r="D113" s="59">
        <f>'Financial Statements'!B307/'Financial Statements'!B$310</f>
        <v>5.6919442999548056E-2</v>
      </c>
      <c r="E113" s="59">
        <f>'Financial Statements'!C307/'Financial Statements'!C$310</f>
        <v>4.3639983709670122E-2</v>
      </c>
      <c r="F113" s="59">
        <f>'Financial Statements'!D307/'Financial Statements'!D$310</f>
        <v>4.4470928747765384E-2</v>
      </c>
      <c r="G113" s="59">
        <f>'Financial Statements'!E307/'Financial Statements'!E$310</f>
        <v>3.8785538785538788E-2</v>
      </c>
      <c r="H113" s="59">
        <f>'Financial Statements'!F307/'Financial Statements'!F$310</f>
        <v>4.2275210322413319E-2</v>
      </c>
      <c r="I113" s="59">
        <f>'Financial Statements'!G307/'Financial Statements'!G$310</f>
        <v>3.4050438279473801E-2</v>
      </c>
      <c r="J113" s="59">
        <f>'Financial Statements'!H307/'Financial Statements'!H$310</f>
        <v>5.3881811362368644E-2</v>
      </c>
      <c r="K113" s="59">
        <f>'Financial Statements'!I307/'Financial Statements'!I$310</f>
        <v>5.5832910356739721E-2</v>
      </c>
      <c r="L113" s="59">
        <f>'Financial Statements'!J307/'Financial Statements'!J$310</f>
        <v>4.9165769433289062E-2</v>
      </c>
      <c r="M113" s="59">
        <f>'Financial Statements'!K307/'Financial Statements'!K$310</f>
        <v>4.9215844307569451E-2</v>
      </c>
      <c r="N113" s="59">
        <f>'Financial Statements'!L307/'Financial Statements'!L$310</f>
        <v>5.0869327501366871E-2</v>
      </c>
      <c r="O113" s="46"/>
      <c r="P113" s="59">
        <f>'Financial Statements'!N307/'Financial Statements'!N$310</f>
        <v>5.0869327501366871E-2</v>
      </c>
      <c r="Q113" s="46"/>
    </row>
    <row r="114" spans="1:17" ht="12.75" customHeight="1" x14ac:dyDescent="0.25">
      <c r="A114" s="2" t="str">
        <f>'Language Index'!A329</f>
        <v>Deferred Charges, LT</v>
      </c>
      <c r="B114" s="17"/>
      <c r="C114" s="17"/>
      <c r="D114" s="59">
        <f>'Financial Statements'!B308/'Financial Statements'!B$310</f>
        <v>1.2995540244391196E-2</v>
      </c>
      <c r="E114" s="59">
        <f>'Financial Statements'!C308/'Financial Statements'!C$310</f>
        <v>1.4715597990859315E-2</v>
      </c>
      <c r="F114" s="59">
        <f>'Financial Statements'!D308/'Financial Statements'!D$310</f>
        <v>1.2735166425470333E-2</v>
      </c>
      <c r="G114" s="59">
        <f>'Financial Statements'!E308/'Financial Statements'!E$310</f>
        <v>1.7039471584926129E-2</v>
      </c>
      <c r="H114" s="59">
        <f>'Financial Statements'!F308/'Financial Statements'!F$310</f>
        <v>2.1688739038109285E-2</v>
      </c>
      <c r="I114" s="59">
        <f>'Financial Statements'!G308/'Financial Statements'!G$310</f>
        <v>1.6243281247946592E-2</v>
      </c>
      <c r="J114" s="59">
        <f>'Financial Statements'!H308/'Financial Statements'!H$310</f>
        <v>7.3731655243602975E-3</v>
      </c>
      <c r="K114" s="59">
        <f>'Financial Statements'!I308/'Financial Statements'!I$310</f>
        <v>6.9999469700987114E-3</v>
      </c>
      <c r="L114" s="59">
        <f>'Financial Statements'!J308/'Financial Statements'!J$310</f>
        <v>6.8058753723191064E-3</v>
      </c>
      <c r="M114" s="59">
        <f>'Financial Statements'!K308/'Financial Statements'!K$310</f>
        <v>6.2259226122255828E-3</v>
      </c>
      <c r="N114" s="59">
        <f>'Financial Statements'!L308/'Financial Statements'!L$310</f>
        <v>5.7444869691999269E-3</v>
      </c>
      <c r="O114" s="46"/>
      <c r="P114" s="59">
        <f>'Financial Statements'!N308/'Financial Statements'!N$310</f>
        <v>5.7444869691999269E-3</v>
      </c>
      <c r="Q114" s="46"/>
    </row>
    <row r="115" spans="1:17" ht="12.75" customHeight="1" x14ac:dyDescent="0.25">
      <c r="A115" s="2" t="str">
        <f>'Language Index'!A330</f>
        <v>Other Long-Term Assets</v>
      </c>
      <c r="B115" s="17"/>
      <c r="C115" s="17"/>
      <c r="D115" s="59">
        <f>'Financial Statements'!B309/'Financial Statements'!B$310</f>
        <v>4.20649606467072E-2</v>
      </c>
      <c r="E115" s="59">
        <f>'Financial Statements'!C309/'Financial Statements'!C$310</f>
        <v>3.7684963120503193E-2</v>
      </c>
      <c r="F115" s="59">
        <f>'Financial Statements'!D309/'Financial Statements'!D$310</f>
        <v>4.6514003575380949E-2</v>
      </c>
      <c r="G115" s="59">
        <f>'Financial Statements'!E309/'Financial Statements'!E$310</f>
        <v>5.4612463703372797E-2</v>
      </c>
      <c r="H115" s="59">
        <f>'Financial Statements'!F309/'Financial Statements'!F$310</f>
        <v>5.5324115349078475E-2</v>
      </c>
      <c r="I115" s="59">
        <f>'Financial Statements'!G309/'Financial Statements'!G$310</f>
        <v>5.7265451486996174E-2</v>
      </c>
      <c r="J115" s="59">
        <f>'Financial Statements'!H309/'Financial Statements'!H$310</f>
        <v>0.14537958979553892</v>
      </c>
      <c r="K115" s="59">
        <f>'Financial Statements'!I309/'Financial Statements'!I$310</f>
        <v>7.4923674820645297E-2</v>
      </c>
      <c r="L115" s="59">
        <f>'Financial Statements'!J309/'Financial Statements'!J$310</f>
        <v>6.4773700714381141E-2</v>
      </c>
      <c r="M115" s="59">
        <f>'Financial Statements'!K309/'Financial Statements'!K$310</f>
        <v>5.5789294666558222E-2</v>
      </c>
      <c r="N115" s="59">
        <f>'Financial Statements'!L309/'Financial Statements'!L$310</f>
        <v>5.5316201931838893E-2</v>
      </c>
      <c r="O115" s="46"/>
      <c r="P115" s="59">
        <f>'Financial Statements'!N309/'Financial Statements'!N$310</f>
        <v>5.5316201931838893E-2</v>
      </c>
      <c r="Q115" s="46"/>
    </row>
    <row r="116" spans="1:17" ht="12.75" customHeight="1" thickBot="1" x14ac:dyDescent="0.3">
      <c r="A116" s="228" t="str">
        <f>'Language Index'!A331</f>
        <v>Total Assets</v>
      </c>
      <c r="B116" s="35"/>
      <c r="C116" s="35"/>
      <c r="D116" s="65">
        <f>'Financial Statements'!B310/'Financial Statements'!B$310</f>
        <v>1</v>
      </c>
      <c r="E116" s="65">
        <f>'Financial Statements'!C310/'Financial Statements'!C$310</f>
        <v>1</v>
      </c>
      <c r="F116" s="65">
        <f>'Financial Statements'!D310/'Financial Statements'!D$310</f>
        <v>1</v>
      </c>
      <c r="G116" s="65">
        <f>'Financial Statements'!E310/'Financial Statements'!E$310</f>
        <v>1</v>
      </c>
      <c r="H116" s="65">
        <f>'Financial Statements'!F310/'Financial Statements'!F$310</f>
        <v>1</v>
      </c>
      <c r="I116" s="65">
        <f>'Financial Statements'!G310/'Financial Statements'!G$310</f>
        <v>1</v>
      </c>
      <c r="J116" s="65">
        <f>'Financial Statements'!H310/'Financial Statements'!H$310</f>
        <v>1</v>
      </c>
      <c r="K116" s="65">
        <f>'Financial Statements'!I310/'Financial Statements'!I$310</f>
        <v>1</v>
      </c>
      <c r="L116" s="65">
        <f>'Financial Statements'!J310/'Financial Statements'!J$310</f>
        <v>1</v>
      </c>
      <c r="M116" s="65">
        <f>'Financial Statements'!K310/'Financial Statements'!K$310</f>
        <v>1</v>
      </c>
      <c r="N116" s="65">
        <f>'Financial Statements'!L310/'Financial Statements'!L$310</f>
        <v>1</v>
      </c>
      <c r="O116" s="61"/>
      <c r="P116" s="65">
        <f>'Financial Statements'!N310/'Financial Statements'!N$310</f>
        <v>1</v>
      </c>
      <c r="Q116" s="61"/>
    </row>
    <row r="117" spans="1:17" ht="12.75" customHeight="1" thickTop="1" x14ac:dyDescent="0.25">
      <c r="A117" s="16"/>
      <c r="B117" s="16"/>
      <c r="C117" s="1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2"/>
    </row>
    <row r="118" spans="1:17" ht="12.75" customHeight="1" x14ac:dyDescent="0.25">
      <c r="A118" s="9" t="str">
        <f>'Language Index'!A332</f>
        <v>LIABILITIES</v>
      </c>
      <c r="B118" s="34"/>
      <c r="C118" s="34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2"/>
    </row>
    <row r="119" spans="1:17" ht="12.75" customHeight="1" x14ac:dyDescent="0.25">
      <c r="A119" s="2" t="str">
        <f>'Language Index'!A333</f>
        <v>Accounts Payable</v>
      </c>
      <c r="B119" s="17"/>
      <c r="C119" s="17"/>
      <c r="D119" s="59">
        <f>'Financial Statements'!B311/'Financial Statements'!B$345</f>
        <v>5.8531094644029641E-2</v>
      </c>
      <c r="E119" s="59">
        <f>'Financial Statements'!C311/'Financial Statements'!C$345</f>
        <v>5.4554504728720754E-2</v>
      </c>
      <c r="F119" s="59">
        <f>'Financial Statements'!D311/'Financial Statements'!D$345</f>
        <v>5.2856048352770919E-2</v>
      </c>
      <c r="G119" s="59">
        <f>'Financial Statements'!E311/'Financial Statements'!E$345</f>
        <v>5.1461437825074188E-2</v>
      </c>
      <c r="H119" s="59">
        <f>'Financial Statements'!F311/'Financial Statements'!F$345</f>
        <v>5.315199948128576E-2</v>
      </c>
      <c r="I119" s="59">
        <f>'Financial Statements'!G311/'Financial Statements'!G$345</f>
        <v>3.2171158976515582E-2</v>
      </c>
      <c r="J119" s="59">
        <f>'Financial Statements'!H311/'Financial Statements'!H$345</f>
        <v>2.5857370921517461E-2</v>
      </c>
      <c r="K119" s="59">
        <f>'Financial Statements'!I311/'Financial Statements'!I$345</f>
        <v>2.9961894228074031E-2</v>
      </c>
      <c r="L119" s="59">
        <f>'Financial Statements'!J311/'Financial Statements'!J$345</f>
        <v>3.1836721862892263E-2</v>
      </c>
      <c r="M119" s="59">
        <f>'Financial Statements'!K311/'Financial Statements'!K$345</f>
        <v>3.0552864885648581E-2</v>
      </c>
      <c r="N119" s="59">
        <f>'Financial Statements'!L311/'Financial Statements'!L$345</f>
        <v>2.9393110989611809E-2</v>
      </c>
      <c r="O119" s="46"/>
      <c r="P119" s="59">
        <f>'Financial Statements'!N311/'Financial Statements'!N$345</f>
        <v>2.9393110989611809E-2</v>
      </c>
      <c r="Q119" s="62"/>
    </row>
    <row r="120" spans="1:17" ht="12.75" customHeight="1" x14ac:dyDescent="0.25">
      <c r="A120" s="2" t="str">
        <f>'Language Index'!A334</f>
        <v>Accrued Exp.</v>
      </c>
      <c r="B120" s="17"/>
      <c r="C120" s="17"/>
      <c r="D120" s="59">
        <f>'Financial Statements'!B312/'Financial Statements'!B$345</f>
        <v>8.1801980029163224E-2</v>
      </c>
      <c r="E120" s="59">
        <f>'Financial Statements'!C312/'Financial Statements'!C$345</f>
        <v>6.7867324313317351E-2</v>
      </c>
      <c r="F120" s="59">
        <f>'Financial Statements'!D312/'Financial Statements'!D$345</f>
        <v>6.6910700604409637E-2</v>
      </c>
      <c r="G120" s="59">
        <f>'Financial Statements'!E312/'Financial Statements'!E$345</f>
        <v>5.9622195985832349E-2</v>
      </c>
      <c r="H120" s="59">
        <f>'Financial Statements'!F312/'Financial Statements'!F$345</f>
        <v>5.5137702420126111E-2</v>
      </c>
      <c r="I120" s="59">
        <f>'Financial Statements'!G312/'Financial Statements'!G$345</f>
        <v>4.8421011131115868E-2</v>
      </c>
      <c r="J120" s="59">
        <f>'Financial Statements'!H312/'Financial Statements'!H$345</f>
        <v>5.0874842118086051E-2</v>
      </c>
      <c r="K120" s="59">
        <f>'Financial Statements'!I312/'Financial Statements'!I$345</f>
        <v>5.3302626495253823E-2</v>
      </c>
      <c r="L120" s="59">
        <f>'Financial Statements'!J312/'Financial Statements'!J$345</f>
        <v>5.5374362440370001E-2</v>
      </c>
      <c r="M120" s="59">
        <f>'Financial Statements'!K312/'Financial Statements'!K$345</f>
        <v>4.974822723878114E-2</v>
      </c>
      <c r="N120" s="59">
        <f>'Financial Statements'!L312/'Financial Statements'!L$345</f>
        <v>5.1408784399489704E-2</v>
      </c>
      <c r="O120" s="46"/>
      <c r="P120" s="59">
        <f>'Financial Statements'!N312/'Financial Statements'!N$345</f>
        <v>5.1408784399489704E-2</v>
      </c>
      <c r="Q120" s="2"/>
    </row>
    <row r="121" spans="1:17" ht="12.75" customHeight="1" x14ac:dyDescent="0.25">
      <c r="A121" s="2" t="str">
        <f>'Language Index'!A335</f>
        <v>Short-term Borrowings</v>
      </c>
      <c r="B121" s="17"/>
      <c r="C121" s="17"/>
      <c r="D121" s="59">
        <f>'Financial Statements'!B313/'Financial Statements'!B$345</f>
        <v>9.6358008373766749E-3</v>
      </c>
      <c r="E121" s="59">
        <f>'Financial Statements'!C313/'Financial Statements'!C$345</f>
        <v>1.0769718086791258E-2</v>
      </c>
      <c r="F121" s="59">
        <f>'Financial Statements'!D313/'Financial Statements'!D$345</f>
        <v>1.0845322209925939E-2</v>
      </c>
      <c r="G121" s="59">
        <f>'Financial Statements'!E313/'Financial Statements'!E$345</f>
        <v>1.4135741408468681E-2</v>
      </c>
      <c r="H121" s="59">
        <f>'Financial Statements'!F313/'Financial Statements'!F$345</f>
        <v>2.5579095816245481E-2</v>
      </c>
      <c r="I121" s="59">
        <f>'Financial Statements'!G313/'Financial Statements'!G$345</f>
        <v>8.3779059834675988E-3</v>
      </c>
      <c r="J121" s="59">
        <f>'Financial Statements'!H313/'Financial Statements'!H$345</f>
        <v>8.3348827666681626E-4</v>
      </c>
      <c r="K121" s="59">
        <f>'Financial Statements'!I313/'Financial Statements'!I$345</f>
        <v>1.6666540404996932E-4</v>
      </c>
      <c r="L121" s="59">
        <f>'Financial Statements'!J313/'Financial Statements'!J$345</f>
        <v>0</v>
      </c>
      <c r="M121" s="59">
        <f>'Financial Statements'!K313/'Financial Statements'!K$345</f>
        <v>0</v>
      </c>
      <c r="N121" s="59">
        <f>'Financial Statements'!L313/'Financial Statements'!L$345</f>
        <v>0</v>
      </c>
      <c r="O121" s="46"/>
      <c r="P121" s="59">
        <f>'Financial Statements'!N313/'Financial Statements'!N$345</f>
        <v>0</v>
      </c>
      <c r="Q121" s="2"/>
    </row>
    <row r="122" spans="1:17" ht="12.75" customHeight="1" x14ac:dyDescent="0.25">
      <c r="A122" s="2" t="str">
        <f>'Language Index'!A336</f>
        <v>Current Portion of Long Term Debt</v>
      </c>
      <c r="B122" s="17"/>
      <c r="C122" s="17"/>
      <c r="D122" s="59">
        <f>'Financial Statements'!B314/'Financial Statements'!B$345</f>
        <v>3.923391119714166E-2</v>
      </c>
      <c r="E122" s="59">
        <f>'Financial Statements'!C314/'Financial Statements'!C$345</f>
        <v>4.7703515996198924E-2</v>
      </c>
      <c r="F122" s="59">
        <f>'Financial Statements'!D314/'Financial Statements'!D$345</f>
        <v>5.3111432706222865E-2</v>
      </c>
      <c r="G122" s="59">
        <f>'Financial Statements'!E314/'Financial Statements'!E$345</f>
        <v>4.1601518874246145E-2</v>
      </c>
      <c r="H122" s="59">
        <f>'Financial Statements'!F314/'Financial Statements'!F$345</f>
        <v>5.7123405358966463E-2</v>
      </c>
      <c r="I122" s="59">
        <f>'Financial Statements'!G314/'Financial Statements'!G$345</f>
        <v>4.9084672703139577E-2</v>
      </c>
      <c r="J122" s="59">
        <f>'Financial Statements'!H314/'Financial Statements'!H$345</f>
        <v>4.4598034249956724E-2</v>
      </c>
      <c r="K122" s="59">
        <f>'Financial Statements'!I314/'Financial Statements'!I$345</f>
        <v>5.0976886538738345E-2</v>
      </c>
      <c r="L122" s="59">
        <f>'Financial Statements'!J314/'Financial Statements'!J$345</f>
        <v>3.6819314225536963E-2</v>
      </c>
      <c r="M122" s="59">
        <f>'Financial Statements'!K314/'Financial Statements'!K$345</f>
        <v>4.662047751791247E-2</v>
      </c>
      <c r="N122" s="59">
        <f>'Financial Statements'!L314/'Financial Statements'!L$345</f>
        <v>3.5655184982686348E-2</v>
      </c>
      <c r="O122" s="46"/>
      <c r="P122" s="59">
        <f>'Financial Statements'!N314/'Financial Statements'!N$345</f>
        <v>3.5655184982686348E-2</v>
      </c>
      <c r="Q122" s="2"/>
    </row>
    <row r="123" spans="1:17" ht="12.75" customHeight="1" x14ac:dyDescent="0.25">
      <c r="A123" s="2" t="str">
        <f>'Language Index'!A337</f>
        <v>Current Portion of Leases</v>
      </c>
      <c r="B123" s="17"/>
      <c r="C123" s="17"/>
      <c r="D123" s="59">
        <f>'Financial Statements'!B315/'Financial Statements'!B$345</f>
        <v>0</v>
      </c>
      <c r="E123" s="59">
        <f>'Financial Statements'!C315/'Financial Statements'!C$345</f>
        <v>0</v>
      </c>
      <c r="F123" s="59">
        <f>'Financial Statements'!D315/'Financial Statements'!D$345</f>
        <v>0</v>
      </c>
      <c r="G123" s="59">
        <f>'Financial Statements'!E315/'Financial Statements'!E$345</f>
        <v>0</v>
      </c>
      <c r="H123" s="59">
        <f>'Financial Statements'!F315/'Financial Statements'!F$345</f>
        <v>2.4314729863351219E-5</v>
      </c>
      <c r="I123" s="59">
        <f>'Financial Statements'!G315/'Financial Statements'!G$345</f>
        <v>9.4095383280985104E-3</v>
      </c>
      <c r="J123" s="59">
        <f>'Financial Statements'!H315/'Financial Statements'!H$345</f>
        <v>6.828192420385841E-3</v>
      </c>
      <c r="K123" s="59">
        <f>'Financial Statements'!I315/'Financial Statements'!I$345</f>
        <v>7.6514571859304095E-3</v>
      </c>
      <c r="L123" s="59">
        <f>'Financial Statements'!J315/'Financial Statements'!J$345</f>
        <v>7.4581705869871031E-3</v>
      </c>
      <c r="M123" s="59">
        <f>'Financial Statements'!K315/'Financial Statements'!K$345</f>
        <v>6.9579491426416543E-3</v>
      </c>
      <c r="N123" s="59">
        <f>'Financial Statements'!L315/'Financial Statements'!L$345</f>
        <v>7.0420995079278296E-3</v>
      </c>
      <c r="O123" s="46"/>
      <c r="P123" s="59">
        <f>'Financial Statements'!N315/'Financial Statements'!N$345</f>
        <v>7.0420995079278296E-3</v>
      </c>
      <c r="Q123" s="2"/>
    </row>
    <row r="124" spans="1:17" ht="12.75" customHeight="1" x14ac:dyDescent="0.25">
      <c r="A124" s="2" t="str">
        <f>'Language Index'!A338</f>
        <v>Finance Div. Debt Current</v>
      </c>
      <c r="B124" s="17"/>
      <c r="C124" s="17"/>
      <c r="D124" s="59">
        <f>'Financial Statements'!B316/'Financial Statements'!B$345</f>
        <v>0</v>
      </c>
      <c r="E124" s="59">
        <f>'Financial Statements'!C316/'Financial Statements'!C$345</f>
        <v>0</v>
      </c>
      <c r="F124" s="59">
        <f>'Financial Statements'!D316/'Financial Statements'!D$345</f>
        <v>0</v>
      </c>
      <c r="G124" s="59">
        <f>'Financial Statements'!E316/'Financial Statements'!E$345</f>
        <v>0</v>
      </c>
      <c r="H124" s="59">
        <f>'Financial Statements'!F316/'Financial Statements'!F$345</f>
        <v>0</v>
      </c>
      <c r="I124" s="59">
        <f>'Financial Statements'!G316/'Financial Statements'!G$345</f>
        <v>0</v>
      </c>
      <c r="J124" s="59">
        <f>'Financial Statements'!H316/'Financial Statements'!H$345</f>
        <v>0</v>
      </c>
      <c r="K124" s="59">
        <f>'Financial Statements'!I316/'Financial Statements'!I$345</f>
        <v>0</v>
      </c>
      <c r="L124" s="59">
        <f>'Financial Statements'!J316/'Financial Statements'!J$345</f>
        <v>0</v>
      </c>
      <c r="M124" s="59">
        <f>'Financial Statements'!K316/'Financial Statements'!K$345</f>
        <v>0</v>
      </c>
      <c r="N124" s="59">
        <f>'Financial Statements'!L316/'Financial Statements'!L$345</f>
        <v>0</v>
      </c>
      <c r="O124" s="46"/>
      <c r="P124" s="59">
        <f>'Financial Statements'!N316/'Financial Statements'!N$345</f>
        <v>0</v>
      </c>
      <c r="Q124" s="2"/>
    </row>
    <row r="125" spans="1:17" ht="12.75" customHeight="1" x14ac:dyDescent="0.25">
      <c r="A125" s="2" t="str">
        <f>'Language Index'!A339</f>
        <v>Finance Div. Other Curr. Liab.</v>
      </c>
      <c r="B125" s="17"/>
      <c r="C125" s="17"/>
      <c r="D125" s="59">
        <f>'Financial Statements'!B317/'Financial Statements'!B$345</f>
        <v>0</v>
      </c>
      <c r="E125" s="59">
        <f>'Financial Statements'!C317/'Financial Statements'!C$345</f>
        <v>0</v>
      </c>
      <c r="F125" s="59">
        <f>'Financial Statements'!D317/'Financial Statements'!D$345</f>
        <v>0</v>
      </c>
      <c r="G125" s="59">
        <f>'Financial Statements'!E317/'Financial Statements'!E$345</f>
        <v>0</v>
      </c>
      <c r="H125" s="59">
        <f>'Financial Statements'!F317/'Financial Statements'!F$345</f>
        <v>0</v>
      </c>
      <c r="I125" s="59">
        <f>'Financial Statements'!G317/'Financial Statements'!G$345</f>
        <v>0</v>
      </c>
      <c r="J125" s="59">
        <f>'Financial Statements'!H317/'Financial Statements'!H$345</f>
        <v>0</v>
      </c>
      <c r="K125" s="59">
        <f>'Financial Statements'!I317/'Financial Statements'!I$345</f>
        <v>0</v>
      </c>
      <c r="L125" s="59">
        <f>'Financial Statements'!J317/'Financial Statements'!J$345</f>
        <v>0</v>
      </c>
      <c r="M125" s="59">
        <f>'Financial Statements'!K317/'Financial Statements'!K$345</f>
        <v>0</v>
      </c>
      <c r="N125" s="59">
        <f>'Financial Statements'!L317/'Financial Statements'!L$345</f>
        <v>0</v>
      </c>
      <c r="O125" s="46"/>
      <c r="P125" s="59">
        <f>'Financial Statements'!N317/'Financial Statements'!N$345</f>
        <v>0</v>
      </c>
      <c r="Q125" s="2"/>
    </row>
    <row r="126" spans="1:17" ht="12.75" customHeight="1" x14ac:dyDescent="0.25">
      <c r="A126" s="2" t="str">
        <f>'Language Index'!A340</f>
        <v>Curr. Income Taxes Payable</v>
      </c>
      <c r="B126" s="17"/>
      <c r="C126" s="17"/>
      <c r="D126" s="59">
        <f>'Financial Statements'!B318/'Financial Statements'!B$345</f>
        <v>4.3352576510816823E-2</v>
      </c>
      <c r="E126" s="59">
        <f>'Financial Statements'!C318/'Financial Statements'!C$345</f>
        <v>2.5765871758903117E-2</v>
      </c>
      <c r="F126" s="59">
        <f>'Financial Statements'!D318/'Financial Statements'!D$345</f>
        <v>2.7538946113901421E-2</v>
      </c>
      <c r="G126" s="59">
        <f>'Financial Statements'!E318/'Financial Statements'!E$345</f>
        <v>3.365614729251093E-2</v>
      </c>
      <c r="H126" s="59">
        <f>'Financial Statements'!F318/'Financial Statements'!F$345</f>
        <v>2.4687555721255937E-2</v>
      </c>
      <c r="I126" s="59">
        <f>'Financial Statements'!G318/'Financial Statements'!G$345</f>
        <v>1.8654803989854519E-2</v>
      </c>
      <c r="J126" s="59">
        <f>'Financial Statements'!H318/'Financial Statements'!H$345</f>
        <v>2.0503811606003682E-2</v>
      </c>
      <c r="K126" s="59">
        <f>'Financial Statements'!I318/'Financial Statements'!I$345</f>
        <v>1.7340777721380898E-2</v>
      </c>
      <c r="L126" s="59">
        <f>'Financial Statements'!J318/'Financial Statements'!J$345</f>
        <v>1.7258316763987015E-2</v>
      </c>
      <c r="M126" s="59">
        <f>'Financial Statements'!K318/'Financial Statements'!K$345</f>
        <v>1.6784850747924077E-2</v>
      </c>
      <c r="N126" s="59">
        <f>'Financial Statements'!L318/'Financial Statements'!L$345</f>
        <v>1.4820484782212501E-2</v>
      </c>
      <c r="O126" s="46"/>
      <c r="P126" s="59">
        <f>'Financial Statements'!N318/'Financial Statements'!N$345</f>
        <v>1.4820484782212501E-2</v>
      </c>
      <c r="Q126" s="2"/>
    </row>
    <row r="127" spans="1:17" ht="12.75" customHeight="1" x14ac:dyDescent="0.25">
      <c r="A127" s="2" t="str">
        <f>'Language Index'!A341</f>
        <v>Unearned Revenue, Current</v>
      </c>
      <c r="B127" s="17"/>
      <c r="C127" s="17"/>
      <c r="D127" s="59">
        <f>'Financial Statements'!B319/'Financial Statements'!B$345</f>
        <v>0.1034441592550588</v>
      </c>
      <c r="E127" s="59">
        <f>'Financial Statements'!C319/'Financial Statements'!C$345</f>
        <v>0.10189601339427123</v>
      </c>
      <c r="F127" s="59">
        <f>'Financial Statements'!D319/'Financial Statements'!D$345</f>
        <v>9.6186260321784289E-2</v>
      </c>
      <c r="G127" s="59">
        <f>'Financial Statements'!E319/'Financial Statements'!E$345</f>
        <v>9.4363253454162549E-2</v>
      </c>
      <c r="H127" s="59">
        <f>'Financial Statements'!F319/'Financial Statements'!F$345</f>
        <v>9.268775023909484E-2</v>
      </c>
      <c r="I127" s="59">
        <f>'Financial Statements'!G319/'Financial Statements'!G$345</f>
        <v>8.0513319227787053E-2</v>
      </c>
      <c r="J127" s="59">
        <f>'Financial Statements'!H319/'Financial Statements'!H$345</f>
        <v>7.7873450833808852E-2</v>
      </c>
      <c r="K127" s="59">
        <f>'Financial Statements'!I319/'Financial Statements'!I$345</f>
        <v>9.4832614904432538E-2</v>
      </c>
      <c r="L127" s="59">
        <f>'Financial Statements'!J319/'Financial Statements'!J$345</f>
        <v>9.4559229191389704E-2</v>
      </c>
      <c r="M127" s="59">
        <f>'Financial Statements'!K319/'Financial Statements'!K$345</f>
        <v>9.9459483440672583E-2</v>
      </c>
      <c r="N127" s="59">
        <f>'Financial Statements'!L319/'Financial Statements'!L$345</f>
        <v>0.10138144705667942</v>
      </c>
      <c r="O127" s="46"/>
      <c r="P127" s="59">
        <f>'Financial Statements'!N319/'Financial Statements'!N$345</f>
        <v>0.10138144705667942</v>
      </c>
      <c r="Q127" s="2"/>
    </row>
    <row r="128" spans="1:17" ht="12.75" customHeight="1" x14ac:dyDescent="0.25">
      <c r="A128" s="2" t="str">
        <f>'Language Index'!A342</f>
        <v>Def. Tax Liability, Curr.</v>
      </c>
      <c r="B128" s="17"/>
      <c r="C128" s="17"/>
      <c r="D128" s="59">
        <f>'Financial Statements'!B320/'Financial Statements'!B$345</f>
        <v>0</v>
      </c>
      <c r="E128" s="59">
        <f>'Financial Statements'!C320/'Financial Statements'!C$345</f>
        <v>0</v>
      </c>
      <c r="F128" s="59">
        <f>'Financial Statements'!D320/'Financial Statements'!D$345</f>
        <v>0</v>
      </c>
      <c r="G128" s="59">
        <f>'Financial Statements'!E320/'Financial Statements'!E$345</f>
        <v>0</v>
      </c>
      <c r="H128" s="59">
        <f>'Financial Statements'!F320/'Financial Statements'!F$345</f>
        <v>0</v>
      </c>
      <c r="I128" s="59">
        <f>'Financial Statements'!G320/'Financial Statements'!G$345</f>
        <v>0</v>
      </c>
      <c r="J128" s="59">
        <f>'Financial Statements'!H320/'Financial Statements'!H$345</f>
        <v>0</v>
      </c>
      <c r="K128" s="59">
        <f>'Financial Statements'!I320/'Financial Statements'!I$345</f>
        <v>0</v>
      </c>
      <c r="L128" s="59">
        <f>'Financial Statements'!J320/'Financial Statements'!J$345</f>
        <v>0</v>
      </c>
      <c r="M128" s="59">
        <f>'Financial Statements'!K320/'Financial Statements'!K$345</f>
        <v>0</v>
      </c>
      <c r="N128" s="59">
        <f>'Financial Statements'!L320/'Financial Statements'!L$345</f>
        <v>0</v>
      </c>
      <c r="O128" s="46"/>
      <c r="P128" s="59">
        <f>'Financial Statements'!N320/'Financial Statements'!N$345</f>
        <v>0</v>
      </c>
      <c r="Q128" s="2"/>
    </row>
    <row r="129" spans="1:17" ht="12.75" customHeight="1" x14ac:dyDescent="0.25">
      <c r="A129" s="2" t="str">
        <f>'Language Index'!A343</f>
        <v>Other Current Liabilities</v>
      </c>
      <c r="B129" s="17"/>
      <c r="C129" s="17"/>
      <c r="D129" s="59">
        <f>'Financial Statements'!B321/'Financial Statements'!B$345</f>
        <v>1.5178518133212814E-3</v>
      </c>
      <c r="E129" s="59">
        <f>'Financial Statements'!C321/'Financial Statements'!C$345</f>
        <v>1.5837820715869496E-3</v>
      </c>
      <c r="F129" s="59">
        <f>'Financial Statements'!D321/'Financial Statements'!D$345</f>
        <v>1.3535370732953094E-3</v>
      </c>
      <c r="G129" s="59">
        <f>'Financial Statements'!E321/'Financial Statements'!E$345</f>
        <v>3.2148441239350329E-3</v>
      </c>
      <c r="H129" s="59">
        <f>'Financial Statements'!F321/'Financial Statements'!F$345</f>
        <v>1.4345690619377218E-3</v>
      </c>
      <c r="I129" s="59">
        <f>'Financial Statements'!G321/'Financial Statements'!G$345</f>
        <v>1.097341411167913E-3</v>
      </c>
      <c r="J129" s="59">
        <f>'Financial Statements'!H321/'Financial Statements'!H$345</f>
        <v>2.8248841130723019E-2</v>
      </c>
      <c r="K129" s="59">
        <f>'Financial Statements'!I321/'Financial Statements'!I$345</f>
        <v>4.5454201104537089E-4</v>
      </c>
      <c r="L129" s="59">
        <f>'Financial Statements'!J321/'Financial Statements'!J$345</f>
        <v>4.2910022555268266E-3</v>
      </c>
      <c r="M129" s="59">
        <f>'Financial Statements'!K321/'Financial Statements'!K$345</f>
        <v>2.1812911764923361E-3</v>
      </c>
      <c r="N129" s="59">
        <f>'Financial Statements'!L321/'Financial Statements'!L$345</f>
        <v>1.9026790595954074E-3</v>
      </c>
      <c r="O129" s="46"/>
      <c r="P129" s="59">
        <f>'Financial Statements'!N321/'Financial Statements'!N$345</f>
        <v>1.9026790595954074E-3</v>
      </c>
      <c r="Q129" s="2"/>
    </row>
    <row r="130" spans="1:17" ht="12.75" customHeight="1" x14ac:dyDescent="0.25">
      <c r="A130" s="19" t="str">
        <f>'Language Index'!A344</f>
        <v>Total Current Liabilities</v>
      </c>
      <c r="B130" s="19"/>
      <c r="C130" s="19"/>
      <c r="D130" s="60">
        <f>'Financial Statements'!B322/'Financial Statements'!B$345</f>
        <v>0.33751737428690809</v>
      </c>
      <c r="E130" s="60">
        <f>'Financial Statements'!C322/'Financial Statements'!C$345</f>
        <v>0.31014073034978956</v>
      </c>
      <c r="F130" s="60">
        <f>'Financial Statements'!D322/'Financial Statements'!D$345</f>
        <v>0.30880224738231038</v>
      </c>
      <c r="G130" s="60">
        <f>'Financial Statements'!E322/'Financial Statements'!E$345</f>
        <v>0.29805513896422986</v>
      </c>
      <c r="H130" s="60">
        <f>'Financial Statements'!F322/'Financial Statements'!F$345</f>
        <v>0.30982639282877567</v>
      </c>
      <c r="I130" s="60">
        <f>'Financial Statements'!G322/'Financial Statements'!G$345</f>
        <v>0.24772975175114662</v>
      </c>
      <c r="J130" s="60">
        <f>'Financial Statements'!H322/'Financial Statements'!H$345</f>
        <v>0.25561803155714846</v>
      </c>
      <c r="K130" s="60">
        <f>'Financial Statements'!I322/'Financial Statements'!I$345</f>
        <v>0.25468746448890539</v>
      </c>
      <c r="L130" s="60">
        <f>'Financial Statements'!J322/'Financial Statements'!J$345</f>
        <v>0.24759711732668988</v>
      </c>
      <c r="M130" s="60">
        <f>'Financial Statements'!K322/'Financial Statements'!K$345</f>
        <v>0.25230514415007282</v>
      </c>
      <c r="N130" s="60">
        <f>'Financial Statements'!L322/'Financial Statements'!L$345</f>
        <v>0.24160379077820301</v>
      </c>
      <c r="O130" s="61"/>
      <c r="P130" s="60">
        <f>'Financial Statements'!N322/'Financial Statements'!N$345</f>
        <v>0.24160379077820301</v>
      </c>
      <c r="Q130" s="62"/>
    </row>
    <row r="131" spans="1:17" ht="12.75" customHeight="1" x14ac:dyDescent="0.25">
      <c r="A131" s="16"/>
      <c r="B131" s="16"/>
      <c r="C131" s="16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46"/>
      <c r="P131" s="59"/>
      <c r="Q131" s="2"/>
    </row>
    <row r="132" spans="1:17" ht="12.75" customHeight="1" x14ac:dyDescent="0.25">
      <c r="A132" s="2" t="str">
        <f>'Language Index'!A345</f>
        <v>Long-Term Debt</v>
      </c>
      <c r="B132" s="16"/>
      <c r="C132" s="16"/>
      <c r="D132" s="59">
        <f>'Financial Statements'!B323/'Financial Statements'!B$345</f>
        <v>0.29837726292092676</v>
      </c>
      <c r="E132" s="59">
        <f>'Financial Statements'!C323/'Financial Statements'!C$345</f>
        <v>0.30255667677270465</v>
      </c>
      <c r="F132" s="59">
        <f>'Financial Statements'!D323/'Financial Statements'!D$345</f>
        <v>0.29507959479015922</v>
      </c>
      <c r="G132" s="59">
        <f>'Financial Statements'!E323/'Financial Statements'!E$345</f>
        <v>0.3180621589712499</v>
      </c>
      <c r="H132" s="59">
        <f>'Financial Statements'!F323/'Financial Statements'!F$345</f>
        <v>0.28826733234993757</v>
      </c>
      <c r="I132" s="59">
        <f>'Financial Statements'!G323/'Financial Statements'!G$345</f>
        <v>0.35450698487377286</v>
      </c>
      <c r="J132" s="59">
        <f>'Financial Statements'!H323/'Financial Statements'!H$345</f>
        <v>0.3472248046111136</v>
      </c>
      <c r="K132" s="59">
        <f>'Financial Statements'!I323/'Financial Statements'!I$345</f>
        <v>0.33980045605715109</v>
      </c>
      <c r="L132" s="59">
        <f>'Financial Statements'!J323/'Financial Statements'!J$345</f>
        <v>0.36170948500113953</v>
      </c>
      <c r="M132" s="59">
        <f>'Financial Statements'!K323/'Financial Statements'!K$345</f>
        <v>0.36780266339349754</v>
      </c>
      <c r="N132" s="59">
        <f>'Financial Statements'!L323/'Financial Statements'!L$345</f>
        <v>0.35779843265901223</v>
      </c>
      <c r="O132" s="46"/>
      <c r="P132" s="59">
        <f>'Financial Statements'!N323/'Financial Statements'!N$345</f>
        <v>0.35779843265901223</v>
      </c>
      <c r="Q132" s="62"/>
    </row>
    <row r="133" spans="1:17" ht="12.75" customHeight="1" x14ac:dyDescent="0.25">
      <c r="A133" s="2" t="str">
        <f>'Language Index'!A346</f>
        <v>Long-Term Leases</v>
      </c>
      <c r="B133" s="17"/>
      <c r="C133" s="17"/>
      <c r="D133" s="59">
        <f>'Financial Statements'!B324/'Financial Statements'!B$345</f>
        <v>0</v>
      </c>
      <c r="E133" s="59">
        <f>'Financial Statements'!C324/'Financial Statements'!C$345</f>
        <v>0</v>
      </c>
      <c r="F133" s="59">
        <f>'Financial Statements'!D324/'Financial Statements'!D$345</f>
        <v>0</v>
      </c>
      <c r="G133" s="59">
        <f>'Financial Statements'!E324/'Financial Statements'!E$345</f>
        <v>0</v>
      </c>
      <c r="H133" s="59">
        <f>'Financial Statements'!F324/'Financial Statements'!F$345</f>
        <v>3.0798657826911543E-4</v>
      </c>
      <c r="I133" s="59">
        <f>'Financial Statements'!G324/'Financial Statements'!G$345</f>
        <v>2.6480753814411312E-2</v>
      </c>
      <c r="J133" s="59">
        <f>'Financial Statements'!H324/'Financial Statements'!H$345</f>
        <v>1.7823826224105763E-2</v>
      </c>
      <c r="K133" s="59">
        <f>'Financial Statements'!I324/'Financial Statements'!I$345</f>
        <v>1.9128642964826022E-2</v>
      </c>
      <c r="L133" s="59">
        <f>'Financial Statements'!J324/'Financial Statements'!J$345</f>
        <v>1.8500035365403206E-2</v>
      </c>
      <c r="M133" s="59">
        <f>'Financial Statements'!K324/'Financial Statements'!K$345</f>
        <v>2.1790729142789539E-2</v>
      </c>
      <c r="N133" s="59">
        <f>'Financial Statements'!L324/'Financial Statements'!L$345</f>
        <v>2.5208675050118461E-2</v>
      </c>
      <c r="O133" s="46"/>
      <c r="P133" s="59">
        <f>'Financial Statements'!N324/'Financial Statements'!N$345</f>
        <v>2.5208675050118461E-2</v>
      </c>
      <c r="Q133" s="2"/>
    </row>
    <row r="134" spans="1:17" ht="12.75" customHeight="1" x14ac:dyDescent="0.25">
      <c r="A134" s="2" t="str">
        <f>'Language Index'!A347</f>
        <v>Finance Div. Debt Non-Curr.</v>
      </c>
      <c r="B134" s="17"/>
      <c r="C134" s="17"/>
      <c r="D134" s="59">
        <f>'Financial Statements'!B325/'Financial Statements'!B$345</f>
        <v>0</v>
      </c>
      <c r="E134" s="59">
        <f>'Financial Statements'!C325/'Financial Statements'!C$345</f>
        <v>0</v>
      </c>
      <c r="F134" s="59">
        <f>'Financial Statements'!D325/'Financial Statements'!D$345</f>
        <v>0</v>
      </c>
      <c r="G134" s="59">
        <f>'Financial Statements'!E325/'Financial Statements'!E$345</f>
        <v>0</v>
      </c>
      <c r="H134" s="59">
        <f>'Financial Statements'!F325/'Financial Statements'!F$345</f>
        <v>0</v>
      </c>
      <c r="I134" s="59">
        <f>'Financial Statements'!G325/'Financial Statements'!G$345</f>
        <v>0</v>
      </c>
      <c r="J134" s="59">
        <f>'Financial Statements'!H325/'Financial Statements'!H$345</f>
        <v>0</v>
      </c>
      <c r="K134" s="59">
        <f>'Financial Statements'!I325/'Financial Statements'!I$345</f>
        <v>0</v>
      </c>
      <c r="L134" s="59">
        <f>'Financial Statements'!J325/'Financial Statements'!J$345</f>
        <v>0</v>
      </c>
      <c r="M134" s="59">
        <f>'Financial Statements'!K325/'Financial Statements'!K$345</f>
        <v>0</v>
      </c>
      <c r="N134" s="59">
        <f>'Financial Statements'!L325/'Financial Statements'!L$345</f>
        <v>0</v>
      </c>
      <c r="O134" s="46"/>
      <c r="P134" s="59">
        <f>'Financial Statements'!N325/'Financial Statements'!N$345</f>
        <v>0</v>
      </c>
      <c r="Q134" s="2"/>
    </row>
    <row r="135" spans="1:17" ht="12.75" customHeight="1" x14ac:dyDescent="0.25">
      <c r="A135" s="2" t="str">
        <f>'Language Index'!A348</f>
        <v>Finance Div. Other Non-Curr. Liab.</v>
      </c>
      <c r="B135" s="17"/>
      <c r="C135" s="17"/>
      <c r="D135" s="59">
        <f>'Financial Statements'!B326/'Financial Statements'!B$345</f>
        <v>0</v>
      </c>
      <c r="E135" s="59">
        <f>'Financial Statements'!C326/'Financial Statements'!C$345</f>
        <v>0</v>
      </c>
      <c r="F135" s="59">
        <f>'Financial Statements'!D326/'Financial Statements'!D$345</f>
        <v>0</v>
      </c>
      <c r="G135" s="59">
        <f>'Financial Statements'!E326/'Financial Statements'!E$345</f>
        <v>0</v>
      </c>
      <c r="H135" s="59">
        <f>'Financial Statements'!F326/'Financial Statements'!F$345</f>
        <v>0</v>
      </c>
      <c r="I135" s="59">
        <f>'Financial Statements'!G326/'Financial Statements'!G$345</f>
        <v>0</v>
      </c>
      <c r="J135" s="59">
        <f>'Financial Statements'!H326/'Financial Statements'!H$345</f>
        <v>0</v>
      </c>
      <c r="K135" s="59">
        <f>'Financial Statements'!I326/'Financial Statements'!I$345</f>
        <v>0</v>
      </c>
      <c r="L135" s="59">
        <f>'Financial Statements'!J326/'Financial Statements'!J$345</f>
        <v>0</v>
      </c>
      <c r="M135" s="59">
        <f>'Financial Statements'!K326/'Financial Statements'!K$345</f>
        <v>0</v>
      </c>
      <c r="N135" s="59">
        <f>'Financial Statements'!L326/'Financial Statements'!L$345</f>
        <v>0</v>
      </c>
      <c r="O135" s="46"/>
      <c r="P135" s="59">
        <f>'Financial Statements'!N326/'Financial Statements'!N$345</f>
        <v>0</v>
      </c>
      <c r="Q135" s="2"/>
    </row>
    <row r="136" spans="1:17" ht="12.75" customHeight="1" x14ac:dyDescent="0.25">
      <c r="A136" s="2" t="str">
        <f>'Language Index'!A349</f>
        <v>Unearned Revenue, Non-Current</v>
      </c>
      <c r="B136" s="17"/>
      <c r="C136" s="17"/>
      <c r="D136" s="59">
        <f>'Financial Statements'!B327/'Financial Statements'!B$345</f>
        <v>3.1474106982971067E-2</v>
      </c>
      <c r="E136" s="59">
        <f>'Financial Statements'!C327/'Financial Statements'!C$345</f>
        <v>3.4128241096882214E-2</v>
      </c>
      <c r="F136" s="59">
        <f>'Financial Statements'!D327/'Financial Statements'!D$345</f>
        <v>3.064612241423342E-2</v>
      </c>
      <c r="G136" s="59">
        <f>'Financial Statements'!E327/'Financial Statements'!E$345</f>
        <v>2.9882893519257155E-2</v>
      </c>
      <c r="H136" s="59">
        <f>'Financial Statements'!F327/'Financial Statements'!F$345</f>
        <v>2.7921414793081648E-2</v>
      </c>
      <c r="I136" s="59">
        <f>'Financial Statements'!G327/'Financial Statements'!G$345</f>
        <v>2.5304561523398997E-2</v>
      </c>
      <c r="J136" s="59">
        <f>'Financial Statements'!H327/'Financial Statements'!H$345</f>
        <v>2.4094222643953042E-2</v>
      </c>
      <c r="K136" s="59">
        <f>'Financial Statements'!I327/'Financial Statements'!I$345</f>
        <v>2.7098279558488193E-2</v>
      </c>
      <c r="L136" s="59">
        <f>'Financial Statements'!J327/'Financial Statements'!J$345</f>
        <v>2.7498565736425579E-2</v>
      </c>
      <c r="M136" s="59">
        <f>'Financial Statements'!K327/'Financial Statements'!K$345</f>
        <v>2.6123734666262451E-2</v>
      </c>
      <c r="N136" s="59">
        <f>'Financial Statements'!L327/'Financial Statements'!L$345</f>
        <v>2.640422817568799E-2</v>
      </c>
      <c r="O136" s="46"/>
      <c r="P136" s="59">
        <f>'Financial Statements'!N327/'Financial Statements'!N$345</f>
        <v>2.640422817568799E-2</v>
      </c>
      <c r="Q136" s="2"/>
    </row>
    <row r="137" spans="1:17" ht="12.75" customHeight="1" x14ac:dyDescent="0.25">
      <c r="A137" s="2" t="str">
        <f>'Language Index'!A350</f>
        <v>Pension &amp; Other Post-Retire. Benefits</v>
      </c>
      <c r="B137" s="17"/>
      <c r="C137" s="17"/>
      <c r="D137" s="59">
        <f>'Financial Statements'!B328/'Financial Statements'!B$345</f>
        <v>0.15571624698348271</v>
      </c>
      <c r="E137" s="59">
        <f>'Financial Statements'!C328/'Financial Statements'!C$345</f>
        <v>0.14936422462554866</v>
      </c>
      <c r="F137" s="59">
        <f>'Financial Statements'!D328/'Financial Statements'!D$345</f>
        <v>0.14531369711415681</v>
      </c>
      <c r="G137" s="59">
        <f>'Financial Statements'!E328/'Financial Statements'!E$345</f>
        <v>0.13338013338013338</v>
      </c>
      <c r="H137" s="59">
        <f>'Financial Statements'!F328/'Financial Statements'!F$345</f>
        <v>0.13779967904556581</v>
      </c>
      <c r="I137" s="59">
        <f>'Financial Statements'!G328/'Financial Statements'!G$345</f>
        <v>0.11263848185772674</v>
      </c>
      <c r="J137" s="59">
        <f>'Financial Statements'!H328/'Financial Statements'!H$345</f>
        <v>0.11017432727878901</v>
      </c>
      <c r="K137" s="59">
        <f>'Financial Statements'!I328/'Financial Statements'!I$345</f>
        <v>0.10935523215733214</v>
      </c>
      <c r="L137" s="59">
        <f>'Financial Statements'!J328/'Financial Statements'!J$345</f>
        <v>7.5414757589808479E-2</v>
      </c>
      <c r="M137" s="59">
        <f>'Financial Statements'!K328/'Financial Statements'!K$345</f>
        <v>7.9916593340776831E-2</v>
      </c>
      <c r="N137" s="59">
        <f>'Financial Statements'!L328/'Financial Statements'!L$345</f>
        <v>6.8758884636413345E-2</v>
      </c>
      <c r="O137" s="46"/>
      <c r="P137" s="59">
        <f>'Financial Statements'!N328/'Financial Statements'!N$345</f>
        <v>6.8758884636413345E-2</v>
      </c>
      <c r="Q137" s="2"/>
    </row>
    <row r="138" spans="1:17" ht="12.75" customHeight="1" x14ac:dyDescent="0.25">
      <c r="A138" s="2" t="str">
        <f>'Language Index'!A351</f>
        <v>Def. Tax Liability, Non-Curr.</v>
      </c>
      <c r="B138" s="17"/>
      <c r="C138" s="17"/>
      <c r="D138" s="59">
        <f>'Financial Statements'!B329/'Financial Statements'!B$345</f>
        <v>1.1000162017890185E-3</v>
      </c>
      <c r="E138" s="59">
        <f>'Financial Statements'!C329/'Financial Statements'!C$345</f>
        <v>2.2896963663514187E-3</v>
      </c>
      <c r="F138" s="59">
        <f>'Financial Statements'!D329/'Financial Statements'!D$345</f>
        <v>3.6094321954541586E-3</v>
      </c>
      <c r="G138" s="59">
        <f>'Financial Statements'!E329/'Financial Statements'!E$345</f>
        <v>4.3476179839816199E-3</v>
      </c>
      <c r="H138" s="59">
        <f>'Financial Statements'!F329/'Financial Statements'!F$345</f>
        <v>2.9955747191648702E-2</v>
      </c>
      <c r="I138" s="59">
        <f>'Financial Statements'!G329/'Financial Statements'!G$345</f>
        <v>3.4365841798851403E-2</v>
      </c>
      <c r="J138" s="59">
        <f>'Financial Statements'!H329/'Financial Statements'!H$345</f>
        <v>3.178796058241596E-2</v>
      </c>
      <c r="K138" s="59">
        <f>'Financial Statements'!I329/'Financial Statements'!I$345</f>
        <v>2.9969469928258118E-2</v>
      </c>
      <c r="L138" s="59">
        <f>'Financial Statements'!J329/'Financial Statements'!J$345</f>
        <v>1.8012778699024699E-2</v>
      </c>
      <c r="M138" s="59">
        <f>'Financial Statements'!K329/'Financial Statements'!K$345</f>
        <v>8.4737616551193787E-3</v>
      </c>
      <c r="N138" s="59">
        <f>'Financial Statements'!L329/'Financial Statements'!L$345</f>
        <v>5.9413158374339347E-3</v>
      </c>
      <c r="O138" s="46"/>
      <c r="P138" s="59">
        <f>'Financial Statements'!N329/'Financial Statements'!N$345</f>
        <v>5.9413158374339347E-3</v>
      </c>
      <c r="Q138" s="2"/>
    </row>
    <row r="139" spans="1:17" ht="12.75" customHeight="1" x14ac:dyDescent="0.25">
      <c r="A139" s="2" t="str">
        <f>'Language Index'!A352</f>
        <v>Other Non-Current Liabilities</v>
      </c>
      <c r="B139" s="17"/>
      <c r="C139" s="17"/>
      <c r="D139" s="59">
        <f>'Financial Statements'!B330/'Financial Statements'!B$345</f>
        <v>7.3368522482114076E-2</v>
      </c>
      <c r="E139" s="59">
        <f>'Financial Statements'!C330/'Financial Statements'!C$345</f>
        <v>7.098058735689397E-2</v>
      </c>
      <c r="F139" s="59">
        <f>'Financial Statements'!D330/'Financial Statements'!D$345</f>
        <v>5.9981271814080188E-2</v>
      </c>
      <c r="G139" s="59">
        <f>'Financial Statements'!E330/'Financial Statements'!E$345</f>
        <v>7.4874756692938513E-2</v>
      </c>
      <c r="H139" s="59">
        <f>'Financial Statements'!F330/'Financial Statements'!F$345</f>
        <v>6.8705321683876094E-2</v>
      </c>
      <c r="I139" s="59">
        <f>'Financial Statements'!G330/'Financial Statements'!G$345</f>
        <v>6.108314825279592E-2</v>
      </c>
      <c r="J139" s="59">
        <f>'Financial Statements'!H330/'Financial Statements'!H$345</f>
        <v>8.0393150008655462E-2</v>
      </c>
      <c r="K139" s="59">
        <f>'Financial Statements'!I330/'Financial Statements'!I$345</f>
        <v>7.6052454148074641E-2</v>
      </c>
      <c r="L139" s="59">
        <f>'Financial Statements'!J330/'Financial Statements'!J$345</f>
        <v>7.8204694953749918E-2</v>
      </c>
      <c r="M139" s="59">
        <f>'Financial Statements'!K330/'Financial Statements'!K$345</f>
        <v>7.638216221412146E-2</v>
      </c>
      <c r="N139" s="59">
        <f>'Financial Statements'!L330/'Financial Statements'!L$345</f>
        <v>7.4590851102606159E-2</v>
      </c>
      <c r="O139" s="46"/>
      <c r="P139" s="59">
        <f>'Financial Statements'!N330/'Financial Statements'!N$345</f>
        <v>7.4590851102606159E-2</v>
      </c>
      <c r="Q139" s="2"/>
    </row>
    <row r="140" spans="1:17" ht="12.75" customHeight="1" thickBot="1" x14ac:dyDescent="0.3">
      <c r="A140" s="19" t="str">
        <f>'Language Index'!A353</f>
        <v>Total Liabilities</v>
      </c>
      <c r="B140" s="35"/>
      <c r="C140" s="35"/>
      <c r="D140" s="65">
        <f>'Financial Statements'!B331/'Financial Statements'!B$345</f>
        <v>0.8975535298581917</v>
      </c>
      <c r="E140" s="65">
        <f>'Financial Statements'!C331/'Financial Statements'!C$345</f>
        <v>0.86946015656817055</v>
      </c>
      <c r="F140" s="65">
        <f>'Financial Statements'!D331/'Financial Statements'!D$345</f>
        <v>0.84343236571039415</v>
      </c>
      <c r="G140" s="65">
        <f>'Financial Statements'!E331/'Financial Statements'!E$345</f>
        <v>0.85860269951179047</v>
      </c>
      <c r="H140" s="65">
        <f>'Financial Statements'!F331/'Financial Statements'!F$345</f>
        <v>0.86278387447115468</v>
      </c>
      <c r="I140" s="65">
        <f>'Financial Statements'!G331/'Financial Statements'!G$345</f>
        <v>0.86210952387210382</v>
      </c>
      <c r="J140" s="65">
        <f>'Financial Statements'!H331/'Financial Statements'!H$345</f>
        <v>0.86711632290618124</v>
      </c>
      <c r="K140" s="65">
        <f>'Financial Statements'!I331/'Financial Statements'!I$345</f>
        <v>0.85609199930303559</v>
      </c>
      <c r="L140" s="65">
        <f>'Financial Statements'!J331/'Financial Statements'!J$345</f>
        <v>0.82693743467224134</v>
      </c>
      <c r="M140" s="65">
        <f>'Financial Statements'!K331/'Financial Statements'!K$345</f>
        <v>0.83279478856264</v>
      </c>
      <c r="N140" s="65">
        <f>'Financial Statements'!L331/'Financial Statements'!L$345</f>
        <v>0.80030617823947514</v>
      </c>
      <c r="O140" s="61"/>
      <c r="P140" s="65">
        <f>'Financial Statements'!N331/'Financial Statements'!N$345</f>
        <v>0.80030617823947514</v>
      </c>
      <c r="Q140" s="62"/>
    </row>
    <row r="141" spans="1:17" ht="12.75" customHeight="1" thickTop="1" x14ac:dyDescent="0.25">
      <c r="A141" s="35"/>
      <c r="B141" s="35"/>
      <c r="C141" s="35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1"/>
      <c r="P141" s="64"/>
      <c r="Q141" s="62"/>
    </row>
    <row r="142" spans="1:17" ht="12.75" customHeight="1" x14ac:dyDescent="0.25">
      <c r="A142" s="9" t="str">
        <f>'Language Index'!A354</f>
        <v>EQUITY</v>
      </c>
      <c r="B142" s="16"/>
      <c r="C142" s="16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46"/>
      <c r="P142" s="59"/>
      <c r="Q142" s="2"/>
    </row>
    <row r="143" spans="1:17" ht="12.75" customHeight="1" x14ac:dyDescent="0.25">
      <c r="A143" s="2" t="str">
        <f>'Language Index'!A355</f>
        <v>Pref. Stock, Redeemable</v>
      </c>
      <c r="B143" s="16"/>
      <c r="C143" s="16"/>
      <c r="D143" s="59">
        <f>'Financial Statements'!B332/'Financial Statements'!B$345</f>
        <v>0</v>
      </c>
      <c r="E143" s="59">
        <f>'Financial Statements'!C332/'Financial Statements'!C$345</f>
        <v>0</v>
      </c>
      <c r="F143" s="59">
        <f>'Financial Statements'!D332/'Financial Statements'!D$345</f>
        <v>0</v>
      </c>
      <c r="G143" s="59">
        <f>'Financial Statements'!E332/'Financial Statements'!E$345</f>
        <v>0</v>
      </c>
      <c r="H143" s="59">
        <f>'Financial Statements'!F332/'Financial Statements'!F$345</f>
        <v>0</v>
      </c>
      <c r="I143" s="59">
        <f>'Financial Statements'!G332/'Financial Statements'!G$345</f>
        <v>0</v>
      </c>
      <c r="J143" s="59">
        <f>'Financial Statements'!H332/'Financial Statements'!H$345</f>
        <v>0</v>
      </c>
      <c r="K143" s="59">
        <f>'Financial Statements'!I332/'Financial Statements'!I$345</f>
        <v>0</v>
      </c>
      <c r="L143" s="59">
        <f>'Financial Statements'!J332/'Financial Statements'!J$345</f>
        <v>0</v>
      </c>
      <c r="M143" s="59">
        <f>'Financial Statements'!K332/'Financial Statements'!K$345</f>
        <v>0</v>
      </c>
      <c r="N143" s="59">
        <f>'Financial Statements'!L332/'Financial Statements'!L$345</f>
        <v>0</v>
      </c>
      <c r="O143" s="46"/>
      <c r="P143" s="59">
        <f>'Financial Statements'!N332/'Financial Statements'!N$345</f>
        <v>0</v>
      </c>
      <c r="Q143" s="62"/>
    </row>
    <row r="144" spans="1:17" ht="12.75" customHeight="1" x14ac:dyDescent="0.25">
      <c r="A144" s="2" t="str">
        <f>'Language Index'!A356</f>
        <v>Pref. Stock, Non-Redeem.</v>
      </c>
      <c r="B144" s="16"/>
      <c r="C144" s="16"/>
      <c r="D144" s="59">
        <f>'Financial Statements'!B333/'Financial Statements'!B$345</f>
        <v>0</v>
      </c>
      <c r="E144" s="59">
        <f>'Financial Statements'!C333/'Financial Statements'!C$345</f>
        <v>0</v>
      </c>
      <c r="F144" s="59">
        <f>'Financial Statements'!D333/'Financial Statements'!D$345</f>
        <v>0</v>
      </c>
      <c r="G144" s="59">
        <f>'Financial Statements'!E333/'Financial Statements'!E$345</f>
        <v>0</v>
      </c>
      <c r="H144" s="59">
        <f>'Financial Statements'!F333/'Financial Statements'!F$345</f>
        <v>0</v>
      </c>
      <c r="I144" s="59">
        <f>'Financial Statements'!G333/'Financial Statements'!G$345</f>
        <v>0</v>
      </c>
      <c r="J144" s="59">
        <f>'Financial Statements'!H333/'Financial Statements'!H$345</f>
        <v>0</v>
      </c>
      <c r="K144" s="59">
        <f>'Financial Statements'!I333/'Financial Statements'!I$345</f>
        <v>0</v>
      </c>
      <c r="L144" s="59">
        <f>'Financial Statements'!J333/'Financial Statements'!J$345</f>
        <v>0</v>
      </c>
      <c r="M144" s="59">
        <f>'Financial Statements'!K333/'Financial Statements'!K$345</f>
        <v>0</v>
      </c>
      <c r="N144" s="59">
        <f>'Financial Statements'!L333/'Financial Statements'!L$345</f>
        <v>0</v>
      </c>
      <c r="O144" s="46"/>
      <c r="P144" s="59">
        <f>'Financial Statements'!N333/'Financial Statements'!N$345</f>
        <v>0</v>
      </c>
      <c r="Q144" s="2"/>
    </row>
    <row r="145" spans="1:17" ht="12.75" customHeight="1" x14ac:dyDescent="0.25">
      <c r="A145" s="2" t="str">
        <f>'Language Index'!A357</f>
        <v>Pref. Stock, Convertible</v>
      </c>
      <c r="B145" s="16"/>
      <c r="C145" s="16"/>
      <c r="D145" s="59">
        <f>'Financial Statements'!B334/'Financial Statements'!B$345</f>
        <v>0</v>
      </c>
      <c r="E145" s="59">
        <f>'Financial Statements'!C334/'Financial Statements'!C$345</f>
        <v>0</v>
      </c>
      <c r="F145" s="59">
        <f>'Financial Statements'!D334/'Financial Statements'!D$345</f>
        <v>0</v>
      </c>
      <c r="G145" s="59">
        <f>'Financial Statements'!E334/'Financial Statements'!E$345</f>
        <v>0</v>
      </c>
      <c r="H145" s="59">
        <f>'Financial Statements'!F334/'Financial Statements'!F$345</f>
        <v>0</v>
      </c>
      <c r="I145" s="59">
        <f>'Financial Statements'!G334/'Financial Statements'!G$345</f>
        <v>0</v>
      </c>
      <c r="J145" s="59">
        <f>'Financial Statements'!H334/'Financial Statements'!H$345</f>
        <v>0</v>
      </c>
      <c r="K145" s="59">
        <f>'Financial Statements'!I334/'Financial Statements'!I$345</f>
        <v>0</v>
      </c>
      <c r="L145" s="59">
        <f>'Financial Statements'!J334/'Financial Statements'!J$345</f>
        <v>0</v>
      </c>
      <c r="M145" s="59">
        <f>'Financial Statements'!K334/'Financial Statements'!K$345</f>
        <v>0</v>
      </c>
      <c r="N145" s="59">
        <f>'Financial Statements'!L334/'Financial Statements'!L$345</f>
        <v>0</v>
      </c>
      <c r="O145" s="46"/>
      <c r="P145" s="59">
        <f>'Financial Statements'!N334/'Financial Statements'!N$345</f>
        <v>0</v>
      </c>
      <c r="Q145" s="2"/>
    </row>
    <row r="146" spans="1:17" ht="12.75" customHeight="1" x14ac:dyDescent="0.25">
      <c r="A146" s="2" t="str">
        <f>'Language Index'!A358</f>
        <v>Pref. Stock, Other</v>
      </c>
      <c r="B146" s="16"/>
      <c r="C146" s="16"/>
      <c r="D146" s="59">
        <f>'Financial Statements'!B335/'Financial Statements'!B$345</f>
        <v>0</v>
      </c>
      <c r="E146" s="59">
        <f>'Financial Statements'!C335/'Financial Statements'!C$345</f>
        <v>0</v>
      </c>
      <c r="F146" s="59">
        <f>'Financial Statements'!D335/'Financial Statements'!D$345</f>
        <v>0</v>
      </c>
      <c r="G146" s="59">
        <f>'Financial Statements'!E335/'Financial Statements'!E$345</f>
        <v>0</v>
      </c>
      <c r="H146" s="59">
        <f>'Financial Statements'!F335/'Financial Statements'!F$345</f>
        <v>0</v>
      </c>
      <c r="I146" s="59">
        <f>'Financial Statements'!G335/'Financial Statements'!G$345</f>
        <v>0</v>
      </c>
      <c r="J146" s="59">
        <f>'Financial Statements'!H335/'Financial Statements'!H$345</f>
        <v>0</v>
      </c>
      <c r="K146" s="59">
        <f>'Financial Statements'!I335/'Financial Statements'!I$345</f>
        <v>0</v>
      </c>
      <c r="L146" s="59">
        <f>'Financial Statements'!J335/'Financial Statements'!J$345</f>
        <v>0</v>
      </c>
      <c r="M146" s="59">
        <f>'Financial Statements'!K335/'Financial Statements'!K$345</f>
        <v>0</v>
      </c>
      <c r="N146" s="59">
        <f>'Financial Statements'!L335/'Financial Statements'!L$345</f>
        <v>0</v>
      </c>
      <c r="O146" s="46"/>
      <c r="P146" s="59">
        <f>'Financial Statements'!N335/'Financial Statements'!N$345</f>
        <v>0</v>
      </c>
      <c r="Q146" s="2"/>
    </row>
    <row r="147" spans="1:17" ht="12.75" customHeight="1" x14ac:dyDescent="0.25">
      <c r="A147" s="19" t="str">
        <f>'Language Index'!A359</f>
        <v>Total Pref. Equity</v>
      </c>
      <c r="B147" s="1"/>
      <c r="C147" s="1"/>
      <c r="D147" s="66">
        <f>'Financial Statements'!B336/'Financial Statements'!B$345</f>
        <v>0</v>
      </c>
      <c r="E147" s="66">
        <f>'Financial Statements'!C336/'Financial Statements'!C$345</f>
        <v>0</v>
      </c>
      <c r="F147" s="66">
        <f>'Financial Statements'!D336/'Financial Statements'!D$345</f>
        <v>0</v>
      </c>
      <c r="G147" s="66">
        <f>'Financial Statements'!E336/'Financial Statements'!E$345</f>
        <v>0</v>
      </c>
      <c r="H147" s="66">
        <f>'Financial Statements'!F336/'Financial Statements'!F$345</f>
        <v>0</v>
      </c>
      <c r="I147" s="66">
        <f>'Financial Statements'!G336/'Financial Statements'!G$345</f>
        <v>0</v>
      </c>
      <c r="J147" s="66">
        <f>'Financial Statements'!H336/'Financial Statements'!H$345</f>
        <v>0</v>
      </c>
      <c r="K147" s="66">
        <f>'Financial Statements'!I336/'Financial Statements'!I$345</f>
        <v>0</v>
      </c>
      <c r="L147" s="66">
        <f>'Financial Statements'!J336/'Financial Statements'!J$345</f>
        <v>0</v>
      </c>
      <c r="M147" s="66">
        <f>'Financial Statements'!K336/'Financial Statements'!K$345</f>
        <v>0</v>
      </c>
      <c r="N147" s="66">
        <f>'Financial Statements'!L336/'Financial Statements'!L$345</f>
        <v>0</v>
      </c>
      <c r="O147" s="61"/>
      <c r="P147" s="66">
        <f>'Financial Statements'!N336/'Financial Statements'!N$345</f>
        <v>0</v>
      </c>
      <c r="Q147" s="37"/>
    </row>
    <row r="148" spans="1:17" ht="12.75" customHeight="1" x14ac:dyDescent="0.25">
      <c r="A148" s="16"/>
      <c r="B148" s="16"/>
      <c r="C148" s="16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46"/>
      <c r="P148" s="59"/>
      <c r="Q148" s="2"/>
    </row>
    <row r="149" spans="1:17" ht="12.75" customHeight="1" x14ac:dyDescent="0.25">
      <c r="A149" s="2" t="str">
        <f>'Language Index'!A360</f>
        <v>Common Stock</v>
      </c>
      <c r="B149" s="17"/>
      <c r="C149" s="17"/>
      <c r="D149" s="59">
        <f>'Financial Statements'!B337/'Financial Statements'!B$345</f>
        <v>0.44909653708077873</v>
      </c>
      <c r="E149" s="59">
        <f>'Financial Statements'!C337/'Financial Statements'!C$345</f>
        <v>0.48203086112493776</v>
      </c>
      <c r="F149" s="59">
        <f>'Financial Statements'!D337/'Financial Statements'!D$345</f>
        <v>0.45913850344768875</v>
      </c>
      <c r="G149" s="59">
        <f>'Financial Statements'!E337/'Financial Statements'!E$345</f>
        <v>0.43528829892466259</v>
      </c>
      <c r="H149" s="59">
        <f>'Financial Statements'!F337/'Financial Statements'!F$345</f>
        <v>0.44699388889789432</v>
      </c>
      <c r="I149" s="59">
        <f>'Financial Statements'!G337/'Financial Statements'!G$345</f>
        <v>0.36728082740856582</v>
      </c>
      <c r="J149" s="59">
        <f>'Financial Statements'!H337/'Financial Statements'!H$345</f>
        <v>0.36260586903975739</v>
      </c>
      <c r="K149" s="59">
        <f>'Financial Statements'!I337/'Financial Statements'!I$345</f>
        <v>0.4342315588518269</v>
      </c>
      <c r="L149" s="59">
        <f>'Financial Statements'!J337/'Financial Statements'!J$345</f>
        <v>0.45851638204066236</v>
      </c>
      <c r="M149" s="59">
        <f>'Financial Statements'!K337/'Financial Statements'!K$345</f>
        <v>0.44101271064248265</v>
      </c>
      <c r="N149" s="59">
        <f>'Financial Statements'!L337/'Financial Statements'!L$345</f>
        <v>0.44745762711864406</v>
      </c>
      <c r="O149" s="46"/>
      <c r="P149" s="59">
        <f>'Financial Statements'!N337/'Financial Statements'!N$345</f>
        <v>0.44745762711864406</v>
      </c>
      <c r="Q149" s="62"/>
    </row>
    <row r="150" spans="1:17" ht="12.75" customHeight="1" x14ac:dyDescent="0.25">
      <c r="A150" s="2" t="str">
        <f>'Language Index'!A361</f>
        <v>Additional Paid In Capital</v>
      </c>
      <c r="B150" s="17"/>
      <c r="C150" s="17"/>
      <c r="D150" s="59">
        <f>'Financial Statements'!B338/'Financial Statements'!B$345</f>
        <v>0</v>
      </c>
      <c r="E150" s="59">
        <f>'Financial Statements'!C338/'Financial Statements'!C$345</f>
        <v>0</v>
      </c>
      <c r="F150" s="59">
        <f>'Financial Statements'!D338/'Financial Statements'!D$345</f>
        <v>0</v>
      </c>
      <c r="G150" s="59">
        <f>'Financial Statements'!E338/'Financial Statements'!E$345</f>
        <v>0</v>
      </c>
      <c r="H150" s="59">
        <f>'Financial Statements'!F338/'Financial Statements'!F$345</f>
        <v>0</v>
      </c>
      <c r="I150" s="59">
        <f>'Financial Statements'!G338/'Financial Statements'!G$345</f>
        <v>0</v>
      </c>
      <c r="J150" s="59">
        <f>'Financial Statements'!H338/'Financial Statements'!H$345</f>
        <v>0</v>
      </c>
      <c r="K150" s="59">
        <f>'Financial Statements'!I338/'Financial Statements'!I$345</f>
        <v>0</v>
      </c>
      <c r="L150" s="59">
        <f>'Financial Statements'!J338/'Financial Statements'!J$345</f>
        <v>0</v>
      </c>
      <c r="M150" s="59">
        <f>'Financial Statements'!K338/'Financial Statements'!K$345</f>
        <v>0</v>
      </c>
      <c r="N150" s="59">
        <f>'Financial Statements'!L338/'Financial Statements'!L$345</f>
        <v>0</v>
      </c>
      <c r="O150" s="46"/>
      <c r="P150" s="59">
        <f>'Financial Statements'!N338/'Financial Statements'!N$345</f>
        <v>0</v>
      </c>
      <c r="Q150" s="2"/>
    </row>
    <row r="151" spans="1:17" ht="12.75" customHeight="1" x14ac:dyDescent="0.25">
      <c r="A151" s="2" t="str">
        <f>'Language Index'!A362</f>
        <v>Retained Earnings</v>
      </c>
      <c r="B151" s="17"/>
      <c r="C151" s="17"/>
      <c r="D151" s="59">
        <f>'Financial Statements'!B339/'Financial Statements'!B$345</f>
        <v>1.1749963759156143</v>
      </c>
      <c r="E151" s="59">
        <f>'Financial Statements'!C339/'Financial Statements'!C$345</f>
        <v>1.3224489795918368</v>
      </c>
      <c r="F151" s="59">
        <f>'Financial Statements'!D339/'Financial Statements'!D$345</f>
        <v>1.3004086149655232</v>
      </c>
      <c r="G151" s="59">
        <f>'Financial Statements'!E339/'Financial Statements'!E$345</f>
        <v>1.2215290851654488</v>
      </c>
      <c r="H151" s="59">
        <f>'Financial Statements'!F339/'Financial Statements'!F$345</f>
        <v>1.2903502942082314</v>
      </c>
      <c r="I151" s="59">
        <f>'Financial Statements'!G339/'Financial Statements'!G$345</f>
        <v>1.0707555228470425</v>
      </c>
      <c r="J151" s="59">
        <f>'Financial Statements'!H339/'Financial Statements'!H$345</f>
        <v>1.0432516301107257</v>
      </c>
      <c r="K151" s="59">
        <f>'Financial Statements'!I339/'Financial Statements'!I$345</f>
        <v>1.1682411496882599</v>
      </c>
      <c r="L151" s="59">
        <f>'Financial Statements'!J339/'Financial Statements'!J$345</f>
        <v>1.1774714522606351</v>
      </c>
      <c r="M151" s="59">
        <f>'Financial Statements'!K339/'Financial Statements'!K$345</f>
        <v>1.1185661153052699</v>
      </c>
      <c r="N151" s="59">
        <f>'Financial Statements'!L339/'Financial Statements'!L$345</f>
        <v>1.1019719336613814</v>
      </c>
      <c r="O151" s="46"/>
      <c r="P151" s="59">
        <f>'Financial Statements'!N339/'Financial Statements'!N$345</f>
        <v>1.1019719336613814</v>
      </c>
      <c r="Q151" s="2"/>
    </row>
    <row r="152" spans="1:17" ht="12.75" customHeight="1" x14ac:dyDescent="0.25">
      <c r="A152" s="2" t="str">
        <f>'Language Index'!A363</f>
        <v>Treasury Stock</v>
      </c>
      <c r="B152" s="17"/>
      <c r="C152" s="17"/>
      <c r="D152" s="59">
        <f>'Financial Statements'!B340/'Financial Statements'!B$345</f>
        <v>-1.2851855957568368</v>
      </c>
      <c r="E152" s="59">
        <f>'Financial Statements'!C340/'Financial Statements'!C$345</f>
        <v>-1.4074664011946243</v>
      </c>
      <c r="F152" s="59">
        <f>'Financial Statements'!D340/'Financial Statements'!D$345</f>
        <v>-1.3539627138843959</v>
      </c>
      <c r="G152" s="59">
        <f>'Financial Statements'!E340/'Financial Statements'!E$345</f>
        <v>-1.304341236159418</v>
      </c>
      <c r="H152" s="59">
        <f>'Financial Statements'!F340/'Financial Statements'!F$345</f>
        <v>-1.3622003209544342</v>
      </c>
      <c r="I152" s="59">
        <f>'Financial Statements'!G340/'Financial Statements'!G$345</f>
        <v>-1.1131970089232912</v>
      </c>
      <c r="J152" s="59">
        <f>'Financial Statements'!H340/'Financial Statements'!H$345</f>
        <v>-1.0857082406344769</v>
      </c>
      <c r="K152" s="59">
        <f>'Financial Statements'!I340/'Financial Statements'!I$345</f>
        <v>-1.283263005583291</v>
      </c>
      <c r="L152" s="59">
        <f>'Financial Statements'!J340/'Financial Statements'!J$345</f>
        <v>-1.3319711103950709</v>
      </c>
      <c r="M152" s="59">
        <f>'Financial Statements'!K340/'Financial Statements'!K$345</f>
        <v>-1.2542350322757152</v>
      </c>
      <c r="N152" s="59">
        <f>'Financial Statements'!L340/'Financial Statements'!L$345</f>
        <v>-1.2390595954073265</v>
      </c>
      <c r="O152" s="46"/>
      <c r="P152" s="59">
        <f>'Financial Statements'!N340/'Financial Statements'!N$345</f>
        <v>-1.2390595954073265</v>
      </c>
      <c r="Q152" s="2"/>
    </row>
    <row r="153" spans="1:17" ht="12.75" customHeight="1" x14ac:dyDescent="0.25">
      <c r="A153" s="2" t="str">
        <f>'Language Index'!A364</f>
        <v>Comprehensive Inc. and Other</v>
      </c>
      <c r="B153" s="17"/>
      <c r="C153" s="17"/>
      <c r="D153" s="59">
        <f>'Financial Statements'!B341/'Financial Statements'!B$345</f>
        <v>-0.23770582667496654</v>
      </c>
      <c r="E153" s="59">
        <f>'Financial Statements'!C341/'Financial Statements'!C$345</f>
        <v>-0.26793972577944702</v>
      </c>
      <c r="F153" s="59">
        <f>'Financial Statements'!D341/'Financial Statements'!D$345</f>
        <v>-0.25025964075934282</v>
      </c>
      <c r="G153" s="59">
        <f>'Financial Statements'!E341/'Financial Statements'!E$345</f>
        <v>-0.2121238712147803</v>
      </c>
      <c r="H153" s="59">
        <f>'Financial Statements'!F341/'Financial Statements'!F$345</f>
        <v>-0.23901379455674249</v>
      </c>
      <c r="I153" s="59">
        <f>'Financial Statements'!G341/'Financial Statements'!G$345</f>
        <v>-0.18789507576255371</v>
      </c>
      <c r="J153" s="59">
        <f>'Financial Statements'!H341/'Financial Statements'!H$345</f>
        <v>-0.18809265825057223</v>
      </c>
      <c r="K153" s="59">
        <f>'Financial Statements'!I341/'Financial Statements'!I$345</f>
        <v>-0.17602139377731987</v>
      </c>
      <c r="L153" s="59">
        <f>'Financial Statements'!J341/'Financial Statements'!J$345</f>
        <v>-0.13155929992219612</v>
      </c>
      <c r="M153" s="59">
        <f>'Financial Statements'!K341/'Financial Statements'!K$345</f>
        <v>-0.13873011882491257</v>
      </c>
      <c r="N153" s="59">
        <f>'Financial Statements'!L341/'Financial Statements'!L$345</f>
        <v>-0.11130308000728996</v>
      </c>
      <c r="O153" s="46"/>
      <c r="P153" s="59">
        <f>'Financial Statements'!N341/'Financial Statements'!N$345</f>
        <v>-0.11130308000728996</v>
      </c>
      <c r="Q153" s="2"/>
    </row>
    <row r="154" spans="1:17" ht="12.75" customHeight="1" x14ac:dyDescent="0.25">
      <c r="A154" s="19" t="str">
        <f>'Language Index'!A365</f>
        <v>Total Common Equity</v>
      </c>
      <c r="B154" s="19"/>
      <c r="C154" s="19"/>
      <c r="D154" s="60">
        <f>'Financial Statements'!B342/'Financial Statements'!B$345</f>
        <v>0.10120149056458971</v>
      </c>
      <c r="E154" s="60">
        <f>'Financial Statements'!C342/'Financial Statements'!C$345</f>
        <v>0.12907371374270329</v>
      </c>
      <c r="F154" s="60">
        <f>'Financial Statements'!D342/'Financial Statements'!D$345</f>
        <v>0.15532476376947305</v>
      </c>
      <c r="G154" s="60">
        <f>'Financial Statements'!E342/'Financial Statements'!E$345</f>
        <v>0.14035227671591308</v>
      </c>
      <c r="H154" s="60">
        <f>'Financial Statements'!F342/'Financial Statements'!F$345</f>
        <v>0.13613006759494903</v>
      </c>
      <c r="I154" s="60">
        <f>'Financial Statements'!G342/'Financial Statements'!G$345</f>
        <v>0.13694426556976333</v>
      </c>
      <c r="J154" s="60">
        <f>'Financial Statements'!H342/'Financial Statements'!H$345</f>
        <v>0.13205660026543395</v>
      </c>
      <c r="K154" s="60">
        <f>'Financial Statements'!I342/'Financial Statements'!I$345</f>
        <v>0.14318830917947592</v>
      </c>
      <c r="L154" s="60">
        <f>'Financial Statements'!J342/'Financial Statements'!J$345</f>
        <v>0.17245742398403055</v>
      </c>
      <c r="M154" s="60">
        <f>'Financial Statements'!K342/'Financial Statements'!K$345</f>
        <v>0.16661367484712475</v>
      </c>
      <c r="N154" s="60">
        <f>'Financial Statements'!L342/'Financial Statements'!L$345</f>
        <v>0.19906688536540915</v>
      </c>
      <c r="O154" s="61"/>
      <c r="P154" s="60">
        <f>'Financial Statements'!N342/'Financial Statements'!N$345</f>
        <v>0.19906688536540915</v>
      </c>
      <c r="Q154" s="62"/>
    </row>
    <row r="155" spans="1:17" ht="12.75" customHeight="1" x14ac:dyDescent="0.25">
      <c r="A155" s="19"/>
      <c r="B155" s="19"/>
      <c r="C155" s="19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1"/>
      <c r="P155" s="64"/>
      <c r="Q155" s="62"/>
    </row>
    <row r="156" spans="1:17" ht="12.75" customHeight="1" x14ac:dyDescent="0.25">
      <c r="A156" s="2" t="str">
        <f>'Language Index'!A366</f>
        <v>Minority Interest</v>
      </c>
      <c r="B156" s="16"/>
      <c r="C156" s="16"/>
      <c r="D156" s="59">
        <f>'Financial Statements'!B343/'Financial Statements'!B$345</f>
        <v>1.2449795772185791E-3</v>
      </c>
      <c r="E156" s="59">
        <f>'Financial Statements'!C343/'Financial Statements'!C$345</f>
        <v>1.4661296891262047E-3</v>
      </c>
      <c r="F156" s="59">
        <f>'Financial Statements'!D343/'Financial Statements'!D$345</f>
        <v>1.2428705201327998E-3</v>
      </c>
      <c r="G156" s="59">
        <f>'Financial Statements'!E343/'Financial Statements'!E$345</f>
        <v>1.0450237722964995E-3</v>
      </c>
      <c r="H156" s="59">
        <f>'Financial Statements'!F343/'Financial Statements'!F$345</f>
        <v>1.0860579338963544E-3</v>
      </c>
      <c r="I156" s="59">
        <f>'Financial Statements'!G343/'Financial Statements'!G$345</f>
        <v>9.4621055813281119E-4</v>
      </c>
      <c r="J156" s="59">
        <f>'Financial Statements'!H343/'Financial Statements'!H$345</f>
        <v>8.2707682838476383E-4</v>
      </c>
      <c r="K156" s="59">
        <f>'Financial Statements'!I343/'Financial Statements'!I$345</f>
        <v>7.1969151748850382E-4</v>
      </c>
      <c r="L156" s="59">
        <f>'Financial Statements'!J343/'Financial Statements'!J$345</f>
        <v>6.0514134372814221E-4</v>
      </c>
      <c r="M156" s="59">
        <f>'Financial Statements'!K343/'Financial Statements'!K$345</f>
        <v>5.915365902352097E-4</v>
      </c>
      <c r="N156" s="59">
        <f>'Financial Statements'!L343/'Financial Statements'!L$345</f>
        <v>6.2693639511572803E-4</v>
      </c>
      <c r="O156" s="46"/>
      <c r="P156" s="59">
        <f>'Financial Statements'!N343/'Financial Statements'!N$345</f>
        <v>6.2693639511572803E-4</v>
      </c>
      <c r="Q156" s="2"/>
    </row>
    <row r="157" spans="1:17" ht="12.75" customHeight="1" x14ac:dyDescent="0.25">
      <c r="A157" s="9" t="str">
        <f>'Language Index'!A367</f>
        <v>Total Equity</v>
      </c>
      <c r="B157" s="35"/>
      <c r="C157" s="35"/>
      <c r="D157" s="60">
        <f>'Financial Statements'!B344/'Financial Statements'!B$345</f>
        <v>0.10244647014180829</v>
      </c>
      <c r="E157" s="60">
        <f>'Financial Statements'!C344/'Financial Statements'!C$345</f>
        <v>0.13053984343182951</v>
      </c>
      <c r="F157" s="60">
        <f>'Financial Statements'!D344/'Financial Statements'!D$345</f>
        <v>0.15656763428960585</v>
      </c>
      <c r="G157" s="60">
        <f>'Financial Statements'!E344/'Financial Statements'!E$345</f>
        <v>0.14139730048820959</v>
      </c>
      <c r="H157" s="60">
        <f>'Financial Statements'!F344/'Financial Statements'!F$345</f>
        <v>0.13721612552884538</v>
      </c>
      <c r="I157" s="60">
        <f>'Financial Statements'!G344/'Financial Statements'!G$345</f>
        <v>0.13789047612789612</v>
      </c>
      <c r="J157" s="60">
        <f>'Financial Statements'!H344/'Financial Statements'!H$345</f>
        <v>0.13288367709381874</v>
      </c>
      <c r="K157" s="60">
        <f>'Financial Statements'!I344/'Financial Statements'!I$345</f>
        <v>0.14390800069696441</v>
      </c>
      <c r="L157" s="60">
        <f>'Financial Statements'!J344/'Financial Statements'!J$345</f>
        <v>0.17306256532775871</v>
      </c>
      <c r="M157" s="60">
        <f>'Financial Statements'!K344/'Financial Statements'!K$345</f>
        <v>0.16720521143735997</v>
      </c>
      <c r="N157" s="60">
        <f>'Financial Statements'!L344/'Financial Statements'!L$345</f>
        <v>0.19969382176052489</v>
      </c>
      <c r="O157" s="61"/>
      <c r="P157" s="60">
        <f>'Financial Statements'!N344/'Financial Statements'!N$345</f>
        <v>0.19969382176052489</v>
      </c>
      <c r="Q157" s="62"/>
    </row>
    <row r="158" spans="1:17" ht="12.75" customHeight="1" x14ac:dyDescent="0.25">
      <c r="A158" s="16"/>
      <c r="B158" s="16"/>
      <c r="C158" s="16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46"/>
      <c r="P158" s="59"/>
      <c r="Q158" s="62"/>
    </row>
    <row r="159" spans="1:17" ht="12.75" customHeight="1" thickBot="1" x14ac:dyDescent="0.3">
      <c r="A159" s="35" t="str">
        <f>'Language Index'!A368</f>
        <v>Total Liabilities And Equity</v>
      </c>
      <c r="B159" s="35"/>
      <c r="C159" s="35"/>
      <c r="D159" s="65">
        <f>'Financial Statements'!B345/'Financial Statements'!B$345</f>
        <v>1</v>
      </c>
      <c r="E159" s="65">
        <f>'Financial Statements'!C345/'Financial Statements'!C$345</f>
        <v>1</v>
      </c>
      <c r="F159" s="65">
        <f>'Financial Statements'!D345/'Financial Statements'!D$345</f>
        <v>1</v>
      </c>
      <c r="G159" s="65">
        <f>'Financial Statements'!E345/'Financial Statements'!E$345</f>
        <v>1</v>
      </c>
      <c r="H159" s="65">
        <f>'Financial Statements'!F345/'Financial Statements'!F$345</f>
        <v>1</v>
      </c>
      <c r="I159" s="65">
        <f>'Financial Statements'!G345/'Financial Statements'!G$345</f>
        <v>1</v>
      </c>
      <c r="J159" s="65">
        <f>'Financial Statements'!H345/'Financial Statements'!H$345</f>
        <v>1</v>
      </c>
      <c r="K159" s="65">
        <f>'Financial Statements'!I345/'Financial Statements'!I$345</f>
        <v>1</v>
      </c>
      <c r="L159" s="65">
        <f>'Financial Statements'!J345/'Financial Statements'!J$345</f>
        <v>1</v>
      </c>
      <c r="M159" s="65">
        <f>'Financial Statements'!K345/'Financial Statements'!K$345</f>
        <v>1</v>
      </c>
      <c r="N159" s="65">
        <f>'Financial Statements'!L345/'Financial Statements'!L$345</f>
        <v>1</v>
      </c>
      <c r="O159" s="61"/>
      <c r="P159" s="65">
        <f>'Financial Statements'!N345/'Financial Statements'!N$345</f>
        <v>1</v>
      </c>
      <c r="Q159" s="62"/>
    </row>
    <row r="160" spans="1:17" ht="12.75" customHeight="1" thickTop="1" x14ac:dyDescent="0.25">
      <c r="A160" s="6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2"/>
    </row>
    <row r="161" spans="1:17" ht="12.75" customHeight="1" x14ac:dyDescent="0.25">
      <c r="A161" s="197" t="str">
        <f>'Language Index'!A770</f>
        <v>Source: S&amp;P Capital IQ</v>
      </c>
      <c r="B161" s="2"/>
      <c r="C161" s="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2"/>
    </row>
    <row r="162" spans="1:17" ht="26.25" customHeight="1" x14ac:dyDescent="0.25">
      <c r="A162" s="247" t="str">
        <f>'Language Index'!A771</f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162" s="247"/>
      <c r="C162" s="247"/>
      <c r="D162" s="247"/>
      <c r="E162" s="247"/>
      <c r="F162" s="247"/>
      <c r="G162" s="247"/>
      <c r="H162" s="247"/>
      <c r="I162" s="247"/>
      <c r="J162" s="247"/>
      <c r="K162" s="247"/>
      <c r="L162" s="247"/>
      <c r="M162" s="247"/>
      <c r="N162" s="247"/>
      <c r="O162" s="247"/>
      <c r="P162" s="247"/>
      <c r="Q162" s="2"/>
    </row>
    <row r="163" spans="1:17" ht="12.75" customHeight="1" x14ac:dyDescent="0.25">
      <c r="A163" s="2"/>
      <c r="B163" s="2"/>
      <c r="C163" s="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2"/>
    </row>
  </sheetData>
  <mergeCells count="1">
    <mergeCell ref="A162:P162"/>
  </mergeCells>
  <phoneticPr fontId="6" type="noConversion"/>
  <printOptions horizontalCentered="1"/>
  <pageMargins left="0" right="0" top="0" bottom="0" header="0.5" footer="0.5"/>
  <pageSetup scale="55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5"/>
  <sheetViews>
    <sheetView showGridLines="0" zoomScale="85" zoomScaleNormal="85" zoomScaleSheetLayoutView="85" workbookViewId="0"/>
  </sheetViews>
  <sheetFormatPr defaultRowHeight="13.2" x14ac:dyDescent="0.25"/>
  <cols>
    <col min="1" max="1" width="9" customWidth="1"/>
    <col min="2" max="2" width="1.6640625" customWidth="1"/>
    <col min="3" max="3" width="32" customWidth="1"/>
    <col min="4" max="4" width="2.44140625" customWidth="1"/>
    <col min="5" max="5" width="12.33203125" customWidth="1"/>
    <col min="6" max="6" width="1.6640625" customWidth="1"/>
    <col min="7" max="7" width="12.33203125" customWidth="1"/>
    <col min="8" max="8" width="4.33203125" customWidth="1"/>
    <col min="9" max="9" width="13" customWidth="1"/>
    <col min="10" max="10" width="1.6640625" customWidth="1"/>
    <col min="11" max="11" width="10.44140625" customWidth="1"/>
    <col min="12" max="12" width="1.6640625" customWidth="1"/>
    <col min="13" max="13" width="11" customWidth="1"/>
    <col min="14" max="14" width="1.6640625" customWidth="1"/>
    <col min="15" max="15" width="10.6640625" customWidth="1"/>
    <col min="16" max="16" width="1.6640625" customWidth="1"/>
    <col min="17" max="17" width="10.6640625" customWidth="1"/>
    <col min="18" max="18" width="4.33203125" customWidth="1"/>
    <col min="19" max="19" width="11.44140625" customWidth="1"/>
    <col min="20" max="20" width="1.6640625" customWidth="1"/>
    <col min="21" max="21" width="13.109375" customWidth="1"/>
    <col min="22" max="22" width="1.6640625" customWidth="1"/>
    <col min="23" max="23" width="10" customWidth="1"/>
    <col min="24" max="24" width="1.6640625" customWidth="1"/>
    <col min="25" max="25" width="10.5546875" customWidth="1"/>
    <col min="26" max="26" width="1.6640625" customWidth="1"/>
    <col min="27" max="27" width="10.5546875" customWidth="1"/>
    <col min="28" max="28" width="1.6640625" customWidth="1"/>
    <col min="29" max="29" width="10.109375" customWidth="1"/>
    <col min="30" max="30" width="1.6640625" customWidth="1"/>
    <col min="31" max="31" width="11.6640625" customWidth="1"/>
    <col min="32" max="32" width="3.33203125" customWidth="1"/>
    <col min="33" max="33" width="10.109375" customWidth="1"/>
    <col min="34" max="34" width="1.6640625" customWidth="1"/>
    <col min="35" max="35" width="11" customWidth="1"/>
    <col min="36" max="36" width="1.6640625" customWidth="1"/>
    <col min="37" max="37" width="10.6640625" customWidth="1"/>
    <col min="38" max="38" width="1.6640625" customWidth="1"/>
    <col min="39" max="39" width="10.5546875" customWidth="1"/>
    <col min="40" max="40" width="4" customWidth="1"/>
    <col min="41" max="41" width="10.33203125" customWidth="1"/>
    <col min="42" max="42" width="1.6640625" customWidth="1"/>
    <col min="43" max="43" width="10" customWidth="1"/>
    <col min="44" max="44" width="1.6640625" customWidth="1"/>
    <col min="45" max="45" width="10.33203125" customWidth="1"/>
    <col min="46" max="46" width="1.6640625" customWidth="1"/>
    <col min="47" max="47" width="9.88671875" customWidth="1"/>
    <col min="48" max="48" width="3.33203125" customWidth="1"/>
    <col min="49" max="49" width="10.33203125" customWidth="1"/>
    <col min="50" max="50" width="1.6640625" customWidth="1"/>
    <col min="51" max="51" width="10.5546875" customWidth="1"/>
    <col min="52" max="52" width="1.6640625" customWidth="1"/>
    <col min="53" max="53" width="10.44140625" customWidth="1"/>
    <col min="54" max="54" width="1.6640625" customWidth="1"/>
    <col min="55" max="55" width="9.88671875" customWidth="1"/>
    <col min="56" max="56" width="3.33203125" customWidth="1"/>
    <col min="57" max="57" width="8.5546875" customWidth="1"/>
    <col min="58" max="58" width="1.6640625" customWidth="1"/>
    <col min="59" max="59" width="8.88671875" customWidth="1"/>
    <col min="60" max="60" width="1.6640625" customWidth="1"/>
    <col min="61" max="61" width="8.6640625" customWidth="1"/>
    <col min="62" max="62" width="1.6640625" customWidth="1"/>
    <col min="63" max="63" width="7.88671875" customWidth="1"/>
    <col min="64" max="64" width="3.44140625" customWidth="1"/>
    <col min="65" max="65" width="8.33203125" customWidth="1"/>
    <col min="66" max="66" width="1.6640625" customWidth="1"/>
    <col min="68" max="68" width="1.6640625" customWidth="1"/>
    <col min="69" max="69" width="10.33203125" customWidth="1"/>
    <col min="70" max="70" width="1.6640625" customWidth="1"/>
    <col min="72" max="72" width="3.5546875" customWidth="1"/>
    <col min="73" max="73" width="10" customWidth="1"/>
    <col min="74" max="74" width="1.6640625" customWidth="1"/>
    <col min="75" max="75" width="10.109375" customWidth="1"/>
    <col min="76" max="76" width="1.6640625" customWidth="1"/>
    <col min="77" max="77" width="9.5546875" customWidth="1"/>
    <col min="78" max="78" width="1.6640625" customWidth="1"/>
    <col min="79" max="79" width="10.33203125" customWidth="1"/>
    <col min="80" max="80" width="1.6640625" customWidth="1"/>
    <col min="81" max="81" width="8.5546875" customWidth="1"/>
    <col min="82" max="82" width="1.6640625" customWidth="1"/>
    <col min="83" max="83" width="8.5546875" customWidth="1"/>
    <col min="84" max="84" width="3.33203125" customWidth="1"/>
    <col min="85" max="85" width="10.6640625" customWidth="1"/>
    <col min="86" max="86" width="1.6640625" customWidth="1"/>
    <col min="87" max="87" width="10.6640625" customWidth="1"/>
    <col min="88" max="88" width="1.6640625" customWidth="1"/>
    <col min="89" max="89" width="10.6640625" customWidth="1"/>
    <col min="90" max="90" width="1.6640625" customWidth="1"/>
    <col min="91" max="91" width="10.6640625" customWidth="1"/>
    <col min="92" max="92" width="1.6640625" customWidth="1"/>
    <col min="93" max="93" width="10.6640625" customWidth="1"/>
    <col min="94" max="94" width="1.6640625" customWidth="1"/>
    <col min="95" max="95" width="10.6640625" customWidth="1"/>
    <col min="96" max="96" width="1.6640625" customWidth="1"/>
    <col min="97" max="97" width="10.6640625" customWidth="1"/>
    <col min="98" max="98" width="1.6640625" customWidth="1"/>
    <col min="99" max="99" width="10.6640625" customWidth="1"/>
    <col min="100" max="100" width="1.6640625" customWidth="1"/>
    <col min="101" max="101" width="10.6640625" customWidth="1"/>
    <col min="102" max="102" width="1.6640625" customWidth="1"/>
    <col min="103" max="103" width="10.6640625" customWidth="1"/>
    <col min="104" max="104" width="1.6640625" customWidth="1"/>
    <col min="105" max="105" width="10.6640625" customWidth="1"/>
    <col min="106" max="106" width="1.6640625" customWidth="1"/>
    <col min="107" max="107" width="12.6640625" customWidth="1"/>
    <col min="108" max="108" width="3.33203125" customWidth="1"/>
    <col min="109" max="109" width="11.6640625" customWidth="1"/>
    <col min="110" max="110" width="1.6640625" customWidth="1"/>
    <col min="111" max="111" width="11.6640625" customWidth="1"/>
    <col min="112" max="112" width="1.6640625" customWidth="1"/>
    <col min="113" max="113" width="11.6640625" customWidth="1"/>
    <col min="114" max="114" width="1.6640625" customWidth="1"/>
    <col min="115" max="115" width="10.6640625" customWidth="1"/>
    <col min="116" max="116" width="1.6640625" customWidth="1"/>
    <col min="117" max="117" width="11.6640625" customWidth="1"/>
    <col min="118" max="118" width="1.6640625" customWidth="1"/>
    <col min="119" max="119" width="11.6640625" customWidth="1"/>
    <col min="120" max="120" width="1.6640625" customWidth="1"/>
    <col min="121" max="121" width="10.6640625" customWidth="1"/>
    <col min="122" max="122" width="1.6640625" customWidth="1"/>
    <col min="123" max="123" width="11.6640625" customWidth="1"/>
    <col min="124" max="124" width="1.6640625" customWidth="1"/>
    <col min="125" max="125" width="11.6640625" customWidth="1"/>
    <col min="126" max="126" width="1.6640625" customWidth="1"/>
    <col min="127" max="127" width="11.6640625" customWidth="1"/>
    <col min="128" max="128" width="1.6640625" customWidth="1"/>
    <col min="129" max="129" width="11" customWidth="1"/>
    <col min="130" max="130" width="1.6640625" customWidth="1"/>
    <col min="131" max="131" width="10.6640625" customWidth="1"/>
    <col min="132" max="132" width="3.33203125" customWidth="1"/>
    <col min="133" max="133" width="14" bestFit="1" customWidth="1"/>
    <col min="134" max="134" width="2.44140625" customWidth="1"/>
    <col min="135" max="135" width="14" bestFit="1" customWidth="1"/>
    <col min="136" max="136" width="2.109375" customWidth="1"/>
    <col min="137" max="137" width="14" bestFit="1" customWidth="1"/>
    <col min="138" max="138" width="2.44140625" customWidth="1"/>
    <col min="139" max="139" width="12.6640625" customWidth="1"/>
    <col min="140" max="140" width="2.44140625" customWidth="1"/>
    <col min="141" max="141" width="18" customWidth="1"/>
    <col min="142" max="142" width="2.44140625" customWidth="1"/>
    <col min="143" max="143" width="14.88671875" customWidth="1"/>
    <col min="144" max="144" width="2.44140625" customWidth="1"/>
    <col min="145" max="145" width="13.5546875" customWidth="1"/>
    <col min="146" max="146" width="5.44140625" customWidth="1"/>
    <col min="147" max="147" width="11.33203125" customWidth="1"/>
    <col min="148" max="148" width="1.6640625" customWidth="1"/>
    <col min="149" max="149" width="10.5546875" customWidth="1"/>
    <col min="150" max="150" width="1.6640625" customWidth="1"/>
    <col min="151" max="151" width="9.88671875" customWidth="1"/>
    <col min="152" max="152" width="3.33203125" customWidth="1"/>
    <col min="153" max="153" width="12.6640625" customWidth="1"/>
    <col min="154" max="154" width="1.6640625" customWidth="1"/>
    <col min="155" max="155" width="13.44140625" customWidth="1"/>
    <col min="156" max="156" width="1.6640625" customWidth="1"/>
    <col min="157" max="157" width="13.88671875" customWidth="1"/>
    <col min="158" max="158" width="1.6640625" customWidth="1"/>
    <col min="159" max="159" width="12.88671875" customWidth="1"/>
    <col min="160" max="160" width="1.6640625" customWidth="1"/>
    <col min="161" max="161" width="17.33203125" bestFit="1" customWidth="1"/>
    <col min="162" max="162" width="1.6640625" customWidth="1"/>
    <col min="163" max="163" width="16.44140625" bestFit="1" customWidth="1"/>
    <col min="164" max="164" width="4.6640625" customWidth="1"/>
    <col min="165" max="165" width="13" customWidth="1"/>
    <col min="166" max="166" width="2.109375" customWidth="1"/>
    <col min="167" max="167" width="12.88671875" customWidth="1"/>
    <col min="168" max="168" width="2.44140625" customWidth="1"/>
    <col min="169" max="169" width="11" customWidth="1"/>
    <col min="170" max="170" width="2.44140625" customWidth="1"/>
    <col min="171" max="171" width="10.88671875" customWidth="1"/>
    <col min="172" max="172" width="3.33203125" customWidth="1"/>
    <col min="174" max="174" width="10.109375" bestFit="1" customWidth="1"/>
  </cols>
  <sheetData>
    <row r="1" spans="1:256" s="81" customFormat="1" ht="32.1" customHeight="1" x14ac:dyDescent="0.5">
      <c r="A1" s="47" t="str">
        <f>'Language Index'!A807</f>
        <v>COMPARABLE COMPANY ANALYSIS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127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7"/>
      <c r="BF1" s="128"/>
      <c r="BG1" s="128"/>
      <c r="BH1" s="128"/>
      <c r="BI1" s="128"/>
      <c r="BJ1" s="128"/>
      <c r="BK1" s="128"/>
      <c r="BL1" s="128"/>
      <c r="BM1" s="128"/>
      <c r="BN1" s="128"/>
      <c r="BO1" s="128"/>
      <c r="BP1" s="128"/>
      <c r="BQ1" s="128"/>
      <c r="BR1" s="128"/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7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7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  <c r="DY1" s="128"/>
      <c r="DZ1" s="128"/>
      <c r="EA1" s="128"/>
      <c r="EB1" s="128"/>
      <c r="EC1" s="127"/>
      <c r="ED1" s="128"/>
      <c r="EE1" s="128"/>
      <c r="EF1" s="128"/>
      <c r="EG1" s="128"/>
      <c r="EH1" s="128"/>
      <c r="EI1" s="128"/>
      <c r="EJ1" s="128"/>
      <c r="EK1" s="128"/>
      <c r="EL1" s="128"/>
      <c r="EM1" s="128"/>
      <c r="EN1" s="128"/>
      <c r="EO1" s="128"/>
      <c r="EP1" s="128"/>
      <c r="EQ1" s="128"/>
      <c r="ER1" s="128"/>
      <c r="ES1" s="128"/>
      <c r="ET1" s="128"/>
      <c r="EU1" s="128"/>
      <c r="EV1" s="128"/>
      <c r="EW1" s="127"/>
      <c r="EX1" s="128"/>
      <c r="EY1" s="128"/>
      <c r="EZ1" s="128"/>
      <c r="FA1" s="128"/>
      <c r="FB1" s="128"/>
      <c r="FC1" s="128"/>
      <c r="FD1" s="128"/>
      <c r="FE1" s="128"/>
      <c r="FF1" s="128"/>
      <c r="FG1" s="128"/>
      <c r="FH1" s="128"/>
      <c r="FI1" s="128"/>
      <c r="FJ1" s="128"/>
      <c r="FK1" s="128"/>
      <c r="FL1" s="128"/>
      <c r="FM1" s="128"/>
      <c r="FN1" s="128"/>
      <c r="FO1" s="128"/>
      <c r="FP1" s="128"/>
      <c r="FQ1" s="2"/>
      <c r="FR1" s="2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" customFormat="1" ht="4.5" customHeight="1" x14ac:dyDescent="0.25">
      <c r="A2" s="9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9" customFormat="1" x14ac:dyDescent="0.25">
      <c r="A3" s="82" t="str">
        <f>"("&amp;'Language Index'!A772&amp;" "&amp;Ccy&amp;" "&amp;'Language Index'!A773&amp;")"</f>
        <v>(In USD millions, except per share data)</v>
      </c>
      <c r="E3" s="14" t="str">
        <f>'Language Index'!A776</f>
        <v>Dates</v>
      </c>
      <c r="F3" s="14"/>
      <c r="G3" s="14"/>
      <c r="I3" s="14" t="str">
        <f>'Language Index'!A777</f>
        <v>Trading Data</v>
      </c>
      <c r="J3" s="14"/>
      <c r="K3" s="14"/>
      <c r="L3" s="14"/>
      <c r="M3" s="14"/>
      <c r="N3" s="14"/>
      <c r="O3" s="14"/>
      <c r="P3" s="14"/>
      <c r="Q3" s="14"/>
      <c r="S3" s="14" t="str">
        <f>'Language Index'!A785</f>
        <v>EV Calculation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G3" s="14" t="str">
        <f>'Language Index'!A796</f>
        <v>Financial Data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E3" s="14" t="str">
        <f>'Language Index'!A795</f>
        <v>Trading Multiples</v>
      </c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G3" s="14" t="str">
        <f>'Language Index'!A802</f>
        <v>Margin Analysis (%)</v>
      </c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E3" s="14" t="str">
        <f>'Language Index'!A805</f>
        <v>LTM Growth Rates (%)</v>
      </c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C3" s="14" t="str">
        <f>'Language Index'!A817</f>
        <v>Leverage and Coverage</v>
      </c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Q3" s="14" t="str">
        <f>'Language Index'!A818</f>
        <v>LTM Profitability (%)</v>
      </c>
      <c r="ER3" s="14"/>
      <c r="ES3" s="14"/>
      <c r="ET3" s="14"/>
      <c r="EU3" s="14"/>
      <c r="EW3" s="14" t="str">
        <f>PROPER('Language Index'!A738)</f>
        <v>Short-Term Liquidity</v>
      </c>
      <c r="EX3" s="14"/>
      <c r="EY3" s="14"/>
      <c r="EZ3" s="14"/>
      <c r="FA3" s="14"/>
      <c r="FB3" s="14"/>
      <c r="FC3" s="14"/>
      <c r="FD3" s="14"/>
      <c r="FE3" s="14"/>
      <c r="FF3" s="14"/>
      <c r="FG3" s="14"/>
      <c r="FI3" s="14" t="str">
        <f>PROPER('Language Index'!A733)</f>
        <v>Asset Turnover</v>
      </c>
      <c r="FJ3" s="14"/>
      <c r="FK3" s="14"/>
      <c r="FL3" s="14"/>
      <c r="FM3" s="14"/>
      <c r="FN3" s="14"/>
      <c r="FO3" s="14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9" customFormat="1" x14ac:dyDescent="0.25">
      <c r="I4" s="83" t="str">
        <f>'Language Index'!A778</f>
        <v>Stock Price</v>
      </c>
      <c r="K4" s="83" t="str">
        <f>'Language Index'!A779</f>
        <v>52-Week</v>
      </c>
      <c r="M4" s="83" t="str">
        <f>'Language Index'!A779</f>
        <v>52-Week</v>
      </c>
      <c r="O4" s="83" t="str">
        <f>'Language Index'!A782</f>
        <v>% of</v>
      </c>
      <c r="Q4" s="83" t="str">
        <f>'Language Index'!A782</f>
        <v>% of</v>
      </c>
      <c r="AG4" s="84" t="str">
        <f>'Language Index'!A792</f>
        <v>Total Revenue</v>
      </c>
      <c r="AH4" s="84"/>
      <c r="AI4" s="84"/>
      <c r="AJ4" s="84"/>
      <c r="AK4" s="84"/>
      <c r="AL4" s="84"/>
      <c r="AM4" s="84"/>
      <c r="AO4" s="84" t="str">
        <f>'Language Index'!A105</f>
        <v>EBITDA</v>
      </c>
      <c r="AP4" s="84"/>
      <c r="AQ4" s="84"/>
      <c r="AR4" s="84"/>
      <c r="AS4" s="84"/>
      <c r="AT4" s="84"/>
      <c r="AU4" s="84"/>
      <c r="AW4" s="84" t="str">
        <f>'Language Index'!A89</f>
        <v>Diluted EPS</v>
      </c>
      <c r="AX4" s="84"/>
      <c r="AY4" s="84"/>
      <c r="AZ4" s="84"/>
      <c r="BA4" s="84"/>
      <c r="BB4" s="84"/>
      <c r="BC4" s="84"/>
      <c r="BE4" s="84" t="str">
        <f>'Language Index'!A793</f>
        <v>TEV/Total Revenue</v>
      </c>
      <c r="BF4" s="84"/>
      <c r="BG4" s="84"/>
      <c r="BH4" s="84"/>
      <c r="BI4" s="84"/>
      <c r="BJ4" s="84"/>
      <c r="BK4" s="84"/>
      <c r="BM4" s="84" t="str">
        <f>'Language Index'!A794</f>
        <v>TEV/EBITDA</v>
      </c>
      <c r="BN4" s="84"/>
      <c r="BO4" s="84"/>
      <c r="BP4" s="84"/>
      <c r="BQ4" s="84"/>
      <c r="BR4" s="84"/>
      <c r="BS4" s="84"/>
      <c r="BU4" s="84" t="str">
        <f>'Language Index'!A797</f>
        <v>PE</v>
      </c>
      <c r="BV4" s="84"/>
      <c r="BW4" s="84"/>
      <c r="BX4" s="84"/>
      <c r="BY4" s="84"/>
      <c r="BZ4" s="84"/>
      <c r="CA4" s="84"/>
      <c r="CB4" s="85"/>
      <c r="CC4" s="83" t="str">
        <f>'Language Index'!A798</f>
        <v>Price /</v>
      </c>
      <c r="CE4" s="83" t="str">
        <f>'Language Index'!A798</f>
        <v>Price /</v>
      </c>
      <c r="CG4" s="86" t="str">
        <f>'Language Index'!A801</f>
        <v>Gross Margin</v>
      </c>
      <c r="CH4" s="86"/>
      <c r="CI4" s="86"/>
      <c r="CJ4" s="86"/>
      <c r="CK4" s="86"/>
      <c r="CL4" s="86"/>
      <c r="CM4" s="86"/>
      <c r="CO4" s="86" t="str">
        <f>'Language Index'!A803</f>
        <v>EBITDA Margin</v>
      </c>
      <c r="CP4" s="86"/>
      <c r="CQ4" s="86"/>
      <c r="CR4" s="86"/>
      <c r="CS4" s="86"/>
      <c r="CT4" s="86"/>
      <c r="CU4" s="86"/>
      <c r="CW4" s="86" t="str">
        <f>'Language Index'!A804</f>
        <v>Net Income Margin</v>
      </c>
      <c r="CX4" s="86"/>
      <c r="CY4" s="86"/>
      <c r="CZ4" s="86"/>
      <c r="DA4" s="86"/>
      <c r="DB4" s="86"/>
      <c r="DC4" s="86"/>
      <c r="DE4" s="86" t="str">
        <f>'Language Index'!A792</f>
        <v>Total Revenue</v>
      </c>
      <c r="DF4" s="86"/>
      <c r="DG4" s="86"/>
      <c r="DH4" s="86"/>
      <c r="DI4" s="86"/>
      <c r="DJ4" s="86"/>
      <c r="DK4" s="86"/>
      <c r="DM4" s="86" t="str">
        <f>'Language Index'!A105</f>
        <v>EBITDA</v>
      </c>
      <c r="DN4" s="86"/>
      <c r="DO4" s="86"/>
      <c r="DP4" s="86"/>
      <c r="DQ4" s="86"/>
      <c r="DR4" s="86"/>
      <c r="DS4" s="86"/>
      <c r="DU4" s="86" t="str">
        <f>'Language Index'!A806</f>
        <v>EPS</v>
      </c>
      <c r="DV4" s="86"/>
      <c r="DW4" s="86"/>
      <c r="DX4" s="86"/>
      <c r="DY4" s="86"/>
      <c r="DZ4" s="86"/>
      <c r="EA4" s="86"/>
      <c r="EC4" s="83" t="str">
        <f>'Language Index'!A808</f>
        <v>Total Debt/</v>
      </c>
      <c r="ED4" s="83"/>
      <c r="EE4" s="83" t="str">
        <f>'Language Index'!A810</f>
        <v>Net Debt/</v>
      </c>
      <c r="EF4" s="83"/>
      <c r="EG4" s="83" t="str">
        <f>'Language Index'!A811</f>
        <v>(Debt+Pref)/</v>
      </c>
      <c r="EH4" s="83"/>
      <c r="EI4" s="83" t="str">
        <f>'Language Index'!A812</f>
        <v>EBITDA/</v>
      </c>
      <c r="EJ4" s="83"/>
      <c r="EK4" s="83" t="str">
        <f>'Language Index'!A814</f>
        <v>(EBITDA-Capex)/</v>
      </c>
      <c r="EL4" s="83"/>
      <c r="EM4" s="83" t="str">
        <f>'Language Index'!A808</f>
        <v>Total Debt/</v>
      </c>
      <c r="EO4" s="83" t="str">
        <f>'Language Index'!A808</f>
        <v>Total Debt/</v>
      </c>
      <c r="EQ4" s="87"/>
      <c r="ES4" s="87"/>
      <c r="EU4" s="87"/>
      <c r="EW4" s="83" t="str">
        <f>'Language Index'!A27</f>
        <v>Current</v>
      </c>
      <c r="EX4" s="83"/>
      <c r="EY4" s="83" t="str">
        <f>'Language Index'!A823</f>
        <v>Quick</v>
      </c>
      <c r="EZ4" s="83"/>
      <c r="FA4" s="83" t="str">
        <f>'Language Index'!A824</f>
        <v>Avg.</v>
      </c>
      <c r="FB4" s="83"/>
      <c r="FC4" s="83" t="str">
        <f>'Language Index'!A824</f>
        <v>Avg.</v>
      </c>
      <c r="FD4" s="83"/>
      <c r="FE4" s="83" t="str">
        <f>'Language Index'!A824</f>
        <v>Avg.</v>
      </c>
      <c r="FF4" s="83"/>
      <c r="FG4" s="83" t="str">
        <f>'Language Index'!A824</f>
        <v>Avg.</v>
      </c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9" customFormat="1" x14ac:dyDescent="0.25">
      <c r="A5" s="129" t="str">
        <f>'Language Index'!A8</f>
        <v>Ticker</v>
      </c>
      <c r="C5" s="129" t="str">
        <f>'Language Index'!A774</f>
        <v>Name</v>
      </c>
      <c r="E5" s="88" t="str">
        <f>'Language Index'!A866</f>
        <v>FYE</v>
      </c>
      <c r="G5" s="88" t="str">
        <f>'Language Index'!A14</f>
        <v>LTM</v>
      </c>
      <c r="I5" s="89">
        <f>'Financial Statements'!F2</f>
        <v>45748</v>
      </c>
      <c r="K5" s="88" t="str">
        <f>'Language Index'!A780</f>
        <v>High</v>
      </c>
      <c r="M5" s="88" t="str">
        <f>'Language Index'!A781</f>
        <v>Low</v>
      </c>
      <c r="O5" s="88" t="str">
        <f>'Language Index'!A783</f>
        <v>52W High</v>
      </c>
      <c r="Q5" s="88" t="str">
        <f>'Language Index'!A784</f>
        <v>52W Low</v>
      </c>
      <c r="S5" s="88" t="str">
        <f>'Language Index'!A786</f>
        <v>Shares Out</v>
      </c>
      <c r="U5" s="88" t="str">
        <f>'Language Index'!A787</f>
        <v>Market Cap</v>
      </c>
      <c r="W5" s="88" t="str">
        <f>'Language Index'!A788</f>
        <v>Cash</v>
      </c>
      <c r="Y5" s="88" t="str">
        <f>'Language Index'!A402</f>
        <v>Total Debt</v>
      </c>
      <c r="AA5" s="88" t="str">
        <f>'Language Index'!A789</f>
        <v>Pref. Stock</v>
      </c>
      <c r="AC5" s="88" t="str">
        <f>'Language Index'!A790</f>
        <v>Minority Int.</v>
      </c>
      <c r="AE5" s="88" t="str">
        <f>'Language Index'!A791</f>
        <v>TEV</v>
      </c>
      <c r="AF5" s="83"/>
      <c r="AG5" s="90" t="str">
        <f>'Language Index'!A858</f>
        <v>FY</v>
      </c>
      <c r="AH5" s="83"/>
      <c r="AI5" s="90" t="str">
        <f>'Language Index'!A14</f>
        <v>LTM</v>
      </c>
      <c r="AJ5" s="83"/>
      <c r="AK5" s="90" t="str">
        <f>'Language Index'!A859</f>
        <v>CY+1</v>
      </c>
      <c r="AL5" s="83"/>
      <c r="AM5" s="90" t="str">
        <f>'Language Index'!A860</f>
        <v>CY+2</v>
      </c>
      <c r="AN5" s="83"/>
      <c r="AO5" s="90" t="str">
        <f>'Language Index'!A858</f>
        <v>FY</v>
      </c>
      <c r="AP5" s="83"/>
      <c r="AQ5" s="90" t="str">
        <f>'Language Index'!A14</f>
        <v>LTM</v>
      </c>
      <c r="AR5" s="83"/>
      <c r="AS5" s="90" t="str">
        <f>'Language Index'!A859</f>
        <v>CY+1</v>
      </c>
      <c r="AT5" s="83"/>
      <c r="AU5" s="90" t="str">
        <f>'Language Index'!A860</f>
        <v>CY+2</v>
      </c>
      <c r="AV5" s="83"/>
      <c r="AW5" s="88" t="str">
        <f>'Language Index'!A858</f>
        <v>FY</v>
      </c>
      <c r="AX5" s="83"/>
      <c r="AY5" s="88" t="str">
        <f>'Language Index'!A14</f>
        <v>LTM</v>
      </c>
      <c r="AZ5" s="83"/>
      <c r="BA5" s="88" t="str">
        <f>'Language Index'!A859</f>
        <v>CY+1</v>
      </c>
      <c r="BB5" s="83"/>
      <c r="BC5" s="88" t="str">
        <f>'Language Index'!A860</f>
        <v>CY+2</v>
      </c>
      <c r="BD5" s="83"/>
      <c r="BE5" s="88" t="str">
        <f>'Language Index'!A858</f>
        <v>FY</v>
      </c>
      <c r="BF5" s="83"/>
      <c r="BG5" s="88" t="str">
        <f>'Language Index'!A14</f>
        <v>LTM</v>
      </c>
      <c r="BH5" s="83"/>
      <c r="BI5" s="88" t="str">
        <f>'Language Index'!A859</f>
        <v>CY+1</v>
      </c>
      <c r="BJ5" s="83"/>
      <c r="BK5" s="88" t="str">
        <f>'Language Index'!A860</f>
        <v>CY+2</v>
      </c>
      <c r="BL5" s="83"/>
      <c r="BM5" s="88" t="str">
        <f>'Language Index'!A858</f>
        <v>FY</v>
      </c>
      <c r="BN5" s="83"/>
      <c r="BO5" s="88" t="str">
        <f>'Language Index'!A14</f>
        <v>LTM</v>
      </c>
      <c r="BP5" s="83"/>
      <c r="BQ5" s="88" t="str">
        <f>'Language Index'!A859</f>
        <v>CY+1</v>
      </c>
      <c r="BR5" s="83"/>
      <c r="BS5" s="88" t="str">
        <f>'Language Index'!A860</f>
        <v>CY+2</v>
      </c>
      <c r="BT5" s="83"/>
      <c r="BU5" s="88" t="str">
        <f>'Language Index'!A858</f>
        <v>FY</v>
      </c>
      <c r="BV5" s="83"/>
      <c r="BW5" s="88" t="str">
        <f>'Language Index'!A14</f>
        <v>LTM</v>
      </c>
      <c r="BX5" s="83"/>
      <c r="BY5" s="88" t="str">
        <f>'Language Index'!A859</f>
        <v>CY+1</v>
      </c>
      <c r="BZ5" s="83"/>
      <c r="CA5" s="88" t="str">
        <f>'Language Index'!A860</f>
        <v>CY+2</v>
      </c>
      <c r="CB5" s="83"/>
      <c r="CC5" s="91" t="str">
        <f>'Language Index'!A799</f>
        <v>BV</v>
      </c>
      <c r="CD5" s="92"/>
      <c r="CE5" s="84" t="str">
        <f>'Language Index'!A800</f>
        <v>Tangible BV</v>
      </c>
      <c r="CF5" s="83"/>
      <c r="CG5" s="90" t="str">
        <f>'Language Index'!A861</f>
        <v>FY-2</v>
      </c>
      <c r="CH5" s="83"/>
      <c r="CI5" s="90" t="str">
        <f>'Language Index'!A862</f>
        <v>FY-1</v>
      </c>
      <c r="CJ5" s="83"/>
      <c r="CK5" s="90" t="str">
        <f>'Language Index'!A858</f>
        <v>FY</v>
      </c>
      <c r="CL5" s="83"/>
      <c r="CM5" s="90" t="str">
        <f>'Language Index'!A14</f>
        <v>LTM</v>
      </c>
      <c r="CN5" s="83"/>
      <c r="CO5" s="88" t="str">
        <f>'Language Index'!A861</f>
        <v>FY-2</v>
      </c>
      <c r="CP5" s="83"/>
      <c r="CQ5" s="88" t="str">
        <f>'Language Index'!A862</f>
        <v>FY-1</v>
      </c>
      <c r="CR5" s="83"/>
      <c r="CS5" s="88" t="str">
        <f>'Language Index'!A858</f>
        <v>FY</v>
      </c>
      <c r="CT5" s="83"/>
      <c r="CU5" s="88" t="str">
        <f>'Language Index'!A14</f>
        <v>LTM</v>
      </c>
      <c r="CV5" s="83"/>
      <c r="CW5" s="88" t="str">
        <f>'Language Index'!A861</f>
        <v>FY-2</v>
      </c>
      <c r="CX5" s="83"/>
      <c r="CY5" s="88" t="str">
        <f>'Language Index'!A862</f>
        <v>FY-1</v>
      </c>
      <c r="CZ5" s="83"/>
      <c r="DA5" s="88" t="str">
        <f>'Language Index'!A858</f>
        <v>FY</v>
      </c>
      <c r="DB5" s="83"/>
      <c r="DC5" s="88" t="str">
        <f>'Language Index'!A14</f>
        <v>LTM</v>
      </c>
      <c r="DD5" s="83"/>
      <c r="DE5" s="88" t="str">
        <f>'Language Index'!A863</f>
        <v>5-Yr CAGR</v>
      </c>
      <c r="DF5" s="83"/>
      <c r="DG5" s="88" t="str">
        <f>'Language Index'!A864</f>
        <v>3-Yr CAGR</v>
      </c>
      <c r="DH5" s="83"/>
      <c r="DI5" s="88" t="str">
        <f>'Language Index'!A858</f>
        <v>FY</v>
      </c>
      <c r="DJ5" s="83"/>
      <c r="DK5" s="88" t="str">
        <f>'Language Index'!A14</f>
        <v>LTM</v>
      </c>
      <c r="DL5" s="83"/>
      <c r="DM5" s="88" t="str">
        <f>'Language Index'!A863</f>
        <v>5-Yr CAGR</v>
      </c>
      <c r="DN5" s="83"/>
      <c r="DO5" s="88" t="str">
        <f>'Language Index'!A864</f>
        <v>3-Yr CAGR</v>
      </c>
      <c r="DP5" s="83"/>
      <c r="DQ5" s="88" t="str">
        <f>'Language Index'!A858</f>
        <v>FY</v>
      </c>
      <c r="DR5" s="83"/>
      <c r="DS5" s="88" t="str">
        <f>'Language Index'!A14</f>
        <v>LTM</v>
      </c>
      <c r="DT5" s="83"/>
      <c r="DU5" s="88" t="str">
        <f>'Language Index'!A863</f>
        <v>5-Yr CAGR</v>
      </c>
      <c r="DV5" s="83"/>
      <c r="DW5" s="88" t="str">
        <f>'Language Index'!A864</f>
        <v>3-Yr CAGR</v>
      </c>
      <c r="DX5" s="83"/>
      <c r="DY5" s="88" t="str">
        <f>'Language Index'!A858</f>
        <v>FY</v>
      </c>
      <c r="DZ5" s="83"/>
      <c r="EA5" s="88" t="str">
        <f>'Language Index'!A14</f>
        <v>LTM</v>
      </c>
      <c r="EB5" s="83"/>
      <c r="EC5" s="88" t="str">
        <f>'Language Index'!A809</f>
        <v>LTM EBITDA</v>
      </c>
      <c r="ED5" s="83"/>
      <c r="EE5" s="88" t="str">
        <f>'Language Index'!A809</f>
        <v>LTM EBITDA</v>
      </c>
      <c r="EF5" s="83"/>
      <c r="EG5" s="88" t="str">
        <f>'Language Index'!A809</f>
        <v>LTM EBITDA</v>
      </c>
      <c r="EH5" s="83"/>
      <c r="EI5" s="88" t="str">
        <f>'Language Index'!A813</f>
        <v>Interest</v>
      </c>
      <c r="EJ5" s="83"/>
      <c r="EK5" s="88" t="str">
        <f>'Language Index'!A813</f>
        <v>Interest</v>
      </c>
      <c r="EL5" s="83"/>
      <c r="EM5" s="88" t="str">
        <f>'Language Index'!A815</f>
        <v>Total Equity (%)</v>
      </c>
      <c r="EN5" s="83"/>
      <c r="EO5" s="88" t="str">
        <f>'Language Index'!A816</f>
        <v>Total Cap. (%)</v>
      </c>
      <c r="EP5" s="83"/>
      <c r="EQ5" s="88" t="str">
        <f>'Language Index'!A819</f>
        <v>ROE</v>
      </c>
      <c r="ER5" s="83"/>
      <c r="ES5" s="88" t="str">
        <f>'Language Index'!A820</f>
        <v>ROA</v>
      </c>
      <c r="ET5" s="83"/>
      <c r="EU5" s="88" t="str">
        <f>'Language Index'!A821</f>
        <v>ROIC</v>
      </c>
      <c r="EV5" s="83"/>
      <c r="EW5" s="88" t="str">
        <f>'Language Index'!A822</f>
        <v>Ratio</v>
      </c>
      <c r="EX5" s="83"/>
      <c r="EY5" s="88" t="str">
        <f>'Language Index'!A822</f>
        <v>Ratio</v>
      </c>
      <c r="EZ5" s="83"/>
      <c r="FA5" s="88" t="str">
        <f>'Language Index'!A825</f>
        <v>Days Sales Out.</v>
      </c>
      <c r="FB5" s="83"/>
      <c r="FC5" s="88" t="str">
        <f>'Language Index'!A826</f>
        <v>Days Inv. Out.</v>
      </c>
      <c r="FD5" s="83"/>
      <c r="FE5" s="88" t="str">
        <f>'Language Index'!A827</f>
        <v>Days Payable Out.</v>
      </c>
      <c r="FF5" s="83"/>
      <c r="FG5" s="88" t="str">
        <f>'Language Index'!A828</f>
        <v>Cash Conv. Cycle</v>
      </c>
      <c r="FH5" s="83"/>
      <c r="FI5" s="88" t="str">
        <f>'Language Index'!A331</f>
        <v>Total Assets</v>
      </c>
      <c r="FJ5" s="83"/>
      <c r="FK5" s="88" t="str">
        <f>'Language Index'!A829</f>
        <v>Fixed Assets</v>
      </c>
      <c r="FL5" s="83"/>
      <c r="FM5" s="88" t="str">
        <f>'Language Index'!A830</f>
        <v>A/R</v>
      </c>
      <c r="FN5" s="83"/>
      <c r="FO5" s="88" t="str">
        <f>'Language Index'!A309</f>
        <v>Inventory</v>
      </c>
      <c r="FP5" s="83"/>
      <c r="FQ5" s="83"/>
      <c r="FR5" s="83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2" customFormat="1" ht="4.5" customHeight="1" x14ac:dyDescent="0.25">
      <c r="A6" s="93"/>
      <c r="C6" s="93"/>
      <c r="E6" s="93"/>
      <c r="G6" s="93"/>
      <c r="I6" s="94"/>
      <c r="K6" s="93"/>
      <c r="M6" s="93"/>
      <c r="O6" s="93"/>
      <c r="Q6" s="93"/>
      <c r="S6" s="93"/>
      <c r="U6" s="93"/>
      <c r="W6" s="93"/>
      <c r="Y6" s="93"/>
      <c r="AA6" s="93"/>
      <c r="AC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5"/>
      <c r="CD6" s="96"/>
      <c r="CE6" s="96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93"/>
      <c r="EF6" s="93"/>
      <c r="EG6" s="93"/>
      <c r="EH6" s="93"/>
      <c r="EI6" s="93"/>
      <c r="EJ6" s="93"/>
      <c r="EK6" s="93"/>
      <c r="EL6" s="93"/>
      <c r="EM6" s="93"/>
      <c r="EN6" s="93"/>
      <c r="EO6" s="93"/>
      <c r="EP6" s="93"/>
      <c r="EQ6" s="93"/>
      <c r="ER6" s="93"/>
      <c r="ES6" s="93"/>
      <c r="ET6" s="93"/>
      <c r="EU6" s="93"/>
      <c r="EV6" s="93"/>
      <c r="EW6" s="93"/>
      <c r="EX6" s="93"/>
      <c r="EY6" s="93"/>
      <c r="EZ6" s="93"/>
      <c r="FA6" s="93"/>
      <c r="FB6" s="93"/>
      <c r="FC6" s="93"/>
      <c r="FD6" s="93"/>
      <c r="FE6" s="93"/>
      <c r="FF6" s="93"/>
      <c r="FG6" s="93"/>
      <c r="FH6" s="93"/>
      <c r="FI6" s="93"/>
      <c r="FJ6" s="93"/>
      <c r="FK6" s="93"/>
      <c r="FL6" s="93"/>
      <c r="FM6" s="93"/>
      <c r="FN6" s="93"/>
      <c r="FO6" s="93"/>
      <c r="FP6" s="93"/>
      <c r="FQ6" s="93"/>
      <c r="FR6" s="93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32" customFormat="1" x14ac:dyDescent="0.25">
      <c r="A7" s="97" t="str">
        <f>_xll.ciqfunctions.udf.CIQ($A$21,"IQ_QUICK_COMP",1)</f>
        <v>NYSE:ORCL</v>
      </c>
      <c r="C7" s="97" t="str">
        <f>_xll.ciqfunctions.udf.CIQ($A7, "IQ_COMPANY_NAME")</f>
        <v>Oracle Corporation</v>
      </c>
      <c r="E7" s="30">
        <f>_xll.ciqfunctions.udf.CIQ($A7,"IQ_PERIODDATE",IQ_FY,$I$5)</f>
        <v>45443</v>
      </c>
      <c r="F7" s="30"/>
      <c r="G7" s="30">
        <f>_xll.ciqfunctions.udf.CIQ($A7,"IQ_PERIODDATE",IQ_LTM,$I$5)</f>
        <v>45716</v>
      </c>
      <c r="I7" s="26">
        <f>_xll.ciqfunctions.udf.CIQ($A7, "IQ_LASTSALEPRICE",$I$5,Ccy,Conv)</f>
        <v>141.94</v>
      </c>
      <c r="J7" s="26"/>
      <c r="K7" s="26">
        <f>_xll.ciqfunctions.udf.CIQ($A7, "IQ_YEARHIGH",$I$5,Ccy,Conv)</f>
        <v>198.3099</v>
      </c>
      <c r="L7" s="26"/>
      <c r="M7" s="26">
        <f>_xll.ciqfunctions.udf.CIQ($A7, "IQ_YEARLOW",$I$5,Ccy,Conv)</f>
        <v>112.78</v>
      </c>
      <c r="O7" s="98">
        <f t="shared" ref="O7:O14" si="0">IF(ISERROR(I7/K7), "NA", I7/K7)</f>
        <v>0.71574843212567807</v>
      </c>
      <c r="P7" s="98"/>
      <c r="Q7" s="98">
        <f t="shared" ref="Q7:Q14" si="1">IF(ISERROR(I7/M7), "NA", I7/M7)</f>
        <v>1.2585564816456818</v>
      </c>
      <c r="S7" s="18">
        <f>_xll.ciqfunctions.udf.CIQ($A7, "IQ_SHARESOUTSTANDING",$I$5)</f>
        <v>2804.2339999999999</v>
      </c>
      <c r="U7" s="46">
        <f t="shared" ref="U7:U14" si="2">IF(ISERROR(S7*I7), "NA", S7*I7)</f>
        <v>398032.97395999997</v>
      </c>
      <c r="W7" s="18">
        <f>_xll.ciqfunctions.udf.CIQ($A7, "IQ_CASH_ST_INVEST",IQ_FQ,$I$5,,"F",Ccy,Conv)</f>
        <v>17823</v>
      </c>
      <c r="X7" s="18"/>
      <c r="Y7" s="18">
        <f>_xll.ciqfunctions.udf.CIQ($A7, "IQ_TOTAL_DEBT",IQ_FQ,$I$5,,"F",Ccy,Conv)</f>
        <v>109176</v>
      </c>
      <c r="Z7" s="18"/>
      <c r="AA7" s="18">
        <f>_xll.ciqfunctions.udf.CIQ($A7, "IQ_PREF_EQUITY",IQ_FQ,$I$5,,"F",Ccy,Conv)</f>
        <v>0</v>
      </c>
      <c r="AB7" s="18"/>
      <c r="AC7" s="18">
        <f>_xll.ciqfunctions.udf.CIQ($A7, "IQ_MINORITY_INTEREST_TOTAL",IQ_FQ,$I$5,,"F",Ccy,Conv)</f>
        <v>531</v>
      </c>
      <c r="AD7" s="46"/>
      <c r="AE7" s="46">
        <f>IF(ISERROR(U7-W7+Y7+AA7+AC7), "NA", U7-W7+Y7+AA7+AC7)</f>
        <v>489916.97395999997</v>
      </c>
      <c r="AF7" s="46"/>
      <c r="AG7" s="18">
        <f>_xll.ciqfunctions.udf.CIQ($A7, "IQ_TOTAL_REV", IQ_FY,$I$5,,,Ccy,Conv)</f>
        <v>52961</v>
      </c>
      <c r="AH7" s="18"/>
      <c r="AI7" s="18">
        <f>_xll.ciqfunctions.udf.CIQ($A7, "IQ_TOTAL_REV", IQ_LTM,$I$5,,,Ccy,Conv)</f>
        <v>55783</v>
      </c>
      <c r="AJ7" s="18"/>
      <c r="AK7" s="18">
        <f>_xll.ciqfunctions.udf.CIQ($A7, "IQ_REVENUE_EST", IQ_CY+ 1,$I$5,,,Ccy,Conv)</f>
        <v>60628.258699999998</v>
      </c>
      <c r="AL7" s="18"/>
      <c r="AM7" s="18">
        <f>_xll.ciqfunctions.udf.CIQ($A7, "IQ_REVENUE_EST", IQ_CY+ 2,$I$5,,,Ccy,Conv)</f>
        <v>70697.676000000007</v>
      </c>
      <c r="AN7" s="46"/>
      <c r="AO7" s="18">
        <f>_xll.ciqfunctions.udf.CIQ($A7, "IQ_EBITDA", IQ_FY,$I$5,,,Ccy,Conv)</f>
        <v>21227</v>
      </c>
      <c r="AP7" s="18"/>
      <c r="AQ7" s="18">
        <f>_xll.ciqfunctions.udf.CIQ($A7, "IQ_EBITDA", IQ_LTM,$I$5,,,Ccy,Conv)</f>
        <v>22916</v>
      </c>
      <c r="AR7" s="18"/>
      <c r="AS7" s="18">
        <f>_xll.ciqfunctions.udf.CIQ($A7, "IQ_EBITDA_EST", IQ_CY+ 1,$I$5,,,Ccy,Conv)</f>
        <v>31627.245200000001</v>
      </c>
      <c r="AT7" s="18"/>
      <c r="AU7" s="18">
        <f>_xll.ciqfunctions.udf.CIQ($A7, "IQ_EBITDA_EST", IQ_CY+ 2,$I$5,,,Ccy,Conv)</f>
        <v>37132.935100000002</v>
      </c>
      <c r="AW7" s="26">
        <f>_xll.ciqfunctions.udf.CIQ($A7, "IQ_DILUT_EPS_EXCL", IQ_FY,$I$5,,,Ccy,Conv)</f>
        <v>3.71</v>
      </c>
      <c r="AX7" s="26"/>
      <c r="AY7" s="26">
        <f>_xll.ciqfunctions.udf.CIQ($A7, "IQ_DILUT_EPS_EXCL", IQ_LTM,$I$5,,,Ccy,Conv)</f>
        <v>4.2587099999999998</v>
      </c>
      <c r="AZ7" s="26"/>
      <c r="BA7" s="26">
        <f>_xll.ciqfunctions.udf.CIQ($A7, "IQ_EPS_EST", IQ_CY+ 1,$I$5,,,Ccy,Conv)</f>
        <v>6.2076000000000002</v>
      </c>
      <c r="BB7" s="26"/>
      <c r="BC7" s="26">
        <f>_xll.ciqfunctions.udf.CIQ($A7, "IQ_EPS_EST", IQ_CY+ 2,$I$5,,,Ccy,Conv)</f>
        <v>7.3453999999999997</v>
      </c>
      <c r="BE7" s="42">
        <f>_xll.ciqfunctions.udf.CIQ($A7, "IQ_TEV_TOTAL_REV",IQ_LTM,$FR7)</f>
        <v>7.6315600000000003</v>
      </c>
      <c r="BF7" s="42"/>
      <c r="BG7" s="42">
        <f>_xll.ciqfunctions.udf.CIQ($A7, "IQ_TEV_TOTAL_REV",IQ_LTM,$I$5)</f>
        <v>8.7825500000000005</v>
      </c>
      <c r="BH7" s="99"/>
      <c r="BI7" s="99">
        <f t="shared" ref="BI7:BI14" si="3">IF(ISERROR($AE7/AK7), "NA", $AE7/AK7)</f>
        <v>8.0806703749187498</v>
      </c>
      <c r="BJ7" s="99"/>
      <c r="BK7" s="99">
        <f t="shared" ref="BK7:BK14" si="4">IF(ISERROR($AE7/AM7), "NA", $AE7/AM7)</f>
        <v>6.9297465161372482</v>
      </c>
      <c r="BL7" s="99"/>
      <c r="BM7" s="42">
        <f>_xll.ciqfunctions.udf.CIQ($A7, "IQ_TEV_EBITDA",IQ_LTM,$FR7)</f>
        <v>18.489129999999999</v>
      </c>
      <c r="BN7" s="42"/>
      <c r="BO7" s="42">
        <f>_xll.ciqfunctions.udf.CIQ($A7, "IQ_TEV_EBITDA",IQ_LTM,$I$5)</f>
        <v>20.315020000000001</v>
      </c>
      <c r="BP7" s="42"/>
      <c r="BQ7" s="42">
        <f>_xll.ciqfunctions.udf.CIQ($A7, "IQ_TEV_EBITDA_FWD",IQ_CY+1,$I$5)</f>
        <v>15.490349999999999</v>
      </c>
      <c r="BR7" s="42"/>
      <c r="BS7" s="42">
        <f>_xll.ciqfunctions.udf.CIQ($A7, "IQ_TEV_EBITDA_FWD",IQ_CY+2,$I$5)</f>
        <v>13.1936</v>
      </c>
      <c r="BT7" s="99"/>
      <c r="BU7" s="42">
        <f>_xll.ciqfunctions.udf.CIQ($A7, "IQ_PE_EXCL",IQ_LTM,$FR7)</f>
        <v>30.984069999999999</v>
      </c>
      <c r="BV7" s="42"/>
      <c r="BW7" s="42">
        <f>_xll.ciqfunctions.udf.CIQ($A7, "IQ_PE_EXCL",IQ_LTM,$I$5)</f>
        <v>33.329320000000003</v>
      </c>
      <c r="BX7" s="42"/>
      <c r="BY7" s="42">
        <f>_xll.ciqfunctions.udf.CIQ($A7, "IQ_PE_EXCL_FWD",IQ_CY+1,$I$5)</f>
        <v>22.86552</v>
      </c>
      <c r="BZ7" s="42"/>
      <c r="CA7" s="42">
        <f>_xll.ciqfunctions.udf.CIQ($A7, "IQ_PE_EXCL_FWD",IQ_CY+2,$I$5)</f>
        <v>19.32366</v>
      </c>
      <c r="CC7" s="42">
        <f>_xll.ciqfunctions.udf.CIQ($A7, "IQ_PBV",IQ_LTM,$I$5,)</f>
        <v>23.781099999999999</v>
      </c>
      <c r="CD7" s="42"/>
      <c r="CE7" s="42" t="str">
        <f>_xll.ciqfunctions.udf.CIQ($A7, "IQ_PTBV",IQ_LTM,$I$5,)</f>
        <v>NM</v>
      </c>
      <c r="CG7" s="18">
        <f>_xll.ciqfunctions.udf.CIQ($A7, "IQ_GROSS_MARGIN", IQ_FY- 2,$I$5)</f>
        <v>79.083399999999997</v>
      </c>
      <c r="CH7" s="18"/>
      <c r="CI7" s="18">
        <f>_xll.ciqfunctions.udf.CIQ($A7, "IQ_GROSS_MARGIN", IQ_FY- 1,$I$5,)</f>
        <v>72.846999999999994</v>
      </c>
      <c r="CJ7" s="18"/>
      <c r="CK7" s="18">
        <f>_xll.ciqfunctions.udf.CIQ($A7, "IQ_GROSS_MARGIN", IQ_FY,$I$5,)</f>
        <v>71.407200000000003</v>
      </c>
      <c r="CL7" s="18"/>
      <c r="CM7" s="18">
        <f>_xll.ciqfunctions.udf.CIQ($A7, "IQ_GROSS_MARGIN", IQ_LTM,$I$5,)</f>
        <v>71.120199999999997</v>
      </c>
      <c r="CN7" s="46"/>
      <c r="CO7" s="18">
        <f>_xll.ciqfunctions.udf.CIQ($A7, "IQ_EBITDA_MARGIN", IQ_FY- 2,$I$5,)</f>
        <v>44.670099999999998</v>
      </c>
      <c r="CP7" s="18"/>
      <c r="CQ7" s="18">
        <f>_xll.ciqfunctions.udf.CIQ($A7, "IQ_EBITDA_MARGIN", IQ_FY- 1,$I$5,)</f>
        <v>38.006900000000002</v>
      </c>
      <c r="CR7" s="18"/>
      <c r="CS7" s="18">
        <f>_xll.ciqfunctions.udf.CIQ($A7, "IQ_EBITDA_MARGIN", IQ_FY,$I$5,)</f>
        <v>40.080399999999997</v>
      </c>
      <c r="CT7" s="18"/>
      <c r="CU7" s="18">
        <f>_xll.ciqfunctions.udf.CIQ($A7, "IQ_EBITDA_MARGIN", IQ_LTM,$I$5,)</f>
        <v>41.080599999999997</v>
      </c>
      <c r="CV7" s="46"/>
      <c r="CW7" s="18">
        <f>_xll.ciqfunctions.udf.CIQ($A7, "IQ_NI_MARGIN", IQ_FY- 2,$I$5,)</f>
        <v>15.827</v>
      </c>
      <c r="CX7" s="18"/>
      <c r="CY7" s="18">
        <f>_xll.ciqfunctions.udf.CIQ($A7, "IQ_NI_MARGIN", IQ_FY- 1,$I$5,)</f>
        <v>17.021599999999999</v>
      </c>
      <c r="CZ7" s="18"/>
      <c r="DA7" s="18">
        <f>_xll.ciqfunctions.udf.CIQ($A7, "IQ_NI_MARGIN", IQ_FY,$I$5,)</f>
        <v>19.763500000000001</v>
      </c>
      <c r="DB7" s="18"/>
      <c r="DC7" s="18">
        <f>_xll.ciqfunctions.udf.CIQ($A7, "IQ_NI_MARGIN", IQ_LTM,$I$5,)</f>
        <v>21.7987</v>
      </c>
      <c r="DE7" s="18">
        <f>_xll.ciqfunctions.udf.CIQ($A7, "IQ_TOTAL_REV_5YR_ANN_CAGR",IQ_LTM,$I$5,)</f>
        <v>7.0034999999999998</v>
      </c>
      <c r="DF7" s="18"/>
      <c r="DG7" s="18">
        <f>_xll.ciqfunctions.udf.CIQ($A7, "IQ_TOTAL_REV_3YR_ANN_CAGR",IQ_LTM,$I$5,)</f>
        <v>10.0732</v>
      </c>
      <c r="DH7" s="18"/>
      <c r="DI7" s="18">
        <f>_xll.ciqfunctions.udf.CIQ($A7, "IQ_TOTAL_REV_1YR_ANN_GROWTH", IQ_FY,$I$5,)</f>
        <v>6.0194999999999999</v>
      </c>
      <c r="DJ7" s="18"/>
      <c r="DK7" s="18">
        <f>_xll.ciqfunctions.udf.CIQ($A7, "IQ_TOTAL_REV_1YR_ANN_GROWTH",IQ_LTM,$I$5,)</f>
        <v>6.2329999999999997</v>
      </c>
      <c r="DL7" s="46"/>
      <c r="DM7" s="18">
        <f>_xll.ciqfunctions.udf.CIQ($A7, "IQ_EBITDA_5YR_ANN_CAGR",IQ_LTM,$I$5,)</f>
        <v>6.9787999999999997</v>
      </c>
      <c r="DN7" s="18"/>
      <c r="DO7" s="18">
        <f>_xll.ciqfunctions.udf.CIQ($A7, "IQ_EBITDA_3YR_ANN_CAGR",IQ_LTM,$I$5,)</f>
        <v>7.5923999999999996</v>
      </c>
      <c r="DP7" s="18"/>
      <c r="DQ7" s="18">
        <f>_xll.ciqfunctions.udf.CIQ($A7, "IQ_EBITDA_1YR_ANN_GROWTH", IQ_FY,$I$5,)</f>
        <v>11.8034</v>
      </c>
      <c r="DR7" s="18"/>
      <c r="DS7" s="18">
        <f>_xll.ciqfunctions.udf.CIQ($A7, "IQ_EBITDA_1YR_ANN_GROWTH",IQ_LTM,$I$5,)</f>
        <v>10.1677</v>
      </c>
      <c r="DT7" s="46"/>
      <c r="DU7" s="18">
        <f>_xll.ciqfunctions.udf.CIQ($A7, "IQ_EPS_5YR_ANN_CAGR",IQ_LTM,$I$5,)</f>
        <v>6.0171999999999999</v>
      </c>
      <c r="DV7" s="18"/>
      <c r="DW7" s="18">
        <f>_xll.ciqfunctions.udf.CIQ($A7, "IQ_EPS_3YR_ANN_CAGR",IQ_LTM,$I$5,)</f>
        <v>16.933800000000002</v>
      </c>
      <c r="DX7" s="18"/>
      <c r="DY7" s="18">
        <f>_xll.ciqfunctions.udf.CIQ($A7, "IQ_EPS_1YR_ANN_GROWTH", IQ_FY,$I$5,)</f>
        <v>20.846900000000002</v>
      </c>
      <c r="DZ7" s="18"/>
      <c r="EA7" s="18">
        <f>_xll.ciqfunctions.udf.CIQ($A7, "IQ_EPS_1YR_ANN_GROWTH", IQ_LTM,$I$5,)</f>
        <v>12.5968</v>
      </c>
      <c r="EC7" s="42">
        <f>_xll.ciqfunctions.udf.CIQ($A7, "IQ_TOTAL_DEBT_EBITDA",IQ_LTM,$I$5,)</f>
        <v>4.52712</v>
      </c>
      <c r="ED7" s="42"/>
      <c r="EE7" s="42">
        <f>_xll.ciqfunctions.udf.CIQ($A7, "IQ_NET_DEBT_EBITDA",IQ_LTM,$I$5,)</f>
        <v>3.7880699999999998</v>
      </c>
      <c r="EF7" s="42"/>
      <c r="EG7" s="99">
        <f t="shared" ref="EG7:EG14" si="5">IF(ISERROR((Y7+AA7)/AQ7), "NA", (Y7+AA7)/AQ7)</f>
        <v>4.7641822307558037</v>
      </c>
      <c r="EH7" s="42"/>
      <c r="EI7" s="42">
        <f>_xll.ciqfunctions.udf.CIQ($A7, "IQ_EBITDA_INT",IQ_LTM,$I$5,)</f>
        <v>6.9338699999999998</v>
      </c>
      <c r="EJ7" s="42"/>
      <c r="EK7" s="42">
        <f>_xll.ciqfunctions.udf.CIQ($A7, "IQ_EBITDA_CAPEX_INT",IQ_LTM,$I$5,)</f>
        <v>2.6403099999999999</v>
      </c>
      <c r="EL7" s="45"/>
      <c r="EM7" s="18">
        <f>_xll.ciqfunctions.udf.CIQ($A7, "IQ_TOTAL_DEBT_EQUITY",IQ_FQ,$I$5,)</f>
        <v>632.50099999999998</v>
      </c>
      <c r="EN7" s="18"/>
      <c r="EO7" s="18">
        <f>_xll.ciqfunctions.udf.CIQ($A7, "IQ_TOTAL_DEBT_CAPITAL",IQ_FQ,$I$5,)</f>
        <v>86.348100000000002</v>
      </c>
      <c r="EQ7" s="18">
        <f>_xll.ciqfunctions.udf.CIQ($A7, "IQ_RETURN_EQUITY",IQ_LTM,$I$5)</f>
        <v>103.7409</v>
      </c>
      <c r="ER7" s="18"/>
      <c r="ES7" s="18">
        <f>_xll.ciqfunctions.udf.CIQ($A7, "IQ_RETURN_ASSETS",IQ_LTM,$I$5)</f>
        <v>7.3460000000000001</v>
      </c>
      <c r="ET7" s="18"/>
      <c r="EU7" s="18">
        <f>_xll.ciqfunctions.udf.CIQ($A7, "IQ_RETURN_INVESTED_CAPITAL",IQ_LTM,$I$5)</f>
        <v>6.9973000000000001</v>
      </c>
      <c r="EW7" s="42">
        <f>_xll.ciqfunctions.udf.CIQ($A7, "IQ_CURRENT_RATIO",IQ_FQ,$I$5,)</f>
        <v>1.01664</v>
      </c>
      <c r="EX7" s="42"/>
      <c r="EY7" s="42">
        <f>_xll.ciqfunctions.udf.CIQ($A7, "IQ_QUICK_RATIO",IQ_FQ,$I$5,)</f>
        <v>0.87343999999999999</v>
      </c>
      <c r="EZ7" s="45"/>
      <c r="FA7" s="18">
        <f>_xll.ciqfunctions.udf.CIQ($A7, "IQ_DAYS_SALES_OUT",IQ_LTM,$I$5,)</f>
        <v>50.212319999999998</v>
      </c>
      <c r="FB7" s="18"/>
      <c r="FC7" s="18">
        <f>_xll.ciqfunctions.udf.CIQ($A7, "IQ_DAYS_INVENTORY_OUT",IQ_LTM,$I$5,)</f>
        <v>0</v>
      </c>
      <c r="FD7" s="18"/>
      <c r="FE7" s="18">
        <f>_xll.ciqfunctions.udf.CIQ($A7, "IQ_DAYS_PAYABLE_OUT",IQ_LTM,$I$5,)</f>
        <v>46.230899999999998</v>
      </c>
      <c r="FF7" s="18"/>
      <c r="FG7" s="18">
        <f>_xll.ciqfunctions.udf.CIQ($A7, "IQ_CASH_CONVERSION",IQ_LTM,$I$5,)</f>
        <v>0</v>
      </c>
      <c r="FH7" s="45"/>
      <c r="FI7" s="42">
        <f>_xll.ciqfunctions.udf.CIQ($A7, "IQ_ASSET_TURNS",IQ_LTM,$I$5,)</f>
        <v>0.37380999999999998</v>
      </c>
      <c r="FJ7" s="42"/>
      <c r="FK7" s="42">
        <f>_xll.ciqfunctions.udf.CIQ($A7, "IQ_FIXED_ASSET_TURNS",IQ_LTM,$I$5,)</f>
        <v>1.7768999999999999</v>
      </c>
      <c r="FL7" s="42"/>
      <c r="FM7" s="42">
        <f>_xll.ciqfunctions.udf.CIQ($A7, "IQ_AR_TURNS",IQ_LTM,$I$5,)</f>
        <v>7.2690900000000003</v>
      </c>
      <c r="FN7" s="42"/>
      <c r="FO7" s="42">
        <f>_xll.ciqfunctions.udf.CIQ($A7, "IQ_INVENTORY_TURNS",IQ_LTM,$I$5,)</f>
        <v>0</v>
      </c>
      <c r="FR7" s="100">
        <f>_xll.ciqfunctions.udf.CIQ($A7,"IQ_PERIODDATE",IQ_FY,$I$5)</f>
        <v>45443</v>
      </c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2" customFormat="1" x14ac:dyDescent="0.25">
      <c r="A8" s="97" t="str">
        <f>_xll.ciqfunctions.udf.CIQ($A$21,"IQ_QUICK_COMP",2)</f>
        <v>NYSE:ACN</v>
      </c>
      <c r="C8" s="97" t="str">
        <f>_xll.ciqfunctions.udf.CIQ($A8, "IQ_COMPANY_NAME")</f>
        <v>Accenture plc</v>
      </c>
      <c r="D8" s="32"/>
      <c r="E8" s="30">
        <f>_xll.ciqfunctions.udf.CIQ($A8,"IQ_PERIODDATE",IQ_FY,$I$5)</f>
        <v>45535</v>
      </c>
      <c r="F8" s="30"/>
      <c r="G8" s="30">
        <f>_xll.ciqfunctions.udf.CIQ($A8,"IQ_PERIODDATE",IQ_LTM,$I$5)</f>
        <v>45716</v>
      </c>
      <c r="H8" s="32"/>
      <c r="I8" s="26">
        <f>_xll.ciqfunctions.udf.CIQ($A8, "IQ_LASTSALEPRICE",$I$5,Ccy,Conv)</f>
        <v>313.58</v>
      </c>
      <c r="J8" s="26"/>
      <c r="K8" s="26">
        <f>_xll.ciqfunctions.udf.CIQ($A8, "IQ_YEARHIGH",$I$5,Ccy,Conv)</f>
        <v>398.35</v>
      </c>
      <c r="L8" s="26"/>
      <c r="M8" s="26">
        <f>_xll.ciqfunctions.udf.CIQ($A8, "IQ_YEARLOW",$I$5,Ccy,Conv)</f>
        <v>278.69</v>
      </c>
      <c r="N8" s="32"/>
      <c r="O8" s="98">
        <f t="shared" si="0"/>
        <v>0.7871971884021588</v>
      </c>
      <c r="P8" s="98"/>
      <c r="Q8" s="98">
        <f t="shared" si="1"/>
        <v>1.1251928666260003</v>
      </c>
      <c r="R8" s="32"/>
      <c r="S8" s="18">
        <f>_xll.ciqfunctions.udf.CIQ($A8, "IQ_SHARESOUTSTANDING",$I$5)</f>
        <v>626.02583000000004</v>
      </c>
      <c r="T8" s="32"/>
      <c r="U8" s="46">
        <f t="shared" si="2"/>
        <v>196309.1797714</v>
      </c>
      <c r="V8" s="46"/>
      <c r="W8" s="18">
        <f>_xll.ciqfunctions.udf.CIQ($A8, "IQ_CASH_ST_INVEST",IQ_FQ,$I$5,,"F",Ccy,Conv)</f>
        <v>8495.5</v>
      </c>
      <c r="X8" s="18"/>
      <c r="Y8" s="18">
        <f>_xll.ciqfunctions.udf.CIQ($A8, "IQ_TOTAL_DEBT",IQ_FQ,$I$5,,"F",Ccy,Conv)</f>
        <v>8060.33</v>
      </c>
      <c r="Z8" s="18"/>
      <c r="AA8" s="18">
        <f>_xll.ciqfunctions.udf.CIQ($A8, "IQ_PREF_EQUITY",IQ_FQ,$I$5,,"F",Ccy,Conv)</f>
        <v>0</v>
      </c>
      <c r="AB8" s="18"/>
      <c r="AC8" s="18">
        <f>_xll.ciqfunctions.udf.CIQ($A8, "IQ_MINORITY_INTEREST_TOTAL",IQ_FQ,$I$5,,"F",Ccy,Conv)</f>
        <v>935.89499999999998</v>
      </c>
      <c r="AD8" s="46"/>
      <c r="AE8" s="46">
        <f t="shared" ref="AE8:AE14" si="6">IF(ISERROR(U8-W8+Y8+AA8+AC8), "NA",U8-W8+Y8+AA8+AC8)</f>
        <v>196809.90477139998</v>
      </c>
      <c r="AF8" s="46"/>
      <c r="AG8" s="18">
        <f>_xll.ciqfunctions.udf.CIQ($A8, "IQ_TOTAL_REV", IQ_FY,$I$5,,,Ccy,Conv)</f>
        <v>64896.464</v>
      </c>
      <c r="AH8" s="18"/>
      <c r="AI8" s="18">
        <f>_xll.ciqfunctions.udf.CIQ($A8, "IQ_TOTAL_REV", IQ_LTM,$I$5,,,Ccy,Conv)</f>
        <v>67221.493000000002</v>
      </c>
      <c r="AJ8" s="18"/>
      <c r="AK8" s="18">
        <f>_xll.ciqfunctions.udf.CIQ($A8, "IQ_REVENUE_EST", IQ_CY+ 1,$I$5,,,Ccy,Conv)</f>
        <v>69450.625</v>
      </c>
      <c r="AL8" s="18"/>
      <c r="AM8" s="18">
        <f>_xll.ciqfunctions.udf.CIQ($A8, "IQ_REVENUE_EST", IQ_CY+ 2,$I$5,,,Ccy,Conv)</f>
        <v>74153.439400000003</v>
      </c>
      <c r="AN8" s="46"/>
      <c r="AO8" s="18">
        <f>_xll.ciqfunctions.udf.CIQ($A8, "IQ_EBITDA", IQ_FY,$I$5,,,Ccy,Conv)</f>
        <v>11065.912</v>
      </c>
      <c r="AP8" s="18"/>
      <c r="AQ8" s="18">
        <f>_xll.ciqfunctions.udf.CIQ($A8, "IQ_EBITDA", IQ_LTM,$I$5,,,Ccy,Conv)</f>
        <v>11472.502</v>
      </c>
      <c r="AR8" s="18"/>
      <c r="AS8" s="18">
        <f>_xll.ciqfunctions.udf.CIQ($A8, "IQ_EBITDA_EST", IQ_CY+ 1,$I$5,,,Ccy,Conv)</f>
        <v>13170.7644</v>
      </c>
      <c r="AT8" s="18"/>
      <c r="AU8" s="18">
        <f>_xll.ciqfunctions.udf.CIQ($A8, "IQ_EBITDA_EST", IQ_CY+ 2,$I$5,,,Ccy,Conv)</f>
        <v>14252.002500000001</v>
      </c>
      <c r="AV8" s="46"/>
      <c r="AW8" s="26">
        <f>_xll.ciqfunctions.udf.CIQ($A8, "IQ_DILUT_EPS_EXCL", IQ_FY,$I$5,,,Ccy,Conv)</f>
        <v>11.43502</v>
      </c>
      <c r="AX8" s="26"/>
      <c r="AY8" s="26">
        <f>_xll.ciqfunctions.udf.CIQ($A8, "IQ_DILUT_EPS_EXCL", IQ_LTM,$I$5,,,Ccy,Conv)</f>
        <v>12.11768</v>
      </c>
      <c r="AZ8" s="26"/>
      <c r="BA8" s="26">
        <f>_xll.ciqfunctions.udf.CIQ($A8, "IQ_EPS_EST", IQ_CY+ 1,$I$5,,,Ccy,Conv)</f>
        <v>12.8513</v>
      </c>
      <c r="BB8" s="26"/>
      <c r="BC8" s="26">
        <f>_xll.ciqfunctions.udf.CIQ($A8, "IQ_EPS_EST", IQ_CY+ 2,$I$5,,,Ccy,Conv)</f>
        <v>14.1868</v>
      </c>
      <c r="BD8" s="32"/>
      <c r="BE8" s="42">
        <f>_xll.ciqfunctions.udf.CIQ($A8, "IQ_TEV_TOTAL_REV",IQ_LTM,$FR8)</f>
        <v>3.32104</v>
      </c>
      <c r="BF8" s="42"/>
      <c r="BG8" s="42">
        <f>_xll.ciqfunctions.udf.CIQ($A8, "IQ_TEV_TOTAL_REV",IQ_LTM,$I$5)</f>
        <v>2.9277799999999998</v>
      </c>
      <c r="BH8" s="46"/>
      <c r="BI8" s="99">
        <f t="shared" si="3"/>
        <v>2.8338104195808169</v>
      </c>
      <c r="BJ8" s="99"/>
      <c r="BK8" s="99">
        <f t="shared" si="4"/>
        <v>2.6540900376820549</v>
      </c>
      <c r="BL8" s="46"/>
      <c r="BM8" s="42">
        <f>_xll.ciqfunctions.udf.CIQ($A8, "IQ_TEV_EBITDA",IQ_LTM,$FR8)</f>
        <v>17.466840000000001</v>
      </c>
      <c r="BN8" s="42"/>
      <c r="BO8" s="42">
        <f>_xll.ciqfunctions.udf.CIQ($A8, "IQ_TEV_EBITDA",IQ_LTM,$I$5)</f>
        <v>15.863530000000001</v>
      </c>
      <c r="BP8" s="42"/>
      <c r="BQ8" s="42">
        <f>_xll.ciqfunctions.udf.CIQ($A8, "IQ_TEV_EBITDA_FWD",IQ_CY+1,$I$5)</f>
        <v>14.94294</v>
      </c>
      <c r="BR8" s="42"/>
      <c r="BS8" s="42">
        <f>_xll.ciqfunctions.udf.CIQ($A8, "IQ_TEV_EBITDA_FWD",IQ_CY+2,$I$5)</f>
        <v>13.809279999999999</v>
      </c>
      <c r="BT8" s="46"/>
      <c r="BU8" s="42">
        <f>_xll.ciqfunctions.udf.CIQ($A8, "IQ_PE_EXCL",IQ_LTM,$FR8)</f>
        <v>30.815390000000001</v>
      </c>
      <c r="BV8" s="42"/>
      <c r="BW8" s="42">
        <f>_xll.ciqfunctions.udf.CIQ($A8, "IQ_PE_EXCL",IQ_LTM,$I$5)</f>
        <v>25.877880000000001</v>
      </c>
      <c r="BX8" s="42"/>
      <c r="BY8" s="42">
        <f>_xll.ciqfunctions.udf.CIQ($A8, "IQ_PE_EXCL_FWD",IQ_CY+1,$I$5)</f>
        <v>24.400639999999999</v>
      </c>
      <c r="BZ8" s="42"/>
      <c r="CA8" s="42">
        <f>_xll.ciqfunctions.udf.CIQ($A8, "IQ_PE_EXCL_FWD",IQ_CY+2,$I$5)</f>
        <v>22.103649999999998</v>
      </c>
      <c r="CB8" s="46"/>
      <c r="CC8" s="42">
        <f>_xll.ciqfunctions.udf.CIQ($A8, "IQ_PBV",IQ_LTM,$I$5,)</f>
        <v>6.7168200000000002</v>
      </c>
      <c r="CD8" s="42"/>
      <c r="CE8" s="42">
        <f>_xll.ciqfunctions.udf.CIQ($A8, "IQ_PTBV",IQ_LTM,$I$5,)</f>
        <v>34.573599999999999</v>
      </c>
      <c r="CF8" s="32"/>
      <c r="CG8" s="18">
        <f>_xll.ciqfunctions.udf.CIQ($A8, "IQ_GROSS_MARGIN", IQ_FY- 2,$I$5,)</f>
        <v>31.985900000000001</v>
      </c>
      <c r="CH8" s="18"/>
      <c r="CI8" s="18">
        <f>_xll.ciqfunctions.udf.CIQ($A8, "IQ_GROSS_MARGIN", IQ_FY- 1,$I$5,)</f>
        <v>32.336599999999997</v>
      </c>
      <c r="CJ8" s="18"/>
      <c r="CK8" s="18">
        <f>_xll.ciqfunctions.udf.CIQ($A8, "IQ_GROSS_MARGIN", IQ_FY,$I$5,)</f>
        <v>32.609299999999998</v>
      </c>
      <c r="CL8" s="18"/>
      <c r="CM8" s="18">
        <f>_xll.ciqfunctions.udf.CIQ($A8, "IQ_GROSS_MARGIN", IQ_LTM,$I$5,)</f>
        <v>32.182699999999997</v>
      </c>
      <c r="CN8" s="46"/>
      <c r="CO8" s="18">
        <f>_xll.ciqfunctions.udf.CIQ($A8, "IQ_EBITDA_MARGIN", IQ_FY- 2,$I$5,)</f>
        <v>16.893599999999999</v>
      </c>
      <c r="CP8" s="18"/>
      <c r="CQ8" s="18">
        <f>_xll.ciqfunctions.udf.CIQ($A8, "IQ_EBITDA_MARGIN", IQ_FY- 1,$I$5,)</f>
        <v>17.470300000000002</v>
      </c>
      <c r="CR8" s="18"/>
      <c r="CS8" s="18">
        <f>_xll.ciqfunctions.udf.CIQ($A8, "IQ_EBITDA_MARGIN", IQ_FY,$I$5,)</f>
        <v>17.051600000000001</v>
      </c>
      <c r="CT8" s="18"/>
      <c r="CU8" s="18">
        <f>_xll.ciqfunctions.udf.CIQ($A8, "IQ_EBITDA_MARGIN", IQ_LTM,$I$5,)</f>
        <v>17.066700000000001</v>
      </c>
      <c r="CV8" s="46"/>
      <c r="CW8" s="18">
        <f>_xll.ciqfunctions.udf.CIQ($A8, "IQ_NI_MARGIN", IQ_FY- 2,$I$5,)</f>
        <v>11.1652</v>
      </c>
      <c r="CX8" s="18"/>
      <c r="CY8" s="18">
        <f>_xll.ciqfunctions.udf.CIQ($A8, "IQ_NI_MARGIN", IQ_FY- 1,$I$5,)</f>
        <v>10.718</v>
      </c>
      <c r="CZ8" s="18"/>
      <c r="DA8" s="18">
        <f>_xll.ciqfunctions.udf.CIQ($A8, "IQ_NI_MARGIN", IQ_FY,$I$5,)</f>
        <v>11.1944</v>
      </c>
      <c r="DB8" s="18"/>
      <c r="DC8" s="18">
        <f>_xll.ciqfunctions.udf.CIQ($A8, "IQ_NI_MARGIN", IQ_LTM,$I$5,)</f>
        <v>11.43</v>
      </c>
      <c r="DD8" s="32"/>
      <c r="DE8" s="18">
        <f>_xll.ciqfunctions.udf.CIQ($A8, "IQ_TOTAL_REV_5YR_ANN_CAGR",IQ_LTM,$I$5,)</f>
        <v>8.5241000000000007</v>
      </c>
      <c r="DF8" s="18"/>
      <c r="DG8" s="18">
        <f>_xll.ciqfunctions.udf.CIQ($A8, "IQ_TOTAL_REV_3YR_ANN_CAGR",IQ_LTM,$I$5,)</f>
        <v>5.8411999999999997</v>
      </c>
      <c r="DH8" s="18"/>
      <c r="DI8" s="18">
        <f>_xll.ciqfunctions.udf.CIQ($A8, "IQ_TOTAL_REV_1YR_ANN_GROWTH", IQ_FY,$I$5,)</f>
        <v>1.2239</v>
      </c>
      <c r="DJ8" s="18"/>
      <c r="DK8" s="18">
        <f>_xll.ciqfunctions.udf.CIQ($A8, "IQ_TOTAL_REV_1YR_ANN_GROWTH",IQ_LTM,$I$5,)</f>
        <v>4.1005000000000003</v>
      </c>
      <c r="DL8" s="46"/>
      <c r="DM8" s="18">
        <f>_xll.ciqfunctions.udf.CIQ($A8, "IQ_EBITDA_5YR_ANN_CAGR",IQ_LTM,$I$5,)</f>
        <v>9.7706</v>
      </c>
      <c r="DN8" s="18"/>
      <c r="DO8" s="18">
        <f>_xll.ciqfunctions.udf.CIQ($A8, "IQ_EBITDA_3YR_ANN_CAGR",IQ_LTM,$I$5,)</f>
        <v>6.4481000000000002</v>
      </c>
      <c r="DP8" s="18"/>
      <c r="DQ8" s="18">
        <f>_xll.ciqfunctions.udf.CIQ($A8, "IQ_EBITDA_1YR_ANN_GROWTH", IQ_FY,$I$5,)</f>
        <v>-1.2019</v>
      </c>
      <c r="DR8" s="18"/>
      <c r="DS8" s="18">
        <f>_xll.ciqfunctions.udf.CIQ($A8, "IQ_EBITDA_1YR_ANN_GROWTH",IQ_LTM,$I$5,)</f>
        <v>1.8331999999999999</v>
      </c>
      <c r="DT8" s="46"/>
      <c r="DU8" s="18">
        <f>_xll.ciqfunctions.udf.CIQ($A8, "IQ_EPS_5YR_ANN_CAGR",IQ_LTM,$I$5,)</f>
        <v>9.5922000000000001</v>
      </c>
      <c r="DV8" s="18"/>
      <c r="DW8" s="18">
        <f>_xll.ciqfunctions.udf.CIQ($A8, "IQ_EPS_3YR_ANN_CAGR",IQ_LTM,$I$5,)</f>
        <v>6.8869999999999996</v>
      </c>
      <c r="DX8" s="18"/>
      <c r="DY8" s="18">
        <f>_xll.ciqfunctions.udf.CIQ($A8, "IQ_EPS_1YR_ANN_GROWTH", IQ_FY,$I$5,)</f>
        <v>6.1571999999999996</v>
      </c>
      <c r="DZ8" s="18"/>
      <c r="EA8" s="18">
        <f>_xll.ciqfunctions.udf.CIQ($A8, "IQ_EPS_1YR_ANN_GROWTH", IQ_LTM,$I$5,)</f>
        <v>9.7744</v>
      </c>
      <c r="EB8" s="32"/>
      <c r="EC8" s="42">
        <f>_xll.ciqfunctions.udf.CIQ($A8, "IQ_TOTAL_DEBT_EBITDA",IQ_LTM,$I$5,)</f>
        <v>0.64968999999999999</v>
      </c>
      <c r="ED8" s="42"/>
      <c r="EE8" s="42" t="str">
        <f>_xll.ciqfunctions.udf.CIQ($A8, "IQ_NET_DEBT_EBITDA",IQ_LTM,$I$5,)</f>
        <v>NM</v>
      </c>
      <c r="EF8" s="18"/>
      <c r="EG8" s="102">
        <f t="shared" si="5"/>
        <v>0.70257821702711398</v>
      </c>
      <c r="EH8" s="18"/>
      <c r="EI8" s="42">
        <f>_xll.ciqfunctions.udf.CIQ($A8, "IQ_EBITDA_INT",IQ_LTM,$I$5,)</f>
        <v>96.263480000000001</v>
      </c>
      <c r="EJ8" s="42"/>
      <c r="EK8" s="42">
        <f>_xll.ciqfunctions.udf.CIQ($A8, "IQ_EBITDA_CAPEX_INT",IQ_LTM,$I$5,)</f>
        <v>91.13646</v>
      </c>
      <c r="EL8" s="45"/>
      <c r="EM8" s="18">
        <f>_xll.ciqfunctions.udf.CIQ($A8, "IQ_TOTAL_DEBT_EQUITY",IQ_FQ,$I$5,)</f>
        <v>26.7057</v>
      </c>
      <c r="EN8" s="18"/>
      <c r="EO8" s="18">
        <f>_xll.ciqfunctions.udf.CIQ($A8, "IQ_TOTAL_DEBT_CAPITAL",IQ_FQ,$I$5,)</f>
        <v>21.077000000000002</v>
      </c>
      <c r="EP8" s="32"/>
      <c r="EQ8" s="18">
        <f>_xll.ciqfunctions.udf.CIQ($A8, "IQ_RETURN_EQUITY",IQ_LTM,$I$5)</f>
        <v>26.965399999999999</v>
      </c>
      <c r="ER8" s="18"/>
      <c r="ES8" s="18">
        <f>_xll.ciqfunctions.udf.CIQ($A8, "IQ_RETURN_ASSETS",IQ_LTM,$I$5)</f>
        <v>11.5762</v>
      </c>
      <c r="ET8" s="18"/>
      <c r="EU8" s="18">
        <f>_xll.ciqfunctions.udf.CIQ($A8, "IQ_RETURN_INVESTED_CAPITAL",IQ_LTM,$I$5)</f>
        <v>12.149800000000001</v>
      </c>
      <c r="EV8" s="32"/>
      <c r="EW8" s="42">
        <f>_xll.ciqfunctions.udf.CIQ($A8, "IQ_CURRENT_RATIO",IQ_FQ,$I$5,)</f>
        <v>1.47736</v>
      </c>
      <c r="EX8" s="42"/>
      <c r="EY8" s="42">
        <f>_xll.ciqfunctions.udf.CIQ($A8, "IQ_QUICK_RATIO",IQ_FQ,$I$5,)</f>
        <v>1.32962</v>
      </c>
      <c r="EZ8" s="45"/>
      <c r="FA8" s="18">
        <f>_xll.ciqfunctions.udf.CIQ($A8, "IQ_DAYS_SALES_OUT",IQ_LTM,$I$5,)</f>
        <v>74.284440000000004</v>
      </c>
      <c r="FB8" s="18"/>
      <c r="FC8" s="18">
        <f>_xll.ciqfunctions.udf.CIQ($A8, "IQ_DAYS_INVENTORY_OUT",IQ_LTM,$I$5,)</f>
        <v>0</v>
      </c>
      <c r="FD8" s="18"/>
      <c r="FE8" s="18">
        <f>_xll.ciqfunctions.udf.CIQ($A8, "IQ_DAYS_PAYABLE_OUT",IQ_LTM,$I$5,)</f>
        <v>19.3888</v>
      </c>
      <c r="FF8" s="18"/>
      <c r="FG8" s="18">
        <f>_xll.ciqfunctions.udf.CIQ($A8, "IQ_CASH_CONVERSION",IQ_LTM,$I$5,)</f>
        <v>0</v>
      </c>
      <c r="FH8" s="45"/>
      <c r="FI8" s="42">
        <f>_xll.ciqfunctions.udf.CIQ($A8, "IQ_ASSET_TURNS",IQ_LTM,$I$5,)</f>
        <v>1.2092700000000001</v>
      </c>
      <c r="FJ8" s="42"/>
      <c r="FK8" s="42">
        <f>_xll.ciqfunctions.udf.CIQ($A8, "IQ_FIXED_ASSET_TURNS",IQ_LTM,$I$5,)</f>
        <v>16.39537</v>
      </c>
      <c r="FL8" s="42"/>
      <c r="FM8" s="42">
        <f>_xll.ciqfunctions.udf.CIQ($A8, "IQ_AR_TURNS",IQ_LTM,$I$5,)</f>
        <v>4.9135299999999997</v>
      </c>
      <c r="FN8" s="42"/>
      <c r="FO8" s="42">
        <f>_xll.ciqfunctions.udf.CIQ($A8, "IQ_INVENTORY_TURNS",IQ_LTM,$I$5,)</f>
        <v>0</v>
      </c>
      <c r="FR8" s="100">
        <f>_xll.ciqfunctions.udf.CIQ($A8,"IQ_PERIODDATE",IQ_FY,$I$5)</f>
        <v>45535</v>
      </c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2" customFormat="1" x14ac:dyDescent="0.25">
      <c r="A9" s="97" t="str">
        <f>_xll.ciqfunctions.udf.CIQ($A$21,"IQ_QUICK_COMP",3)</f>
        <v>NasdaqGS:CTSH</v>
      </c>
      <c r="C9" s="97" t="str">
        <f>_xll.ciqfunctions.udf.CIQ($A9, "IQ_COMPANY_NAME")</f>
        <v>Cognizant Technology Solutions Corporation</v>
      </c>
      <c r="D9" s="32"/>
      <c r="E9" s="30">
        <f>_xll.ciqfunctions.udf.CIQ($A9,"IQ_PERIODDATE",IQ_FY,$I$5)</f>
        <v>45657</v>
      </c>
      <c r="F9" s="30"/>
      <c r="G9" s="30">
        <f>_xll.ciqfunctions.udf.CIQ($A9,"IQ_PERIODDATE",IQ_LTM,$I$5)</f>
        <v>45657</v>
      </c>
      <c r="H9" s="32"/>
      <c r="I9" s="26">
        <f>_xll.ciqfunctions.udf.CIQ($A9, "IQ_LASTSALEPRICE",$I$5,Ccy,Conv)</f>
        <v>76.45</v>
      </c>
      <c r="J9" s="26"/>
      <c r="K9" s="26">
        <f>_xll.ciqfunctions.udf.CIQ($A9, "IQ_YEARHIGH",$I$5,Ccy,Conv)</f>
        <v>90.82</v>
      </c>
      <c r="L9" s="26"/>
      <c r="M9" s="26">
        <f>_xll.ciqfunctions.udf.CIQ($A9, "IQ_YEARLOW",$I$5,Ccy,Conv)</f>
        <v>63.79</v>
      </c>
      <c r="N9" s="32"/>
      <c r="O9" s="98">
        <f t="shared" si="0"/>
        <v>0.84177493944065196</v>
      </c>
      <c r="P9" s="98"/>
      <c r="Q9" s="98">
        <f t="shared" si="1"/>
        <v>1.198463709045305</v>
      </c>
      <c r="R9" s="32"/>
      <c r="S9" s="18">
        <f>_xll.ciqfunctions.udf.CIQ($A9, "IQ_SHARESOUTSTANDING",$I$5)</f>
        <v>494.61550999999997</v>
      </c>
      <c r="T9" s="32"/>
      <c r="U9" s="46">
        <f t="shared" si="2"/>
        <v>37813.355739500003</v>
      </c>
      <c r="V9" s="46"/>
      <c r="W9" s="18">
        <f>_xll.ciqfunctions.udf.CIQ($A9, "IQ_CASH_ST_INVEST",IQ_FQ,$I$5,,"F",Ccy,Conv)</f>
        <v>2243</v>
      </c>
      <c r="X9" s="18"/>
      <c r="Y9" s="18">
        <f>_xll.ciqfunctions.udf.CIQ($A9, "IQ_TOTAL_DEBT",IQ_FQ,$I$5,,"F",Ccy,Conv)</f>
        <v>1503</v>
      </c>
      <c r="Z9" s="18"/>
      <c r="AA9" s="18">
        <f>_xll.ciqfunctions.udf.CIQ($A9, "IQ_PREF_EQUITY",IQ_FQ,$I$5,,"F",Ccy,Conv)</f>
        <v>0</v>
      </c>
      <c r="AB9" s="18"/>
      <c r="AC9" s="18">
        <f>_xll.ciqfunctions.udf.CIQ($A9, "IQ_MINORITY_INTEREST_TOTAL",IQ_FQ,$I$5,,"F",Ccy,Conv)</f>
        <v>0</v>
      </c>
      <c r="AD9" s="46"/>
      <c r="AE9" s="46">
        <f t="shared" si="6"/>
        <v>37073.355739500003</v>
      </c>
      <c r="AF9" s="46"/>
      <c r="AG9" s="18">
        <f>_xll.ciqfunctions.udf.CIQ($A9, "IQ_TOTAL_REV", IQ_FY,$I$5,,,Ccy,Conv)</f>
        <v>19736</v>
      </c>
      <c r="AH9" s="18"/>
      <c r="AI9" s="18">
        <f>_xll.ciqfunctions.udf.CIQ($A9, "IQ_TOTAL_REV", IQ_LTM,$I$5,,,Ccy,Conv)</f>
        <v>19736</v>
      </c>
      <c r="AJ9" s="18"/>
      <c r="AK9" s="18">
        <f>_xll.ciqfunctions.udf.CIQ($A9, "IQ_REVENUE_EST", IQ_CY+ 1,$I$5,,,Ccy,Conv)</f>
        <v>20616.660159999999</v>
      </c>
      <c r="AL9" s="18"/>
      <c r="AM9" s="18">
        <f>_xll.ciqfunctions.udf.CIQ($A9, "IQ_REVENUE_EST", IQ_CY+ 2,$I$5,,,Ccy,Conv)</f>
        <v>21657.386890000002</v>
      </c>
      <c r="AN9" s="46"/>
      <c r="AO9" s="18">
        <f>_xll.ciqfunctions.udf.CIQ($A9, "IQ_EBITDA", IQ_FY,$I$5,,,Ccy,Conv)</f>
        <v>3519</v>
      </c>
      <c r="AP9" s="18"/>
      <c r="AQ9" s="18">
        <f>_xll.ciqfunctions.udf.CIQ($A9, "IQ_EBITDA", IQ_LTM,$I$5,,,Ccy,Conv)</f>
        <v>3519</v>
      </c>
      <c r="AR9" s="18"/>
      <c r="AS9" s="18">
        <f>_xll.ciqfunctions.udf.CIQ($A9, "IQ_EBITDA_EST", IQ_CY+ 1,$I$5,,,Ccy,Conv)</f>
        <v>3820.9614099999999</v>
      </c>
      <c r="AT9" s="18"/>
      <c r="AU9" s="18">
        <f>_xll.ciqfunctions.udf.CIQ($A9, "IQ_EBITDA_EST", IQ_CY+ 2,$I$5,,,Ccy,Conv)</f>
        <v>4031.5162399999999</v>
      </c>
      <c r="AV9" s="46"/>
      <c r="AW9" s="26">
        <f>_xll.ciqfunctions.udf.CIQ($A9, "IQ_DILUT_EPS_EXCL", IQ_FY,$I$5,,,Ccy,Conv)</f>
        <v>4.51</v>
      </c>
      <c r="AX9" s="26"/>
      <c r="AY9" s="26">
        <f>_xll.ciqfunctions.udf.CIQ($A9, "IQ_DILUT_EPS_EXCL", IQ_LTM,$I$5,,,Ccy,Conv)</f>
        <v>4.51</v>
      </c>
      <c r="AZ9" s="26"/>
      <c r="BA9" s="26">
        <f>_xll.ciqfunctions.udf.CIQ($A9, "IQ_EPS_EST", IQ_CY+ 1,$I$5,,,Ccy,Conv)</f>
        <v>5.0005899999999999</v>
      </c>
      <c r="BB9" s="26"/>
      <c r="BC9" s="26">
        <f>_xll.ciqfunctions.udf.CIQ($A9, "IQ_EPS_EST", IQ_CY+ 2,$I$5,,,Ccy,Conv)</f>
        <v>5.3589500000000001</v>
      </c>
      <c r="BD9" s="32"/>
      <c r="BE9" s="42">
        <f>_xll.ciqfunctions.udf.CIQ($A9, "IQ_TEV_TOTAL_REV",IQ_LTM,$FR9)</f>
        <v>1.9558500000000001</v>
      </c>
      <c r="BF9" s="42"/>
      <c r="BG9" s="42">
        <f>_xll.ciqfunctions.udf.CIQ($A9, "IQ_TEV_TOTAL_REV",IQ_LTM,$I$5)</f>
        <v>1.87846</v>
      </c>
      <c r="BH9" s="46"/>
      <c r="BI9" s="99">
        <f t="shared" si="3"/>
        <v>1.7982231579598391</v>
      </c>
      <c r="BJ9" s="99"/>
      <c r="BK9" s="99">
        <f t="shared" si="4"/>
        <v>1.711811121433958</v>
      </c>
      <c r="BL9" s="46"/>
      <c r="BM9" s="42">
        <f>_xll.ciqfunctions.udf.CIQ($A9, "IQ_TEV_EBITDA",IQ_LTM,$FR9)</f>
        <v>9.9013899999999992</v>
      </c>
      <c r="BN9" s="42"/>
      <c r="BO9" s="42">
        <f>_xll.ciqfunctions.udf.CIQ($A9, "IQ_TEV_EBITDA",IQ_LTM,$I$5)</f>
        <v>9.85731</v>
      </c>
      <c r="BP9" s="42"/>
      <c r="BQ9" s="42">
        <f>_xll.ciqfunctions.udf.CIQ($A9, "IQ_TEV_EBITDA_FWD",IQ_CY+1,$I$5)</f>
        <v>9.7026299999999992</v>
      </c>
      <c r="BR9" s="42"/>
      <c r="BS9" s="42">
        <f>_xll.ciqfunctions.udf.CIQ($A9, "IQ_TEV_EBITDA_FWD",IQ_CY+2,$I$5)</f>
        <v>9.1958800000000007</v>
      </c>
      <c r="BT9" s="46"/>
      <c r="BU9" s="42">
        <f>_xll.ciqfunctions.udf.CIQ($A9, "IQ_PE_EXCL",IQ_LTM,$FR9)</f>
        <v>17.013960000000001</v>
      </c>
      <c r="BV9" s="42"/>
      <c r="BW9" s="42">
        <f>_xll.ciqfunctions.udf.CIQ($A9, "IQ_PE_EXCL",IQ_LTM,$I$5)</f>
        <v>16.951219999999999</v>
      </c>
      <c r="BX9" s="42"/>
      <c r="BY9" s="42">
        <f>_xll.ciqfunctions.udf.CIQ($A9, "IQ_PE_EXCL_FWD",IQ_CY+1,$I$5)</f>
        <v>15.2882</v>
      </c>
      <c r="BZ9" s="42"/>
      <c r="CA9" s="42">
        <f>_xll.ciqfunctions.udf.CIQ($A9, "IQ_PE_EXCL_FWD",IQ_CY+2,$I$5)</f>
        <v>14.26585</v>
      </c>
      <c r="CB9" s="46"/>
      <c r="CC9" s="42">
        <f>_xll.ciqfunctions.udf.CIQ($A9, "IQ_PBV",IQ_LTM,$I$5,)</f>
        <v>2.6265100000000001</v>
      </c>
      <c r="CD9" s="42"/>
      <c r="CE9" s="42">
        <f>_xll.ciqfunctions.udf.CIQ($A9, "IQ_PTBV",IQ_LTM,$I$5,)</f>
        <v>6.4622200000000003</v>
      </c>
      <c r="CF9" s="32"/>
      <c r="CG9" s="18">
        <f>_xll.ciqfunctions.udf.CIQ($A9, "IQ_GROSS_MARGIN", IQ_FY- 2,$I$5,)</f>
        <v>35.927500000000002</v>
      </c>
      <c r="CH9" s="18"/>
      <c r="CI9" s="18">
        <f>_xll.ciqfunctions.udf.CIQ($A9, "IQ_GROSS_MARGIN", IQ_FY- 1,$I$5,)</f>
        <v>34.563099999999999</v>
      </c>
      <c r="CJ9" s="18"/>
      <c r="CK9" s="18">
        <f>_xll.ciqfunctions.udf.CIQ($A9, "IQ_GROSS_MARGIN", IQ_FY,$I$5,)</f>
        <v>34.343299999999999</v>
      </c>
      <c r="CL9" s="18"/>
      <c r="CM9" s="18">
        <f>_xll.ciqfunctions.udf.CIQ($A9, "IQ_GROSS_MARGIN", IQ_LTM,$I$5,)</f>
        <v>34.343299999999999</v>
      </c>
      <c r="CN9" s="46"/>
      <c r="CO9" s="18">
        <f>_xll.ciqfunctions.udf.CIQ($A9, "IQ_EBITDA_MARGIN", IQ_FY- 2,$I$5,)</f>
        <v>18.0152</v>
      </c>
      <c r="CP9" s="18"/>
      <c r="CQ9" s="18">
        <f>_xll.ciqfunctions.udf.CIQ($A9, "IQ_EBITDA_MARGIN", IQ_FY- 1,$I$5,)</f>
        <v>17.656099999999999</v>
      </c>
      <c r="CR9" s="18"/>
      <c r="CS9" s="18">
        <f>_xll.ciqfunctions.udf.CIQ($A9, "IQ_EBITDA_MARGIN", IQ_FY,$I$5,)</f>
        <v>17.830300000000001</v>
      </c>
      <c r="CT9" s="18"/>
      <c r="CU9" s="18">
        <f>_xll.ciqfunctions.udf.CIQ($A9, "IQ_EBITDA_MARGIN", IQ_LTM,$I$5,)</f>
        <v>17.830300000000001</v>
      </c>
      <c r="CV9" s="46"/>
      <c r="CW9" s="18">
        <f>_xll.ciqfunctions.udf.CIQ($A9, "IQ_NI_MARGIN", IQ_FY- 2,$I$5,)</f>
        <v>11.787100000000001</v>
      </c>
      <c r="CX9" s="18"/>
      <c r="CY9" s="18">
        <f>_xll.ciqfunctions.udf.CIQ($A9, "IQ_NI_MARGIN", IQ_FY- 1,$I$5,)</f>
        <v>10.985300000000001</v>
      </c>
      <c r="CZ9" s="18"/>
      <c r="DA9" s="18">
        <f>_xll.ciqfunctions.udf.CIQ($A9, "IQ_NI_MARGIN", IQ_FY,$I$5,)</f>
        <v>11.3498</v>
      </c>
      <c r="DB9" s="18"/>
      <c r="DC9" s="18">
        <f>_xll.ciqfunctions.udf.CIQ($A9, "IQ_NI_MARGIN", IQ_LTM,$I$5,)</f>
        <v>11.3498</v>
      </c>
      <c r="DD9" s="32"/>
      <c r="DE9" s="18">
        <f>_xll.ciqfunctions.udf.CIQ($A9, "IQ_TOTAL_REV_5YR_ANN_CAGR",IQ_LTM,$I$5,)</f>
        <v>3.2947000000000002</v>
      </c>
      <c r="DF9" s="18"/>
      <c r="DG9" s="18">
        <f>_xll.ciqfunctions.udf.CIQ($A9, "IQ_TOTAL_REV_3YR_ANN_CAGR",IQ_LTM,$I$5,)</f>
        <v>2.1663000000000001</v>
      </c>
      <c r="DH9" s="18"/>
      <c r="DI9" s="18">
        <f>_xll.ciqfunctions.udf.CIQ($A9, "IQ_TOTAL_REV_1YR_ANN_GROWTH", IQ_FY,$I$5,)</f>
        <v>1.9790000000000001</v>
      </c>
      <c r="DJ9" s="18"/>
      <c r="DK9" s="18">
        <f>_xll.ciqfunctions.udf.CIQ($A9, "IQ_TOTAL_REV_1YR_ANN_GROWTH",IQ_LTM,$I$5,)</f>
        <v>1.9790000000000001</v>
      </c>
      <c r="DL9" s="46"/>
      <c r="DM9" s="18">
        <f>_xll.ciqfunctions.udf.CIQ($A9, "IQ_EBITDA_5YR_ANN_CAGR",IQ_LTM,$I$5,)</f>
        <v>1.3487</v>
      </c>
      <c r="DN9" s="18"/>
      <c r="DO9" s="18">
        <f>_xll.ciqfunctions.udf.CIQ($A9, "IQ_EBITDA_3YR_ANN_CAGR",IQ_LTM,$I$5,)</f>
        <v>1.4826999999999999</v>
      </c>
      <c r="DP9" s="18"/>
      <c r="DQ9" s="18">
        <f>_xll.ciqfunctions.udf.CIQ($A9, "IQ_EBITDA_1YR_ANN_GROWTH", IQ_FY,$I$5,)</f>
        <v>2.9849999999999999</v>
      </c>
      <c r="DR9" s="18"/>
      <c r="DS9" s="18">
        <f>_xll.ciqfunctions.udf.CIQ($A9, "IQ_EBITDA_1YR_ANN_GROWTH",IQ_LTM,$I$5,)</f>
        <v>2.9849999999999999</v>
      </c>
      <c r="DT9" s="46"/>
      <c r="DU9" s="18">
        <f>_xll.ciqfunctions.udf.CIQ($A9, "IQ_EPS_5YR_ANN_CAGR",IQ_LTM,$I$5,)</f>
        <v>6.5114000000000001</v>
      </c>
      <c r="DV9" s="18"/>
      <c r="DW9" s="18">
        <f>_xll.ciqfunctions.udf.CIQ($A9, "IQ_EPS_3YR_ANN_CAGR",IQ_LTM,$I$5,)</f>
        <v>3.6511</v>
      </c>
      <c r="DX9" s="18"/>
      <c r="DY9" s="18">
        <f>_xll.ciqfunctions.udf.CIQ($A9, "IQ_EPS_1YR_ANN_GROWTH", IQ_FY,$I$5,)</f>
        <v>7.1284000000000001</v>
      </c>
      <c r="DZ9" s="18"/>
      <c r="EA9" s="18">
        <f>_xll.ciqfunctions.udf.CIQ($A9, "IQ_EPS_1YR_ANN_GROWTH", IQ_LTM,$I$5,)</f>
        <v>7.1284000000000001</v>
      </c>
      <c r="EB9" s="32"/>
      <c r="EC9" s="42">
        <f>_xll.ciqfunctions.udf.CIQ($A9, "IQ_TOTAL_DEBT_EBITDA",IQ_LTM,$I$5,)</f>
        <v>0.40122999999999998</v>
      </c>
      <c r="ED9" s="42"/>
      <c r="EE9" s="42" t="str">
        <f>_xll.ciqfunctions.udf.CIQ($A9, "IQ_NET_DEBT_EBITDA",IQ_LTM,$I$5,)</f>
        <v>NM</v>
      </c>
      <c r="EF9" s="18"/>
      <c r="EG9" s="102">
        <f t="shared" si="5"/>
        <v>0.42710997442455245</v>
      </c>
      <c r="EH9" s="18"/>
      <c r="EI9" s="42">
        <f>_xll.ciqfunctions.udf.CIQ($A9, "IQ_EBITDA_INT",IQ_LTM,$I$5,)</f>
        <v>69.370369999999994</v>
      </c>
      <c r="EJ9" s="42"/>
      <c r="EK9" s="42">
        <f>_xll.ciqfunctions.udf.CIQ($A9, "IQ_EBITDA_CAPEX_INT",IQ_LTM,$I$5,)</f>
        <v>63.870370000000001</v>
      </c>
      <c r="EL9" s="45"/>
      <c r="EM9" s="18">
        <f>_xll.ciqfunctions.udf.CIQ($A9, "IQ_TOTAL_DEBT_EQUITY",IQ_FQ,$I$5,)</f>
        <v>10.431699999999999</v>
      </c>
      <c r="EN9" s="18"/>
      <c r="EO9" s="18">
        <f>_xll.ciqfunctions.udf.CIQ($A9, "IQ_TOTAL_DEBT_CAPITAL",IQ_FQ,$I$5,)</f>
        <v>9.4461999999999993</v>
      </c>
      <c r="EP9" s="32"/>
      <c r="EQ9" s="18">
        <f>_xll.ciqfunctions.udf.CIQ($A9, "IQ_RETURN_EQUITY",IQ_LTM,$I$5)</f>
        <v>16.211300000000001</v>
      </c>
      <c r="ER9" s="18"/>
      <c r="ES9" s="18">
        <f>_xll.ciqfunctions.udf.CIQ($A9, "IQ_RETURN_ASSETS",IQ_LTM,$I$5)</f>
        <v>9.8376999999999999</v>
      </c>
      <c r="ET9" s="18"/>
      <c r="EU9" s="18">
        <f>_xll.ciqfunctions.udf.CIQ($A9, "IQ_RETURN_INVESTED_CAPITAL",IQ_LTM,$I$5)</f>
        <v>10.7622</v>
      </c>
      <c r="EV9" s="32"/>
      <c r="EW9" s="42">
        <f>_xll.ciqfunctions.udf.CIQ($A9, "IQ_CURRENT_RATIO",IQ_FQ,$I$5,)</f>
        <v>2.0931700000000002</v>
      </c>
      <c r="EX9" s="42"/>
      <c r="EY9" s="42">
        <f>_xll.ciqfunctions.udf.CIQ($A9, "IQ_QUICK_RATIO",IQ_FQ,$I$5,)</f>
        <v>1.7578800000000001</v>
      </c>
      <c r="EZ9" s="45"/>
      <c r="FA9" s="18">
        <f>_xll.ciqfunctions.udf.CIQ($A9, "IQ_DAYS_SALES_OUT",IQ_LTM,$I$5,)</f>
        <v>73.325900000000004</v>
      </c>
      <c r="FB9" s="18"/>
      <c r="FC9" s="18">
        <f>_xll.ciqfunctions.udf.CIQ($A9, "IQ_DAYS_INVENTORY_OUT",IQ_LTM,$I$5,)</f>
        <v>0</v>
      </c>
      <c r="FD9" s="18"/>
      <c r="FE9" s="18">
        <f>_xll.ciqfunctions.udf.CIQ($A9, "IQ_DAYS_PAYABLE_OUT",IQ_LTM,$I$5,)</f>
        <v>9.5606500000000008</v>
      </c>
      <c r="FF9" s="18"/>
      <c r="FG9" s="18">
        <f>_xll.ciqfunctions.udf.CIQ($A9, "IQ_CASH_CONVERSION",IQ_LTM,$I$5,)</f>
        <v>0</v>
      </c>
      <c r="FH9" s="45"/>
      <c r="FI9" s="42">
        <f>_xll.ciqfunctions.udf.CIQ($A9, "IQ_ASSET_TURNS",IQ_LTM,$I$5,)</f>
        <v>1.02661</v>
      </c>
      <c r="FJ9" s="42"/>
      <c r="FK9" s="42">
        <f>_xll.ciqfunctions.udf.CIQ($A9, "IQ_FIXED_ASSET_TURNS",IQ_LTM,$I$5,)</f>
        <v>12.315759999999999</v>
      </c>
      <c r="FL9" s="42"/>
      <c r="FM9" s="42">
        <f>_xll.ciqfunctions.udf.CIQ($A9, "IQ_AR_TURNS",IQ_LTM,$I$5,)</f>
        <v>4.9913999999999996</v>
      </c>
      <c r="FN9" s="42"/>
      <c r="FO9" s="42">
        <f>_xll.ciqfunctions.udf.CIQ($A9, "IQ_INVENTORY_TURNS",IQ_LTM,$I$5,)</f>
        <v>0</v>
      </c>
      <c r="FR9" s="100">
        <f>_xll.ciqfunctions.udf.CIQ($A9,"IQ_PERIODDATE",IQ_FY,$I$5)</f>
        <v>45657</v>
      </c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2" customFormat="1" x14ac:dyDescent="0.25">
      <c r="A10" s="97" t="str">
        <f>_xll.ciqfunctions.udf.CIQ($A$21,"IQ_QUICK_COMP",4)</f>
        <v>NYSE:CRM</v>
      </c>
      <c r="C10" s="97" t="str">
        <f>_xll.ciqfunctions.udf.CIQ($A10, "IQ_COMPANY_NAME")</f>
        <v>Salesforce, Inc.</v>
      </c>
      <c r="D10" s="32"/>
      <c r="E10" s="30">
        <f>_xll.ciqfunctions.udf.CIQ($A10,"IQ_PERIODDATE",IQ_FY,$I$5)</f>
        <v>45688</v>
      </c>
      <c r="F10" s="30"/>
      <c r="G10" s="30">
        <f>_xll.ciqfunctions.udf.CIQ($A10,"IQ_PERIODDATE",IQ_LTM,$I$5)</f>
        <v>45688</v>
      </c>
      <c r="H10" s="32"/>
      <c r="I10" s="26">
        <f>_xll.ciqfunctions.udf.CIQ($A10, "IQ_LASTSALEPRICE",$I$5,Ccy,Conv)</f>
        <v>270.2</v>
      </c>
      <c r="J10" s="26"/>
      <c r="K10" s="26">
        <f>_xll.ciqfunctions.udf.CIQ($A10, "IQ_YEARHIGH",$I$5,Ccy,Conv)</f>
        <v>369</v>
      </c>
      <c r="L10" s="26"/>
      <c r="M10" s="26">
        <f>_xll.ciqfunctions.udf.CIQ($A10, "IQ_YEARLOW",$I$5,Ccy,Conv)</f>
        <v>212</v>
      </c>
      <c r="N10" s="32"/>
      <c r="O10" s="98">
        <f t="shared" si="0"/>
        <v>0.73224932249322494</v>
      </c>
      <c r="P10" s="98"/>
      <c r="Q10" s="98">
        <f t="shared" si="1"/>
        <v>1.2745283018867923</v>
      </c>
      <c r="R10" s="32"/>
      <c r="S10" s="18">
        <f>_xll.ciqfunctions.udf.CIQ($A10, "IQ_SHARESOUTSTANDING",$I$5)</f>
        <v>961</v>
      </c>
      <c r="T10" s="32"/>
      <c r="U10" s="46">
        <f t="shared" si="2"/>
        <v>259662.19999999998</v>
      </c>
      <c r="V10" s="46"/>
      <c r="W10" s="18">
        <f>_xll.ciqfunctions.udf.CIQ($A10, "IQ_CASH_ST_INVEST",IQ_FQ,$I$5,,"F",Ccy,Conv)</f>
        <v>14032</v>
      </c>
      <c r="X10" s="18"/>
      <c r="Y10" s="18">
        <f>_xll.ciqfunctions.udf.CIQ($A10, "IQ_TOTAL_DEBT",IQ_FQ,$I$5,,"F",Ccy,Conv)</f>
        <v>12070</v>
      </c>
      <c r="Z10" s="18"/>
      <c r="AA10" s="18">
        <f>_xll.ciqfunctions.udf.CIQ($A10, "IQ_PREF_EQUITY",IQ_FQ,$I$5,,"F",Ccy,Conv)</f>
        <v>0</v>
      </c>
      <c r="AB10" s="18"/>
      <c r="AC10" s="18">
        <f>_xll.ciqfunctions.udf.CIQ($A10, "IQ_MINORITY_INTEREST_TOTAL",IQ_FQ,$I$5,,"F",Ccy,Conv)</f>
        <v>0</v>
      </c>
      <c r="AD10" s="46"/>
      <c r="AE10" s="46">
        <f t="shared" si="6"/>
        <v>257700.19999999998</v>
      </c>
      <c r="AF10" s="46"/>
      <c r="AG10" s="18">
        <f>_xll.ciqfunctions.udf.CIQ($A10, "IQ_TOTAL_REV", IQ_FY,$I$5,,,Ccy,Conv)</f>
        <v>37895</v>
      </c>
      <c r="AH10" s="18"/>
      <c r="AI10" s="18">
        <f>_xll.ciqfunctions.udf.CIQ($A10, "IQ_TOTAL_REV", IQ_LTM,$I$5,,,Ccy,Conv)</f>
        <v>37895</v>
      </c>
      <c r="AJ10" s="18"/>
      <c r="AK10" s="18">
        <f>_xll.ciqfunctions.udf.CIQ($A10, "IQ_REVENUE_EST", IQ_CY+ 1,$I$5,,,Ccy,Conv)</f>
        <v>40869.412519999998</v>
      </c>
      <c r="AL10" s="18"/>
      <c r="AM10" s="18">
        <f>_xll.ciqfunctions.udf.CIQ($A10, "IQ_REVENUE_EST", IQ_CY+ 2,$I$5,,,Ccy,Conv)</f>
        <v>44674.16994</v>
      </c>
      <c r="AN10" s="46"/>
      <c r="AO10" s="18">
        <f>_xll.ciqfunctions.udf.CIQ($A10, "IQ_EBITDA", IQ_FY,$I$5,,,Ccy,Conv)</f>
        <v>11143</v>
      </c>
      <c r="AP10" s="18"/>
      <c r="AQ10" s="18">
        <f>_xll.ciqfunctions.udf.CIQ($A10, "IQ_EBITDA", IQ_LTM,$I$5,,,Ccy,Conv)</f>
        <v>11143</v>
      </c>
      <c r="AR10" s="18"/>
      <c r="AS10" s="18">
        <f>_xll.ciqfunctions.udf.CIQ($A10, "IQ_EBITDA_EST", IQ_CY+ 1,$I$5,,,Ccy,Conv)</f>
        <v>16004.022499999999</v>
      </c>
      <c r="AT10" s="18"/>
      <c r="AU10" s="18">
        <f>_xll.ciqfunctions.udf.CIQ($A10, "IQ_EBITDA_EST", IQ_CY+ 2,$I$5,,,Ccy,Conv)</f>
        <v>17515.447499999998</v>
      </c>
      <c r="AV10" s="46"/>
      <c r="AW10" s="26">
        <f>_xll.ciqfunctions.udf.CIQ($A10, "IQ_DILUT_EPS_EXCL", IQ_FY,$I$5,,,Ccy,Conv)</f>
        <v>6.36</v>
      </c>
      <c r="AX10" s="26"/>
      <c r="AY10" s="26">
        <f>_xll.ciqfunctions.udf.CIQ($A10, "IQ_DILUT_EPS_EXCL", IQ_LTM,$I$5,,,Ccy,Conv)</f>
        <v>6.36</v>
      </c>
      <c r="AZ10" s="26"/>
      <c r="BA10" s="26">
        <f>_xll.ciqfunctions.udf.CIQ($A10, "IQ_EPS_EST", IQ_CY+ 1,$I$5,,,Ccy,Conv)</f>
        <v>11.1646</v>
      </c>
      <c r="BB10" s="26"/>
      <c r="BC10" s="26">
        <f>_xll.ciqfunctions.udf.CIQ($A10, "IQ_EPS_EST", IQ_CY+ 2,$I$5,,,Ccy,Conv)</f>
        <v>12.565020000000001</v>
      </c>
      <c r="BD10" s="32"/>
      <c r="BE10" s="42">
        <f>_xll.ciqfunctions.udf.CIQ($A10, "IQ_TEV_TOTAL_REV",IQ_LTM,$FR10)</f>
        <v>8.7775400000000001</v>
      </c>
      <c r="BF10" s="42"/>
      <c r="BG10" s="42">
        <f>_xll.ciqfunctions.udf.CIQ($A10, "IQ_TEV_TOTAL_REV",IQ_LTM,$I$5)</f>
        <v>6.80037</v>
      </c>
      <c r="BH10" s="46"/>
      <c r="BI10" s="99">
        <f t="shared" si="3"/>
        <v>6.3054539840495849</v>
      </c>
      <c r="BJ10" s="99"/>
      <c r="BK10" s="99">
        <f t="shared" si="4"/>
        <v>5.7684384588702216</v>
      </c>
      <c r="BL10" s="46"/>
      <c r="BM10" s="42">
        <f>_xll.ciqfunctions.udf.CIQ($A10, "IQ_TEV_EBITDA",IQ_LTM,$FR10)</f>
        <v>31.722829999999998</v>
      </c>
      <c r="BN10" s="42"/>
      <c r="BO10" s="42">
        <f>_xll.ciqfunctions.udf.CIQ($A10, "IQ_TEV_EBITDA",IQ_LTM,$I$5)</f>
        <v>21.78914</v>
      </c>
      <c r="BP10" s="42"/>
      <c r="BQ10" s="42">
        <f>_xll.ciqfunctions.udf.CIQ($A10, "IQ_TEV_EBITDA_FWD",IQ_CY+1,$I$5)</f>
        <v>16.102209999999999</v>
      </c>
      <c r="BR10" s="42"/>
      <c r="BS10" s="42">
        <f>_xll.ciqfunctions.udf.CIQ($A10, "IQ_TEV_EBITDA_FWD",IQ_CY+2,$I$5)</f>
        <v>14.71274</v>
      </c>
      <c r="BT10" s="46"/>
      <c r="BU10" s="42">
        <f>_xll.ciqfunctions.udf.CIQ($A10, "IQ_PE_EXCL",IQ_LTM,$FR10)</f>
        <v>56.280009999999997</v>
      </c>
      <c r="BV10" s="42"/>
      <c r="BW10" s="42">
        <f>_xll.ciqfunctions.udf.CIQ($A10, "IQ_PE_EXCL",IQ_LTM,$I$5)</f>
        <v>42.484279999999998</v>
      </c>
      <c r="BX10" s="42"/>
      <c r="BY10" s="42">
        <f>_xll.ciqfunctions.udf.CIQ($A10, "IQ_PE_EXCL_FWD",IQ_CY+1,$I$5)</f>
        <v>24.20149</v>
      </c>
      <c r="BZ10" s="42"/>
      <c r="CA10" s="42">
        <f>_xll.ciqfunctions.udf.CIQ($A10, "IQ_PE_EXCL_FWD",IQ_CY+2,$I$5)</f>
        <v>21.50414</v>
      </c>
      <c r="CB10" s="46"/>
      <c r="CC10" s="42">
        <f>_xll.ciqfunctions.udf.CIQ($A10, "IQ_PBV",IQ_LTM,$I$5,)</f>
        <v>4.2491399999999997</v>
      </c>
      <c r="CD10" s="42"/>
      <c r="CE10" s="42">
        <f>_xll.ciqfunctions.udf.CIQ($A10, "IQ_PTBV",IQ_LTM,$I$5,)</f>
        <v>47.589239999999997</v>
      </c>
      <c r="CF10" s="32"/>
      <c r="CG10" s="18">
        <f>_xll.ciqfunctions.udf.CIQ($A10, "IQ_GROSS_MARGIN", IQ_FY- 2,$I$5,)</f>
        <v>73.334999999999994</v>
      </c>
      <c r="CH10" s="18"/>
      <c r="CI10" s="18">
        <f>_xll.ciqfunctions.udf.CIQ($A10, "IQ_GROSS_MARGIN", IQ_FY- 1,$I$5,)</f>
        <v>75.497</v>
      </c>
      <c r="CJ10" s="18"/>
      <c r="CK10" s="18">
        <f>_xll.ciqfunctions.udf.CIQ($A10, "IQ_GROSS_MARGIN", IQ_FY,$I$5,)</f>
        <v>77.1922</v>
      </c>
      <c r="CL10" s="18"/>
      <c r="CM10" s="18">
        <f>_xll.ciqfunctions.udf.CIQ($A10, "IQ_GROSS_MARGIN", IQ_LTM,$I$5,)</f>
        <v>77.1922</v>
      </c>
      <c r="CN10" s="46"/>
      <c r="CO10" s="18">
        <f>_xll.ciqfunctions.udf.CIQ($A10, "IQ_EBITDA_MARGIN", IQ_FY- 2,$I$5,)</f>
        <v>18.001999999999999</v>
      </c>
      <c r="CP10" s="18"/>
      <c r="CQ10" s="18">
        <f>_xll.ciqfunctions.udf.CIQ($A10, "IQ_EBITDA_MARGIN", IQ_FY- 1,$I$5,)</f>
        <v>28.568100000000001</v>
      </c>
      <c r="CR10" s="18"/>
      <c r="CS10" s="18">
        <f>_xll.ciqfunctions.udf.CIQ($A10, "IQ_EBITDA_MARGIN", IQ_FY,$I$5,)</f>
        <v>29.404900000000001</v>
      </c>
      <c r="CT10" s="18"/>
      <c r="CU10" s="18">
        <f>_xll.ciqfunctions.udf.CIQ($A10, "IQ_EBITDA_MARGIN", IQ_LTM,$I$5,)</f>
        <v>29.404900000000001</v>
      </c>
      <c r="CV10" s="46"/>
      <c r="CW10" s="18">
        <f>_xll.ciqfunctions.udf.CIQ($A10, "IQ_NI_MARGIN", IQ_FY- 2,$I$5,)</f>
        <v>0.66339999999999999</v>
      </c>
      <c r="CX10" s="18"/>
      <c r="CY10" s="18">
        <f>_xll.ciqfunctions.udf.CIQ($A10, "IQ_NI_MARGIN", IQ_FY- 1,$I$5,)</f>
        <v>11.865600000000001</v>
      </c>
      <c r="CZ10" s="18"/>
      <c r="DA10" s="18">
        <f>_xll.ciqfunctions.udf.CIQ($A10, "IQ_NI_MARGIN", IQ_FY,$I$5,)</f>
        <v>16.353000000000002</v>
      </c>
      <c r="DB10" s="18"/>
      <c r="DC10" s="18">
        <f>_xll.ciqfunctions.udf.CIQ($A10, "IQ_NI_MARGIN", IQ_LTM,$I$5,)</f>
        <v>16.353000000000002</v>
      </c>
      <c r="DD10" s="32"/>
      <c r="DE10" s="18">
        <f>_xll.ciqfunctions.udf.CIQ($A10, "IQ_TOTAL_REV_5YR_ANN_CAGR",IQ_LTM,$I$5,)</f>
        <v>17.253900000000002</v>
      </c>
      <c r="DF10" s="18"/>
      <c r="DG10" s="18">
        <f>_xll.ciqfunctions.udf.CIQ($A10, "IQ_TOTAL_REV_3YR_ANN_CAGR",IQ_LTM,$I$5,)</f>
        <v>12.6736</v>
      </c>
      <c r="DH10" s="18"/>
      <c r="DI10" s="18">
        <f>_xll.ciqfunctions.udf.CIQ($A10, "IQ_TOTAL_REV_1YR_ANN_GROWTH", IQ_FY,$I$5,)</f>
        <v>8.7156000000000002</v>
      </c>
      <c r="DJ10" s="18"/>
      <c r="DK10" s="18">
        <f>_xll.ciqfunctions.udf.CIQ($A10, "IQ_TOTAL_REV_1YR_ANN_GROWTH",IQ_LTM,$I$5,)</f>
        <v>8.7156000000000002</v>
      </c>
      <c r="DL10" s="46"/>
      <c r="DM10" s="18">
        <f>_xll.ciqfunctions.udf.CIQ($A10, "IQ_EBITDA_5YR_ANN_CAGR",IQ_LTM,$I$5,)</f>
        <v>33.805100000000003</v>
      </c>
      <c r="DN10" s="18"/>
      <c r="DO10" s="18">
        <f>_xll.ciqfunctions.udf.CIQ($A10, "IQ_EBITDA_3YR_ANN_CAGR",IQ_LTM,$I$5,)</f>
        <v>42.56</v>
      </c>
      <c r="DP10" s="18"/>
      <c r="DQ10" s="18">
        <f>_xll.ciqfunctions.udf.CIQ($A10, "IQ_EBITDA_1YR_ANN_GROWTH", IQ_FY,$I$5,)</f>
        <v>11.899900000000001</v>
      </c>
      <c r="DR10" s="18"/>
      <c r="DS10" s="18">
        <f>_xll.ciqfunctions.udf.CIQ($A10, "IQ_EBITDA_1YR_ANN_GROWTH",IQ_LTM,$I$5,)</f>
        <v>11.899900000000001</v>
      </c>
      <c r="DT10" s="46"/>
      <c r="DU10" s="18">
        <f>_xll.ciqfunctions.udf.CIQ($A10, "IQ_EPS_5YR_ANN_CAGR",IQ_LTM,$I$5,)</f>
        <v>111.5793</v>
      </c>
      <c r="DV10" s="18"/>
      <c r="DW10" s="18">
        <f>_xll.ciqfunctions.udf.CIQ($A10, "IQ_EPS_3YR_ANN_CAGR",IQ_LTM,$I$5,)</f>
        <v>62.579300000000003</v>
      </c>
      <c r="DX10" s="18"/>
      <c r="DY10" s="18">
        <f>_xll.ciqfunctions.udf.CIQ($A10, "IQ_EPS_1YR_ANN_GROWTH", IQ_FY,$I$5,)</f>
        <v>51.4285</v>
      </c>
      <c r="DZ10" s="18"/>
      <c r="EA10" s="18">
        <f>_xll.ciqfunctions.udf.CIQ($A10, "IQ_EPS_1YR_ANN_GROWTH", IQ_LTM,$I$5,)</f>
        <v>51.4285</v>
      </c>
      <c r="EB10" s="32"/>
      <c r="EC10" s="42">
        <f>_xll.ciqfunctions.udf.CIQ($A10, "IQ_TOTAL_DEBT_EBITDA",IQ_LTM,$I$5,)</f>
        <v>1.0205500000000001</v>
      </c>
      <c r="ED10" s="42"/>
      <c r="EE10" s="42" t="str">
        <f>_xll.ciqfunctions.udf.CIQ($A10, "IQ_NET_DEBT_EBITDA",IQ_LTM,$I$5,)</f>
        <v>NM</v>
      </c>
      <c r="EF10" s="18"/>
      <c r="EG10" s="102">
        <f t="shared" si="5"/>
        <v>1.0831912411379341</v>
      </c>
      <c r="EH10" s="18"/>
      <c r="EI10" s="42">
        <f>_xll.ciqfunctions.udf.CIQ($A10, "IQ_EBITDA_INT",IQ_LTM,$I$5,)</f>
        <v>39.42333</v>
      </c>
      <c r="EJ10" s="42"/>
      <c r="EK10" s="42">
        <f>_xll.ciqfunctions.udf.CIQ($A10, "IQ_EBITDA_CAPEX_INT",IQ_LTM,$I$5,)</f>
        <v>37.229999999999997</v>
      </c>
      <c r="EL10" s="45"/>
      <c r="EM10" s="18">
        <f>_xll.ciqfunctions.udf.CIQ($A10, "IQ_TOTAL_DEBT_EQUITY",IQ_FQ,$I$5,)</f>
        <v>19.730899999999998</v>
      </c>
      <c r="EN10" s="18"/>
      <c r="EO10" s="18">
        <f>_xll.ciqfunctions.udf.CIQ($A10, "IQ_TOTAL_DEBT_CAPITAL",IQ_FQ,$I$5,)</f>
        <v>16.479299999999999</v>
      </c>
      <c r="EP10" s="32"/>
      <c r="EQ10" s="18">
        <f>_xll.ciqfunctions.udf.CIQ($A10, "IQ_RETURN_EQUITY",IQ_LTM,$I$5)</f>
        <v>10.2583</v>
      </c>
      <c r="ER10" s="18"/>
      <c r="ES10" s="18">
        <f>_xll.ciqfunctions.udf.CIQ($A10, "IQ_RETURN_ASSETS",IQ_LTM,$I$5)</f>
        <v>4.7262000000000004</v>
      </c>
      <c r="ET10" s="18"/>
      <c r="EU10" s="18">
        <f>_xll.ciqfunctions.udf.CIQ($A10, "IQ_RETURN_INVESTED_CAPITAL",IQ_LTM,$I$5)</f>
        <v>6.3639000000000001</v>
      </c>
      <c r="EV10" s="32"/>
      <c r="EW10" s="42">
        <f>_xll.ciqfunctions.udf.CIQ($A10, "IQ_CURRENT_RATIO",IQ_FQ,$I$5,)</f>
        <v>1.0624400000000001</v>
      </c>
      <c r="EX10" s="42"/>
      <c r="EY10" s="42">
        <f>_xll.ciqfunctions.udf.CIQ($A10, "IQ_QUICK_RATIO",IQ_FQ,$I$5,)</f>
        <v>0.92840999999999996</v>
      </c>
      <c r="EZ10" s="45"/>
      <c r="FA10" s="18">
        <f>_xll.ciqfunctions.udf.CIQ($A10, "IQ_DAYS_SALES_OUT",IQ_LTM,$I$5,)</f>
        <v>112.8034</v>
      </c>
      <c r="FB10" s="18"/>
      <c r="FC10" s="18">
        <f>_xll.ciqfunctions.udf.CIQ($A10, "IQ_DAYS_INVENTORY_OUT",IQ_LTM,$I$5,)</f>
        <v>0</v>
      </c>
      <c r="FD10" s="18"/>
      <c r="FE10" s="18">
        <f>_xll.ciqfunctions.udf.CIQ($A10, "IQ_DAYS_PAYABLE_OUT",IQ_LTM,$I$5,)</f>
        <v>134.19573</v>
      </c>
      <c r="FF10" s="18"/>
      <c r="FG10" s="18">
        <f>_xll.ciqfunctions.udf.CIQ($A10, "IQ_CASH_CONVERSION",IQ_LTM,$I$5,)</f>
        <v>0</v>
      </c>
      <c r="FH10" s="45"/>
      <c r="FI10" s="42">
        <f>_xll.ciqfunctions.udf.CIQ($A10, "IQ_ASSET_TURNS",IQ_LTM,$I$5,)</f>
        <v>0.37380999999999998</v>
      </c>
      <c r="FJ10" s="42"/>
      <c r="FK10" s="42">
        <f>_xll.ciqfunctions.udf.CIQ($A10, "IQ_FIXED_ASSET_TURNS",IQ_LTM,$I$5,)</f>
        <v>6.6203700000000003</v>
      </c>
      <c r="FL10" s="42"/>
      <c r="FM10" s="42">
        <f>_xll.ciqfunctions.udf.CIQ($A10, "IQ_AR_TURNS",IQ_LTM,$I$5,)</f>
        <v>3.24457</v>
      </c>
      <c r="FN10" s="42"/>
      <c r="FO10" s="42">
        <f>_xll.ciqfunctions.udf.CIQ($A10, "IQ_INVENTORY_TURNS",IQ_LTM,$I$5,)</f>
        <v>0</v>
      </c>
      <c r="FR10" s="100">
        <f>_xll.ciqfunctions.udf.CIQ($A10,"IQ_PERIODDATE",IQ_FY,$I$5)</f>
        <v>45688</v>
      </c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s="2" customFormat="1" x14ac:dyDescent="0.25">
      <c r="A11" s="97" t="str">
        <f>_xll.ciqfunctions.udf.CIQ($A$21,"IQ_QUICK_COMP",5)</f>
        <v>NYSE:HPE</v>
      </c>
      <c r="C11" s="97" t="str">
        <f>_xll.ciqfunctions.udf.CIQ($A11, "IQ_COMPANY_NAME")</f>
        <v>Hewlett Packard Enterprise Company</v>
      </c>
      <c r="D11" s="32"/>
      <c r="E11" s="30">
        <f>_xll.ciqfunctions.udf.CIQ($A11,"IQ_PERIODDATE",IQ_FY,$I$5)</f>
        <v>45596</v>
      </c>
      <c r="F11" s="30"/>
      <c r="G11" s="30">
        <f>_xll.ciqfunctions.udf.CIQ($A11,"IQ_PERIODDATE",IQ_LTM,$I$5)</f>
        <v>45688</v>
      </c>
      <c r="H11" s="32"/>
      <c r="I11" s="26">
        <f>_xll.ciqfunctions.udf.CIQ($A11, "IQ_LASTSALEPRICE",$I$5,Ccy,Conv)</f>
        <v>15.64</v>
      </c>
      <c r="J11" s="26"/>
      <c r="K11" s="26">
        <f>_xll.ciqfunctions.udf.CIQ($A11, "IQ_YEARHIGH",$I$5,Ccy,Conv)</f>
        <v>24.66</v>
      </c>
      <c r="L11" s="26"/>
      <c r="M11" s="26">
        <f>_xll.ciqfunctions.udf.CIQ($A11, "IQ_YEARLOW",$I$5,Ccy,Conv)</f>
        <v>14.64</v>
      </c>
      <c r="N11" s="32"/>
      <c r="O11" s="98">
        <f t="shared" si="0"/>
        <v>0.63422546634225463</v>
      </c>
      <c r="P11" s="98"/>
      <c r="Q11" s="98">
        <f t="shared" si="1"/>
        <v>1.0683060109289617</v>
      </c>
      <c r="R11" s="32"/>
      <c r="S11" s="18">
        <f>_xll.ciqfunctions.udf.CIQ($A11, "IQ_SHARESOUTSTANDING",$I$5)</f>
        <v>1313.5782400000001</v>
      </c>
      <c r="T11" s="32"/>
      <c r="U11" s="46">
        <f t="shared" si="2"/>
        <v>20544.363673600001</v>
      </c>
      <c r="V11" s="46"/>
      <c r="W11" s="18">
        <f>_xll.ciqfunctions.udf.CIQ($A11, "IQ_CASH_ST_INVEST",IQ_FQ,$I$5,,"F",Ccy,Conv)</f>
        <v>12652</v>
      </c>
      <c r="X11" s="18"/>
      <c r="Y11" s="18">
        <f>_xll.ciqfunctions.udf.CIQ($A11, "IQ_TOTAL_DEBT",IQ_FQ,$I$5,,"F",Ccy,Conv)</f>
        <v>17920</v>
      </c>
      <c r="Z11" s="18"/>
      <c r="AA11" s="18">
        <f>_xll.ciqfunctions.udf.CIQ($A11, "IQ_PREF_EQUITY",IQ_FQ,$I$5,,"F",Ccy,Conv)</f>
        <v>0</v>
      </c>
      <c r="AB11" s="18"/>
      <c r="AC11" s="18">
        <f>_xll.ciqfunctions.udf.CIQ($A11, "IQ_MINORITY_INTEREST_TOTAL",IQ_FQ,$I$5,,"F",Ccy,Conv)</f>
        <v>58</v>
      </c>
      <c r="AD11" s="46"/>
      <c r="AE11" s="46">
        <f t="shared" si="6"/>
        <v>25870.363673600001</v>
      </c>
      <c r="AF11" s="46"/>
      <c r="AG11" s="18">
        <f>_xll.ciqfunctions.udf.CIQ($A11, "IQ_TOTAL_REV", IQ_FY,$I$5,,,Ccy,Conv)</f>
        <v>30127</v>
      </c>
      <c r="AH11" s="18"/>
      <c r="AI11" s="18">
        <f>_xll.ciqfunctions.udf.CIQ($A11, "IQ_TOTAL_REV", IQ_LTM,$I$5,,,Ccy,Conv)</f>
        <v>31226</v>
      </c>
      <c r="AJ11" s="18"/>
      <c r="AK11" s="18">
        <f>_xll.ciqfunctions.udf.CIQ($A11, "IQ_REVENUE_EST", IQ_CY+ 1,$I$5,,,Ccy,Conv)</f>
        <v>33105.2788</v>
      </c>
      <c r="AL11" s="18"/>
      <c r="AM11" s="18">
        <f>_xll.ciqfunctions.udf.CIQ($A11, "IQ_REVENUE_EST", IQ_CY+ 2,$I$5,,,Ccy,Conv)</f>
        <v>34784.053099999997</v>
      </c>
      <c r="AN11" s="46"/>
      <c r="AO11" s="18">
        <f>_xll.ciqfunctions.udf.CIQ($A11, "IQ_EBITDA", IQ_FY,$I$5,,,Ccy,Conv)</f>
        <v>5059</v>
      </c>
      <c r="AP11" s="18"/>
      <c r="AQ11" s="18">
        <f>_xll.ciqfunctions.udf.CIQ($A11, "IQ_EBITDA", IQ_LTM,$I$5,,,Ccy,Conv)</f>
        <v>5057</v>
      </c>
      <c r="AR11" s="18"/>
      <c r="AS11" s="18">
        <f>_xll.ciqfunctions.udf.CIQ($A11, "IQ_EBITDA_EST", IQ_CY+ 1,$I$5,,,Ccy,Conv)</f>
        <v>5271.65</v>
      </c>
      <c r="AT11" s="18"/>
      <c r="AU11" s="18">
        <f>_xll.ciqfunctions.udf.CIQ($A11, "IQ_EBITDA_EST", IQ_CY+ 2,$I$5,,,Ccy,Conv)</f>
        <v>6262.6</v>
      </c>
      <c r="AV11" s="46"/>
      <c r="AW11" s="26">
        <f>_xll.ciqfunctions.udf.CIQ($A11, "IQ_DILUT_EPS_EXCL", IQ_FY,$I$5,,,Ccy,Conv)</f>
        <v>1.9289499999999999</v>
      </c>
      <c r="AX11" s="26"/>
      <c r="AY11" s="26">
        <f>_xll.ciqfunctions.udf.CIQ($A11, "IQ_DILUT_EPS_EXCL", IQ_LTM,$I$5,,,Ccy,Conv)</f>
        <v>2.0763500000000001</v>
      </c>
      <c r="AZ11" s="26"/>
      <c r="BA11" s="26">
        <f>_xll.ciqfunctions.udf.CIQ($A11, "IQ_EPS_EST", IQ_CY+ 1,$I$5,,,Ccy,Conv)</f>
        <v>1.8052999999999999</v>
      </c>
      <c r="BB11" s="26"/>
      <c r="BC11" s="26">
        <f>_xll.ciqfunctions.udf.CIQ($A11, "IQ_EPS_EST", IQ_CY+ 2,$I$5,,,Ccy,Conv)</f>
        <v>2.1473</v>
      </c>
      <c r="BD11" s="32"/>
      <c r="BE11" s="42">
        <f>_xll.ciqfunctions.udf.CIQ($A11, "IQ_TEV_TOTAL_REV",IQ_LTM,$FR11)</f>
        <v>1.1766000000000001</v>
      </c>
      <c r="BF11" s="42"/>
      <c r="BG11" s="42">
        <f>_xll.ciqfunctions.udf.CIQ($A11, "IQ_TEV_TOTAL_REV",IQ_LTM,$I$5)</f>
        <v>0.82848999999999995</v>
      </c>
      <c r="BH11" s="46"/>
      <c r="BI11" s="99">
        <f t="shared" si="3"/>
        <v>0.78145735699407559</v>
      </c>
      <c r="BJ11" s="99"/>
      <c r="BK11" s="99">
        <f t="shared" si="4"/>
        <v>0.74374207051794095</v>
      </c>
      <c r="BL11" s="46"/>
      <c r="BM11" s="42">
        <f>_xll.ciqfunctions.udf.CIQ($A11, "IQ_TEV_EBITDA",IQ_LTM,$FR11)</f>
        <v>6.4279099999999998</v>
      </c>
      <c r="BN11" s="42"/>
      <c r="BO11" s="42">
        <f>_xll.ciqfunctions.udf.CIQ($A11, "IQ_TEV_EBITDA",IQ_LTM,$I$5)</f>
        <v>4.7837199999999998</v>
      </c>
      <c r="BP11" s="42"/>
      <c r="BQ11" s="42">
        <f>_xll.ciqfunctions.udf.CIQ($A11, "IQ_TEV_EBITDA_FWD",IQ_CY+1,$I$5)</f>
        <v>4.9074499999999999</v>
      </c>
      <c r="BR11" s="42"/>
      <c r="BS11" s="42">
        <f>_xll.ciqfunctions.udf.CIQ($A11, "IQ_TEV_EBITDA_FWD",IQ_CY+2,$I$5)</f>
        <v>4.1309300000000002</v>
      </c>
      <c r="BT11" s="46"/>
      <c r="BU11" s="42">
        <f>_xll.ciqfunctions.udf.CIQ($A11, "IQ_PE_EXCL",IQ_LTM,$FR11)</f>
        <v>13.83183</v>
      </c>
      <c r="BV11" s="42"/>
      <c r="BW11" s="42">
        <f>_xll.ciqfunctions.udf.CIQ($A11, "IQ_PE_EXCL",IQ_LTM,$I$5)</f>
        <v>7.5324400000000002</v>
      </c>
      <c r="BX11" s="42"/>
      <c r="BY11" s="42">
        <f>_xll.ciqfunctions.udf.CIQ($A11, "IQ_PE_EXCL_FWD",IQ_CY+1,$I$5)</f>
        <v>8.6633800000000001</v>
      </c>
      <c r="BZ11" s="42"/>
      <c r="CA11" s="42">
        <f>_xll.ciqfunctions.udf.CIQ($A11, "IQ_PE_EXCL_FWD",IQ_CY+2,$I$5)</f>
        <v>7.2835700000000001</v>
      </c>
      <c r="CB11" s="46"/>
      <c r="CC11" s="42">
        <f>_xll.ciqfunctions.udf.CIQ($A11, "IQ_PBV",IQ_LTM,$I$5,)</f>
        <v>0.81435999999999997</v>
      </c>
      <c r="CD11" s="42"/>
      <c r="CE11" s="42">
        <f>_xll.ciqfunctions.udf.CIQ($A11, "IQ_PTBV",IQ_LTM,$I$5,)</f>
        <v>3.0982599999999998</v>
      </c>
      <c r="CF11" s="32"/>
      <c r="CG11" s="18">
        <f>_xll.ciqfunctions.udf.CIQ($A11, "IQ_GROSS_MARGIN", IQ_FY- 2,$I$5,)</f>
        <v>33.4011</v>
      </c>
      <c r="CH11" s="18"/>
      <c r="CI11" s="18">
        <f>_xll.ciqfunctions.udf.CIQ($A11, "IQ_GROSS_MARGIN", IQ_FY- 1,$I$5,)</f>
        <v>35.1432</v>
      </c>
      <c r="CJ11" s="18"/>
      <c r="CK11" s="18">
        <f>_xll.ciqfunctions.udf.CIQ($A11, "IQ_GROSS_MARGIN", IQ_FY,$I$5,)</f>
        <v>32.787799999999997</v>
      </c>
      <c r="CL11" s="18"/>
      <c r="CM11" s="18">
        <f>_xll.ciqfunctions.udf.CIQ($A11, "IQ_GROSS_MARGIN", IQ_LTM,$I$5,)</f>
        <v>31.188700000000001</v>
      </c>
      <c r="CN11" s="46"/>
      <c r="CO11" s="18">
        <f>_xll.ciqfunctions.udf.CIQ($A11, "IQ_EBITDA_MARGIN", IQ_FY- 2,$I$5,)</f>
        <v>17.047999999999998</v>
      </c>
      <c r="CP11" s="18"/>
      <c r="CQ11" s="18">
        <f>_xll.ciqfunctions.udf.CIQ($A11, "IQ_EBITDA_MARGIN", IQ_FY- 1,$I$5,)</f>
        <v>17.370799999999999</v>
      </c>
      <c r="CR11" s="18"/>
      <c r="CS11" s="18">
        <f>_xll.ciqfunctions.udf.CIQ($A11, "IQ_EBITDA_MARGIN", IQ_FY,$I$5,)</f>
        <v>16.792200000000001</v>
      </c>
      <c r="CT11" s="18"/>
      <c r="CU11" s="18">
        <f>_xll.ciqfunctions.udf.CIQ($A11, "IQ_EBITDA_MARGIN", IQ_LTM,$I$5,)</f>
        <v>16.194800000000001</v>
      </c>
      <c r="CV11" s="46"/>
      <c r="CW11" s="18">
        <f>_xll.ciqfunctions.udf.CIQ($A11, "IQ_NI_MARGIN", IQ_FY- 2,$I$5,)</f>
        <v>3.0459999999999998</v>
      </c>
      <c r="CX11" s="18"/>
      <c r="CY11" s="18">
        <f>_xll.ciqfunctions.udf.CIQ($A11, "IQ_NI_MARGIN", IQ_FY- 1,$I$5,)</f>
        <v>6.9504000000000001</v>
      </c>
      <c r="CZ11" s="18"/>
      <c r="DA11" s="18">
        <f>_xll.ciqfunctions.udf.CIQ($A11, "IQ_NI_MARGIN", IQ_FY,$I$5,)</f>
        <v>8.5603999999999996</v>
      </c>
      <c r="DB11" s="18"/>
      <c r="DC11" s="18">
        <f>_xll.ciqfunctions.udf.CIQ($A11, "IQ_NI_MARGIN", IQ_LTM,$I$5,)</f>
        <v>9.0276999999999994</v>
      </c>
      <c r="DD11" s="32"/>
      <c r="DE11" s="18">
        <f>_xll.ciqfunctions.udf.CIQ($A11, "IQ_TOTAL_REV_5YR_ANN_CAGR",IQ_LTM,$I$5,)</f>
        <v>1.8216000000000001</v>
      </c>
      <c r="DF11" s="18"/>
      <c r="DG11" s="18">
        <f>_xll.ciqfunctions.udf.CIQ($A11, "IQ_TOTAL_REV_3YR_ANN_CAGR",IQ_LTM,$I$5,)</f>
        <v>3.8106</v>
      </c>
      <c r="DH11" s="18"/>
      <c r="DI11" s="18">
        <f>_xll.ciqfunctions.udf.CIQ($A11, "IQ_TOTAL_REV_1YR_ANN_GROWTH", IQ_FY,$I$5,)</f>
        <v>3.4047999999999998</v>
      </c>
      <c r="DJ11" s="18"/>
      <c r="DK11" s="18">
        <f>_xll.ciqfunctions.udf.CIQ($A11, "IQ_TOTAL_REV_1YR_ANN_GROWTH",IQ_LTM,$I$5,)</f>
        <v>11.1997</v>
      </c>
      <c r="DL11" s="46"/>
      <c r="DM11" s="18">
        <f>_xll.ciqfunctions.udf.CIQ($A11, "IQ_EBITDA_5YR_ANN_CAGR",IQ_LTM,$I$5,)</f>
        <v>-0.4526</v>
      </c>
      <c r="DN11" s="18"/>
      <c r="DO11" s="18">
        <f>_xll.ciqfunctions.udf.CIQ($A11, "IQ_EBITDA_3YR_ANN_CAGR",IQ_LTM,$I$5,)</f>
        <v>1.5357000000000001</v>
      </c>
      <c r="DP11" s="18"/>
      <c r="DQ11" s="18">
        <f>_xll.ciqfunctions.udf.CIQ($A11, "IQ_EBITDA_1YR_ANN_GROWTH", IQ_FY,$I$5,)</f>
        <v>-3.9600000000000003E-2</v>
      </c>
      <c r="DR11" s="18"/>
      <c r="DS11" s="18">
        <f>_xll.ciqfunctions.udf.CIQ($A11, "IQ_EBITDA_1YR_ANN_GROWTH",IQ_LTM,$I$5,)</f>
        <v>2.8262999999999998</v>
      </c>
      <c r="DT11" s="46"/>
      <c r="DU11" s="18">
        <f>_xll.ciqfunctions.udf.CIQ($A11, "IQ_EPS_5YR_ANN_CAGR",IQ_LTM,$I$5,)</f>
        <v>18.406400000000001</v>
      </c>
      <c r="DV11" s="18"/>
      <c r="DW11" s="18">
        <f>_xll.ciqfunctions.udf.CIQ($A11, "IQ_EPS_3YR_ANN_CAGR",IQ_LTM,$I$5,)</f>
        <v>-9.4344999999999999</v>
      </c>
      <c r="DX11" s="18"/>
      <c r="DY11" s="18">
        <f>_xll.ciqfunctions.udf.CIQ($A11, "IQ_EPS_1YR_ANN_GROWTH", IQ_FY,$I$5,)</f>
        <v>25.2561</v>
      </c>
      <c r="DZ11" s="18"/>
      <c r="EA11" s="18">
        <f>_xll.ciqfunctions.udf.CIQ($A11, "IQ_EPS_1YR_ANN_GROWTH", IQ_LTM,$I$5,)</f>
        <v>43.195399999999999</v>
      </c>
      <c r="EB11" s="32"/>
      <c r="EC11" s="42">
        <f>_xll.ciqfunctions.udf.CIQ($A11, "IQ_TOTAL_DEBT_EBITDA",IQ_LTM,$I$5,)</f>
        <v>3.3875199999999999</v>
      </c>
      <c r="ED11" s="42"/>
      <c r="EE11" s="42">
        <f>_xll.ciqfunctions.udf.CIQ($A11, "IQ_NET_DEBT_EBITDA",IQ_LTM,$I$5,)</f>
        <v>0.99583999999999995</v>
      </c>
      <c r="EF11" s="18"/>
      <c r="EG11" s="102">
        <f t="shared" si="5"/>
        <v>3.5436029266363458</v>
      </c>
      <c r="EH11" s="18"/>
      <c r="EI11" s="42">
        <f>_xll.ciqfunctions.udf.CIQ($A11, "IQ_EBITDA_INT",IQ_LTM,$I$5,)</f>
        <v>10.537850000000001</v>
      </c>
      <c r="EJ11" s="42"/>
      <c r="EK11" s="42">
        <f>_xll.ciqfunctions.udf.CIQ($A11, "IQ_EBITDA_CAPEX_INT",IQ_LTM,$I$5,)</f>
        <v>6.0776899999999996</v>
      </c>
      <c r="EL11" s="45"/>
      <c r="EM11" s="18">
        <f>_xll.ciqfunctions.udf.CIQ($A11, "IQ_TOTAL_DEBT_EQUITY",IQ_FQ,$I$5,)</f>
        <v>70.880399999999995</v>
      </c>
      <c r="EN11" s="18"/>
      <c r="EO11" s="18">
        <f>_xll.ciqfunctions.udf.CIQ($A11, "IQ_TOTAL_DEBT_CAPITAL",IQ_FQ,$I$5,)</f>
        <v>41.479500000000002</v>
      </c>
      <c r="EP11" s="32"/>
      <c r="EQ11" s="18">
        <f>_xll.ciqfunctions.udf.CIQ($A11, "IQ_RETURN_EQUITY",IQ_LTM,$I$5)</f>
        <v>12.059799999999999</v>
      </c>
      <c r="ER11" s="18"/>
      <c r="ES11" s="18">
        <f>_xll.ciqfunctions.udf.CIQ($A11, "IQ_RETURN_ASSETS",IQ_LTM,$I$5)</f>
        <v>2.4731999999999998</v>
      </c>
      <c r="ET11" s="18"/>
      <c r="EU11" s="18">
        <f>_xll.ciqfunctions.udf.CIQ($A11, "IQ_RETURN_INVESTED_CAPITAL",IQ_LTM,$I$5)</f>
        <v>5.4555999999999996</v>
      </c>
      <c r="EV11" s="32"/>
      <c r="EW11" s="42">
        <f>_xll.ciqfunctions.udf.CIQ($A11, "IQ_CURRENT_RATIO",IQ_FQ,$I$5,)</f>
        <v>1.3255699999999999</v>
      </c>
      <c r="EX11" s="42"/>
      <c r="EY11" s="42">
        <f>_xll.ciqfunctions.udf.CIQ($A11, "IQ_QUICK_RATIO",IQ_FQ,$I$5,)</f>
        <v>0.82926</v>
      </c>
      <c r="EZ11" s="45"/>
      <c r="FA11" s="18">
        <f>_xll.ciqfunctions.udf.CIQ($A11, "IQ_DAYS_SALES_OUT",IQ_LTM,$I$5,)</f>
        <v>43.346110000000003</v>
      </c>
      <c r="FB11" s="18"/>
      <c r="FC11" s="18">
        <f>_xll.ciqfunctions.udf.CIQ($A11, "IQ_DAYS_INVENTORY_OUT",IQ_LTM,$I$5,)</f>
        <v>127.55831999999999</v>
      </c>
      <c r="FD11" s="18"/>
      <c r="FE11" s="18">
        <f>_xll.ciqfunctions.udf.CIQ($A11, "IQ_DAYS_PAYABLE_OUT",IQ_LTM,$I$5,)</f>
        <v>146.89189999999999</v>
      </c>
      <c r="FF11" s="18"/>
      <c r="FG11" s="18">
        <f>_xll.ciqfunctions.udf.CIQ($A11, "IQ_CASH_CONVERSION",IQ_LTM,$I$5,)</f>
        <v>24.012530000000002</v>
      </c>
      <c r="FH11" s="45"/>
      <c r="FI11" s="42">
        <f>_xll.ciqfunctions.udf.CIQ($A11, "IQ_ASSET_TURNS",IQ_LTM,$I$5,)</f>
        <v>0.48438999999999999</v>
      </c>
      <c r="FJ11" s="42"/>
      <c r="FK11" s="42">
        <f>_xll.ciqfunctions.udf.CIQ($A11, "IQ_FIXED_ASSET_TURNS",IQ_LTM,$I$5,)</f>
        <v>5.4739199999999997</v>
      </c>
      <c r="FL11" s="42"/>
      <c r="FM11" s="42">
        <f>_xll.ciqfunctions.udf.CIQ($A11, "IQ_AR_TURNS",IQ_LTM,$I$5,)</f>
        <v>8.4436499999999999</v>
      </c>
      <c r="FN11" s="42"/>
      <c r="FO11" s="42">
        <f>_xll.ciqfunctions.udf.CIQ($A11, "IQ_INVENTORY_TURNS",IQ_LTM,$I$5,)</f>
        <v>2.8692700000000002</v>
      </c>
      <c r="FR11" s="100">
        <f>_xll.ciqfunctions.udf.CIQ($A11,"IQ_PERIODDATE",IQ_FY,$I$5)</f>
        <v>45596</v>
      </c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2" customFormat="1" x14ac:dyDescent="0.25">
      <c r="A12" s="97" t="str">
        <f>_xll.ciqfunctions.udf.CIQ($A$21,"IQ_QUICK_COMP",6)</f>
        <v>NasdaqGS:MSFT</v>
      </c>
      <c r="C12" s="97" t="str">
        <f>_xll.ciqfunctions.udf.CIQ($A12, "IQ_COMPANY_NAME")</f>
        <v>Microsoft Corporation</v>
      </c>
      <c r="D12" s="32"/>
      <c r="E12" s="30">
        <f>_xll.ciqfunctions.udf.CIQ($A12,"IQ_PERIODDATE",IQ_FY,$I$5)</f>
        <v>45473</v>
      </c>
      <c r="F12" s="30"/>
      <c r="G12" s="30">
        <f>_xll.ciqfunctions.udf.CIQ($A12,"IQ_PERIODDATE",IQ_LTM,$I$5)</f>
        <v>45657</v>
      </c>
      <c r="H12" s="32"/>
      <c r="I12" s="26">
        <f>_xll.ciqfunctions.udf.CIQ($A12, "IQ_LASTSALEPRICE",$I$5,Ccy,Conv)</f>
        <v>382.19</v>
      </c>
      <c r="J12" s="26"/>
      <c r="K12" s="26">
        <f>_xll.ciqfunctions.udf.CIQ($A12, "IQ_YEARHIGH",$I$5,Ccy,Conv)</f>
        <v>468.35</v>
      </c>
      <c r="L12" s="26"/>
      <c r="M12" s="26">
        <f>_xll.ciqfunctions.udf.CIQ($A12, "IQ_YEARLOW",$I$5,Ccy,Conv)</f>
        <v>367.24</v>
      </c>
      <c r="N12" s="32"/>
      <c r="O12" s="98">
        <f t="shared" si="0"/>
        <v>0.81603501654745381</v>
      </c>
      <c r="P12" s="98"/>
      <c r="Q12" s="98">
        <f t="shared" si="1"/>
        <v>1.0407090730857205</v>
      </c>
      <c r="R12" s="32"/>
      <c r="S12" s="18">
        <f>_xll.ciqfunctions.udf.CIQ($A12, "IQ_SHARESOUTSTANDING",$I$5)</f>
        <v>7433.9822400000003</v>
      </c>
      <c r="T12" s="32"/>
      <c r="U12" s="46">
        <f t="shared" si="2"/>
        <v>2841193.6723056003</v>
      </c>
      <c r="V12" s="46"/>
      <c r="W12" s="18">
        <f>_xll.ciqfunctions.udf.CIQ($A12, "IQ_CASH_ST_INVEST",IQ_FQ,$I$5,,"F",Ccy,Conv)</f>
        <v>71555</v>
      </c>
      <c r="X12" s="18"/>
      <c r="Y12" s="18">
        <f>_xll.ciqfunctions.udf.CIQ($A12, "IQ_TOTAL_DEBT",IQ_FQ,$I$5,,"F",Ccy,Conv)</f>
        <v>102909</v>
      </c>
      <c r="Z12" s="18"/>
      <c r="AA12" s="18">
        <f>_xll.ciqfunctions.udf.CIQ($A12, "IQ_PREF_EQUITY",IQ_FQ,$I$5,,"F",Ccy,Conv)</f>
        <v>0</v>
      </c>
      <c r="AB12" s="18"/>
      <c r="AC12" s="18">
        <f>_xll.ciqfunctions.udf.CIQ($A12, "IQ_MINORITY_INTEREST_TOTAL",IQ_FQ,$I$5,,"F",Ccy,Conv)</f>
        <v>0</v>
      </c>
      <c r="AD12" s="46"/>
      <c r="AE12" s="46">
        <f t="shared" si="6"/>
        <v>2872547.6723056003</v>
      </c>
      <c r="AF12" s="46"/>
      <c r="AG12" s="18">
        <f>_xll.ciqfunctions.udf.CIQ($A12, "IQ_TOTAL_REV", IQ_FY,$I$5,,,Ccy,Conv)</f>
        <v>245122</v>
      </c>
      <c r="AH12" s="18"/>
      <c r="AI12" s="18">
        <f>_xll.ciqfunctions.udf.CIQ($A12, "IQ_TOTAL_REV", IQ_LTM,$I$5,,,Ccy,Conv)</f>
        <v>261802</v>
      </c>
      <c r="AJ12" s="18"/>
      <c r="AK12" s="18">
        <f>_xll.ciqfunctions.udf.CIQ($A12, "IQ_REVENUE_EST", IQ_CY+ 1,$I$5,,,Ccy,Conv)</f>
        <v>293083.728</v>
      </c>
      <c r="AL12" s="18"/>
      <c r="AM12" s="18">
        <f>_xll.ciqfunctions.udf.CIQ($A12, "IQ_REVENUE_EST", IQ_CY+ 2,$I$5,,,Ccy,Conv)</f>
        <v>331111.71600000001</v>
      </c>
      <c r="AN12" s="46"/>
      <c r="AO12" s="18">
        <f>_xll.ciqfunctions.udf.CIQ($A12, "IQ_EBITDA", IQ_FY,$I$5,,,Ccy,Conv)</f>
        <v>129433</v>
      </c>
      <c r="AP12" s="18"/>
      <c r="AQ12" s="18">
        <f>_xll.ciqfunctions.udf.CIQ($A12, "IQ_EBITDA", IQ_LTM,$I$5,,,Ccy,Conv)</f>
        <v>142041</v>
      </c>
      <c r="AR12" s="18"/>
      <c r="AS12" s="18">
        <f>_xll.ciqfunctions.udf.CIQ($A12, "IQ_EBITDA_EST", IQ_CY+ 1,$I$5,,,Ccy,Conv)</f>
        <v>160959.61499999999</v>
      </c>
      <c r="AT12" s="18"/>
      <c r="AU12" s="18">
        <f>_xll.ciqfunctions.udf.CIQ($A12, "IQ_EBITDA_EST", IQ_CY+ 2,$I$5,,,Ccy,Conv)</f>
        <v>179782.29019999999</v>
      </c>
      <c r="AV12" s="46"/>
      <c r="AW12" s="26">
        <f>_xll.ciqfunctions.udf.CIQ($A12, "IQ_DILUT_EPS_EXCL", IQ_FY,$I$5,,,Ccy,Conv)</f>
        <v>11.8</v>
      </c>
      <c r="AX12" s="26"/>
      <c r="AY12" s="26">
        <f>_xll.ciqfunctions.udf.CIQ($A12, "IQ_DILUT_EPS_EXCL", IQ_LTM,$I$5,,,Ccy,Conv)</f>
        <v>12.40985</v>
      </c>
      <c r="AZ12" s="26"/>
      <c r="BA12" s="26">
        <f>_xll.ciqfunctions.udf.CIQ($A12, "IQ_EPS_EST", IQ_CY+ 1,$I$5,,,Ccy,Conv)</f>
        <v>13.809100000000001</v>
      </c>
      <c r="BB12" s="26"/>
      <c r="BC12" s="26">
        <f>_xll.ciqfunctions.udf.CIQ($A12, "IQ_EPS_EST", IQ_CY+ 2,$I$5,,,Ccy,Conv)</f>
        <v>15.9505</v>
      </c>
      <c r="BD12" s="32"/>
      <c r="BE12" s="42">
        <f>_xll.ciqfunctions.udf.CIQ($A12, "IQ_TEV_TOTAL_REV",IQ_LTM,$FR12)</f>
        <v>14.15178</v>
      </c>
      <c r="BF12" s="42"/>
      <c r="BG12" s="42">
        <f>_xll.ciqfunctions.udf.CIQ($A12, "IQ_TEV_TOTAL_REV",IQ_LTM,$I$5)</f>
        <v>10.97221</v>
      </c>
      <c r="BH12" s="46"/>
      <c r="BI12" s="99">
        <f t="shared" si="3"/>
        <v>9.8011161926587764</v>
      </c>
      <c r="BJ12" s="99"/>
      <c r="BK12" s="99">
        <f t="shared" si="4"/>
        <v>8.6754636984986657</v>
      </c>
      <c r="BL12" s="46"/>
      <c r="BM12" s="42">
        <f>_xll.ciqfunctions.udf.CIQ($A12, "IQ_TEV_EBITDA",IQ_LTM,$FR12)</f>
        <v>25.910360000000001</v>
      </c>
      <c r="BN12" s="42"/>
      <c r="BO12" s="42">
        <f>_xll.ciqfunctions.udf.CIQ($A12, "IQ_TEV_EBITDA",IQ_LTM,$I$5)</f>
        <v>20.00423</v>
      </c>
      <c r="BP12" s="42"/>
      <c r="BQ12" s="42">
        <f>_xll.ciqfunctions.udf.CIQ($A12, "IQ_TEV_EBITDA_FWD",IQ_CY+1,$I$5)</f>
        <v>17.84639</v>
      </c>
      <c r="BR12" s="42"/>
      <c r="BS12" s="42">
        <f>_xll.ciqfunctions.udf.CIQ($A12, "IQ_TEV_EBITDA_FWD",IQ_CY+2,$I$5)</f>
        <v>15.977919999999999</v>
      </c>
      <c r="BT12" s="46"/>
      <c r="BU12" s="42">
        <f>_xll.ciqfunctions.udf.CIQ($A12, "IQ_PE_EXCL",IQ_LTM,$FR12)</f>
        <v>38.72945</v>
      </c>
      <c r="BV12" s="42"/>
      <c r="BW12" s="42">
        <f>_xll.ciqfunctions.udf.CIQ($A12, "IQ_PE_EXCL",IQ_LTM,$I$5)</f>
        <v>30.797319999999999</v>
      </c>
      <c r="BX12" s="42"/>
      <c r="BY12" s="42">
        <f>_xll.ciqfunctions.udf.CIQ($A12, "IQ_PE_EXCL_FWD",IQ_CY+1,$I$5)</f>
        <v>27.676680000000001</v>
      </c>
      <c r="BZ12" s="42"/>
      <c r="CA12" s="42">
        <f>_xll.ciqfunctions.udf.CIQ($A12, "IQ_PE_EXCL_FWD",IQ_CY+2,$I$5)</f>
        <v>23.960999999999999</v>
      </c>
      <c r="CB12" s="46"/>
      <c r="CC12" s="42">
        <f>_xll.ciqfunctions.udf.CIQ($A12, "IQ_PBV",IQ_LTM,$I$5,)</f>
        <v>9.3876100000000005</v>
      </c>
      <c r="CD12" s="42"/>
      <c r="CE12" s="42">
        <f>_xll.ciqfunctions.udf.CIQ($A12, "IQ_PTBV",IQ_LTM,$I$5,)</f>
        <v>17.971170000000001</v>
      </c>
      <c r="CF12" s="32"/>
      <c r="CG12" s="18">
        <f>_xll.ciqfunctions.udf.CIQ($A12, "IQ_GROSS_MARGIN", IQ_FY- 2,$I$5,)</f>
        <v>68.401600000000002</v>
      </c>
      <c r="CH12" s="18"/>
      <c r="CI12" s="18">
        <f>_xll.ciqfunctions.udf.CIQ($A12, "IQ_GROSS_MARGIN", IQ_FY- 1,$I$5,)</f>
        <v>68.991799999999998</v>
      </c>
      <c r="CJ12" s="18"/>
      <c r="CK12" s="18">
        <f>_xll.ciqfunctions.udf.CIQ($A12, "IQ_GROSS_MARGIN", IQ_FY,$I$5,)</f>
        <v>69.764399999999995</v>
      </c>
      <c r="CL12" s="18"/>
      <c r="CM12" s="18">
        <f>_xll.ciqfunctions.udf.CIQ($A12, "IQ_GROSS_MARGIN", IQ_LTM,$I$5,)</f>
        <v>69.409300000000002</v>
      </c>
      <c r="CN12" s="46"/>
      <c r="CO12" s="18">
        <f>_xll.ciqfunctions.udf.CIQ($A12, "IQ_EBITDA_MARGIN", IQ_FY- 2,$I$5,)</f>
        <v>49.418900000000001</v>
      </c>
      <c r="CP12" s="18"/>
      <c r="CQ12" s="18">
        <f>_xll.ciqfunctions.udf.CIQ($A12, "IQ_EBITDA_MARGIN", IQ_FY- 1,$I$5,)</f>
        <v>48.215000000000003</v>
      </c>
      <c r="CR12" s="18"/>
      <c r="CS12" s="18">
        <f>_xll.ciqfunctions.udf.CIQ($A12, "IQ_EBITDA_MARGIN", IQ_FY,$I$5,)</f>
        <v>52.8035</v>
      </c>
      <c r="CT12" s="18"/>
      <c r="CU12" s="18">
        <f>_xll.ciqfunctions.udf.CIQ($A12, "IQ_EBITDA_MARGIN", IQ_LTM,$I$5,)</f>
        <v>54.255099999999999</v>
      </c>
      <c r="CV12" s="46"/>
      <c r="CW12" s="18">
        <f>_xll.ciqfunctions.udf.CIQ($A12, "IQ_NI_MARGIN", IQ_FY- 2,$I$5,)</f>
        <v>36.686300000000003</v>
      </c>
      <c r="CX12" s="18"/>
      <c r="CY12" s="18">
        <f>_xll.ciqfunctions.udf.CIQ($A12, "IQ_NI_MARGIN", IQ_FY- 1,$I$5,)</f>
        <v>34.1462</v>
      </c>
      <c r="CZ12" s="18"/>
      <c r="DA12" s="18">
        <f>_xll.ciqfunctions.udf.CIQ($A12, "IQ_NI_MARGIN", IQ_FY,$I$5,)</f>
        <v>35.9559</v>
      </c>
      <c r="DB12" s="18"/>
      <c r="DC12" s="18">
        <f>_xll.ciqfunctions.udf.CIQ($A12, "IQ_NI_MARGIN", IQ_LTM,$I$5,)</f>
        <v>35.427500000000002</v>
      </c>
      <c r="DD12" s="32"/>
      <c r="DE12" s="18">
        <f>_xll.ciqfunctions.udf.CIQ($A12, "IQ_TOTAL_REV_5YR_ANN_CAGR",IQ_LTM,$I$5,)</f>
        <v>14.2911</v>
      </c>
      <c r="DF12" s="18"/>
      <c r="DG12" s="18">
        <f>_xll.ciqfunctions.udf.CIQ($A12, "IQ_TOTAL_REV_3YR_ANN_CAGR",IQ_LTM,$I$5,)</f>
        <v>12.2905</v>
      </c>
      <c r="DH12" s="18"/>
      <c r="DI12" s="18">
        <f>_xll.ciqfunctions.udf.CIQ($A12, "IQ_TOTAL_REV_1YR_ANN_GROWTH", IQ_FY,$I$5,)</f>
        <v>15.6699</v>
      </c>
      <c r="DJ12" s="18"/>
      <c r="DK12" s="18">
        <f>_xll.ciqfunctions.udf.CIQ($A12, "IQ_TOTAL_REV_1YR_ANN_GROWTH",IQ_LTM,$I$5,)</f>
        <v>15.0358</v>
      </c>
      <c r="DL12" s="46"/>
      <c r="DM12" s="18">
        <f>_xll.ciqfunctions.udf.CIQ($A12, "IQ_EBITDA_5YR_ANN_CAGR",IQ_LTM,$I$5,)</f>
        <v>18.315100000000001</v>
      </c>
      <c r="DN12" s="18"/>
      <c r="DO12" s="18">
        <f>_xll.ciqfunctions.udf.CIQ($A12, "IQ_EBITDA_3YR_ANN_CAGR",IQ_LTM,$I$5,)</f>
        <v>16.072199999999999</v>
      </c>
      <c r="DP12" s="18"/>
      <c r="DQ12" s="18">
        <f>_xll.ciqfunctions.udf.CIQ($A12, "IQ_EBITDA_1YR_ANN_GROWTH", IQ_FY,$I$5,)</f>
        <v>26.677700000000002</v>
      </c>
      <c r="DR12" s="18"/>
      <c r="DS12" s="18">
        <f>_xll.ciqfunctions.udf.CIQ($A12, "IQ_EBITDA_1YR_ANN_GROWTH",IQ_LTM,$I$5,)</f>
        <v>20.9116</v>
      </c>
      <c r="DT12" s="46"/>
      <c r="DU12" s="18">
        <f>_xll.ciqfunctions.udf.CIQ($A12, "IQ_EPS_5YR_ANN_CAGR",IQ_LTM,$I$5,)</f>
        <v>16.6692</v>
      </c>
      <c r="DV12" s="18"/>
      <c r="DW12" s="18">
        <f>_xll.ciqfunctions.udf.CIQ($A12, "IQ_EPS_3YR_ANN_CAGR",IQ_LTM,$I$5,)</f>
        <v>9.7441999999999993</v>
      </c>
      <c r="DX12" s="18"/>
      <c r="DY12" s="18">
        <f>_xll.ciqfunctions.udf.CIQ($A12, "IQ_EPS_1YR_ANN_GROWTH", IQ_FY,$I$5,)</f>
        <v>21.9008</v>
      </c>
      <c r="DZ12" s="18"/>
      <c r="EA12" s="18">
        <f>_xll.ciqfunctions.udf.CIQ($A12, "IQ_EPS_1YR_ANN_GROWTH", IQ_LTM,$I$5,)</f>
        <v>12.199</v>
      </c>
      <c r="EB12" s="32"/>
      <c r="EC12" s="42">
        <f>_xll.ciqfunctions.udf.CIQ($A12, "IQ_TOTAL_DEBT_EBITDA",IQ_LTM,$I$5,)</f>
        <v>0.70265</v>
      </c>
      <c r="ED12" s="42"/>
      <c r="EE12" s="42">
        <f>_xll.ciqfunctions.udf.CIQ($A12, "IQ_NET_DEBT_EBITDA",IQ_LTM,$I$5,)</f>
        <v>0.21407999999999999</v>
      </c>
      <c r="EF12" s="18"/>
      <c r="EG12" s="102">
        <f t="shared" si="5"/>
        <v>0.72450208038524089</v>
      </c>
      <c r="EH12" s="18"/>
      <c r="EI12" s="42">
        <f>_xll.ciqfunctions.udf.CIQ($A12, "IQ_EBITDA_INT",IQ_LTM,$I$5,)</f>
        <v>53.805289999999999</v>
      </c>
      <c r="EJ12" s="42"/>
      <c r="EK12" s="42">
        <f>_xll.ciqfunctions.udf.CIQ($A12, "IQ_EBITDA_CAPEX_INT",IQ_LTM,$I$5,)</f>
        <v>33.396769999999997</v>
      </c>
      <c r="EL12" s="45"/>
      <c r="EM12" s="18">
        <f>_xll.ciqfunctions.udf.CIQ($A12, "IQ_TOTAL_DEBT_EQUITY",IQ_FQ,$I$5,)</f>
        <v>33.997500000000002</v>
      </c>
      <c r="EN12" s="18"/>
      <c r="EO12" s="18">
        <f>_xll.ciqfunctions.udf.CIQ($A12, "IQ_TOTAL_DEBT_CAPITAL",IQ_FQ,$I$5,)</f>
        <v>25.371700000000001</v>
      </c>
      <c r="EP12" s="32"/>
      <c r="EQ12" s="18">
        <f>_xll.ciqfunctions.udf.CIQ($A12, "IQ_RETURN_EQUITY",IQ_LTM,$I$5)</f>
        <v>34.290700000000001</v>
      </c>
      <c r="ER12" s="18"/>
      <c r="ES12" s="18">
        <f>_xll.ciqfunctions.udf.CIQ($A12, "IQ_RETURN_ASSETS",IQ_LTM,$I$5)</f>
        <v>14.6486</v>
      </c>
      <c r="ET12" s="18"/>
      <c r="EU12" s="18">
        <f>_xll.ciqfunctions.udf.CIQ($A12, "IQ_RETURN_INVESTED_CAPITAL",IQ_LTM,$I$5)</f>
        <v>18.500299999999999</v>
      </c>
      <c r="EV12" s="32"/>
      <c r="EW12" s="42">
        <f>_xll.ciqfunctions.udf.CIQ($A12, "IQ_CURRENT_RATIO",IQ_FQ,$I$5,)</f>
        <v>1.3508199999999999</v>
      </c>
      <c r="EX12" s="42"/>
      <c r="EY12" s="42">
        <f>_xll.ciqfunctions.udf.CIQ($A12, "IQ_QUICK_RATIO",IQ_FQ,$I$5,)</f>
        <v>1.20445</v>
      </c>
      <c r="EZ12" s="45"/>
      <c r="FA12" s="18">
        <f>_xll.ciqfunctions.udf.CIQ($A12, "IQ_DAYS_SALES_OUT",IQ_LTM,$I$5,)</f>
        <v>63.622149999999998</v>
      </c>
      <c r="FB12" s="18"/>
      <c r="FC12" s="18">
        <f>_xll.ciqfunctions.udf.CIQ($A12, "IQ_DAYS_INVENTORY_OUT",IQ_LTM,$I$5,)</f>
        <v>5.7670599999999999</v>
      </c>
      <c r="FD12" s="18"/>
      <c r="FE12" s="18">
        <f>_xll.ciqfunctions.udf.CIQ($A12, "IQ_DAYS_PAYABLE_OUT",IQ_LTM,$I$5,)</f>
        <v>92.911659999999998</v>
      </c>
      <c r="FF12" s="18"/>
      <c r="FG12" s="18">
        <f>_xll.ciqfunctions.udf.CIQ($A12, "IQ_CASH_CONVERSION",IQ_LTM,$I$5,)</f>
        <v>-23.522449999999999</v>
      </c>
      <c r="FH12" s="45"/>
      <c r="FI12" s="42">
        <f>_xll.ciqfunctions.udf.CIQ($A12, "IQ_ASSET_TURNS",IQ_LTM,$I$5,)</f>
        <v>0.52127999999999997</v>
      </c>
      <c r="FJ12" s="42"/>
      <c r="FK12" s="42">
        <f>_xll.ciqfunctions.udf.CIQ($A12, "IQ_FIXED_ASSET_TURNS",IQ_LTM,$I$5,)</f>
        <v>1.64436</v>
      </c>
      <c r="FL12" s="42"/>
      <c r="FM12" s="42">
        <f>_xll.ciqfunctions.udf.CIQ($A12, "IQ_AR_TURNS",IQ_LTM,$I$5,)</f>
        <v>5.7526900000000003</v>
      </c>
      <c r="FN12" s="42"/>
      <c r="FO12" s="42">
        <f>_xll.ciqfunctions.udf.CIQ($A12, "IQ_INVENTORY_TURNS",IQ_LTM,$I$5,)</f>
        <v>63.460380000000001</v>
      </c>
      <c r="FR12" s="100">
        <f>_xll.ciqfunctions.udf.CIQ($A12,"IQ_PERIODDATE",IQ_FY,$I$5)</f>
        <v>45473</v>
      </c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2" customFormat="1" x14ac:dyDescent="0.25">
      <c r="A13" s="97" t="str">
        <f>_xll.ciqfunctions.udf.CIQ($A$21,"IQ_QUICK_COMP",7)</f>
        <v>NYSE:DXC</v>
      </c>
      <c r="C13" s="97" t="str">
        <f>_xll.ciqfunctions.udf.CIQ($A13, "IQ_COMPANY_NAME")</f>
        <v>DXC Technology Company</v>
      </c>
      <c r="D13" s="32"/>
      <c r="E13" s="30">
        <f>_xll.ciqfunctions.udf.CIQ($A13,"IQ_PERIODDATE",IQ_FY,$I$5)</f>
        <v>45382</v>
      </c>
      <c r="F13" s="30"/>
      <c r="G13" s="30">
        <f>_xll.ciqfunctions.udf.CIQ($A13,"IQ_PERIODDATE",IQ_LTM,$I$5)</f>
        <v>45657</v>
      </c>
      <c r="H13" s="32"/>
      <c r="I13" s="26">
        <f>_xll.ciqfunctions.udf.CIQ($A13, "IQ_LASTSALEPRICE",$I$5,Ccy,Conv)</f>
        <v>17.34</v>
      </c>
      <c r="J13" s="26"/>
      <c r="K13" s="26">
        <f>_xll.ciqfunctions.udf.CIQ($A13, "IQ_YEARHIGH",$I$5,Ccy,Conv)</f>
        <v>24.83</v>
      </c>
      <c r="L13" s="26"/>
      <c r="M13" s="26">
        <f>_xll.ciqfunctions.udf.CIQ($A13, "IQ_YEARLOW",$I$5,Ccy,Conv)</f>
        <v>14.785</v>
      </c>
      <c r="N13" s="32"/>
      <c r="O13" s="98">
        <f t="shared" si="0"/>
        <v>0.69834877164720099</v>
      </c>
      <c r="P13" s="98"/>
      <c r="Q13" s="98">
        <f t="shared" si="1"/>
        <v>1.1728102806898884</v>
      </c>
      <c r="R13" s="32"/>
      <c r="S13" s="18">
        <f>_xll.ciqfunctions.udf.CIQ($A13, "IQ_SHARESOUTSTANDING",$I$5)</f>
        <v>181.04856000000001</v>
      </c>
      <c r="T13" s="32"/>
      <c r="U13" s="46">
        <f t="shared" si="2"/>
        <v>3139.3820304000001</v>
      </c>
      <c r="V13" s="46"/>
      <c r="W13" s="18">
        <f>_xll.ciqfunctions.udf.CIQ($A13, "IQ_CASH_ST_INVEST",IQ_FQ,$I$5,,"F",Ccy,Conv)</f>
        <v>1723</v>
      </c>
      <c r="X13" s="18"/>
      <c r="Y13" s="18">
        <f>_xll.ciqfunctions.udf.CIQ($A13, "IQ_TOTAL_DEBT",IQ_FQ,$I$5,,"F",Ccy,Conv)</f>
        <v>4501</v>
      </c>
      <c r="Z13" s="18"/>
      <c r="AA13" s="18">
        <f>_xll.ciqfunctions.udf.CIQ($A13, "IQ_PREF_EQUITY",IQ_FQ,$I$5,,"F",Ccy,Conv)</f>
        <v>0</v>
      </c>
      <c r="AB13" s="18"/>
      <c r="AC13" s="18">
        <f>_xll.ciqfunctions.udf.CIQ($A13, "IQ_MINORITY_INTEREST_TOTAL",IQ_FQ,$I$5,,"F",Ccy,Conv)</f>
        <v>262</v>
      </c>
      <c r="AD13" s="46"/>
      <c r="AE13" s="46">
        <f t="shared" si="6"/>
        <v>6179.3820304000001</v>
      </c>
      <c r="AF13" s="46"/>
      <c r="AG13" s="18">
        <f>_xll.ciqfunctions.udf.CIQ($A13, "IQ_TOTAL_REV", IQ_FY,$I$5,,,Ccy,Conv)</f>
        <v>13667</v>
      </c>
      <c r="AH13" s="18"/>
      <c r="AI13" s="18">
        <f>_xll.ciqfunctions.udf.CIQ($A13, "IQ_TOTAL_REV", IQ_LTM,$I$5,,,Ccy,Conv)</f>
        <v>13088</v>
      </c>
      <c r="AJ13" s="18"/>
      <c r="AK13" s="18">
        <f>_xll.ciqfunctions.udf.CIQ($A13, "IQ_REVENUE_EST", IQ_CY+ 1,$I$5,,,Ccy,Conv)</f>
        <v>12509.837</v>
      </c>
      <c r="AL13" s="18"/>
      <c r="AM13" s="18">
        <f>_xll.ciqfunctions.udf.CIQ($A13, "IQ_REVENUE_EST", IQ_CY+ 2,$I$5,,,Ccy,Conv)</f>
        <v>12271.781800000001</v>
      </c>
      <c r="AN13" s="46"/>
      <c r="AO13" s="18">
        <f>_xll.ciqfunctions.udf.CIQ($A13, "IQ_EBITDA", IQ_FY,$I$5,,,Ccy,Conv)</f>
        <v>1396</v>
      </c>
      <c r="AP13" s="18"/>
      <c r="AQ13" s="18">
        <f>_xll.ciqfunctions.udf.CIQ($A13, "IQ_EBITDA", IQ_LTM,$I$5,,,Ccy,Conv)</f>
        <v>1395</v>
      </c>
      <c r="AR13" s="18"/>
      <c r="AS13" s="18">
        <f>_xll.ciqfunctions.udf.CIQ($A13, "IQ_EBITDA_EST", IQ_CY+ 1,$I$5,,,Ccy,Conv)</f>
        <v>1942.2666999999999</v>
      </c>
      <c r="AT13" s="18"/>
      <c r="AU13" s="18">
        <f>_xll.ciqfunctions.udf.CIQ($A13, "IQ_EBITDA_EST", IQ_CY+ 2,$I$5,,,Ccy,Conv)</f>
        <v>1874.8619000000001</v>
      </c>
      <c r="AV13" s="46"/>
      <c r="AW13" s="26">
        <f>_xll.ciqfunctions.udf.CIQ($A13, "IQ_DILUT_EPS_EXCL", IQ_FY,$I$5,,,Ccy,Conv)</f>
        <v>0.46</v>
      </c>
      <c r="AX13" s="26"/>
      <c r="AY13" s="26">
        <f>_xll.ciqfunctions.udf.CIQ($A13, "IQ_DILUT_EPS_EXCL", IQ_LTM,$I$5,,,Ccy,Conv)</f>
        <v>-0.41505999999999998</v>
      </c>
      <c r="AZ13" s="26"/>
      <c r="BA13" s="26">
        <f>_xll.ciqfunctions.udf.CIQ($A13, "IQ_EPS_EST", IQ_CY+ 1,$I$5,,,Ccy,Conv)</f>
        <v>3.3740999999999999</v>
      </c>
      <c r="BB13" s="26"/>
      <c r="BC13" s="26">
        <f>_xll.ciqfunctions.udf.CIQ($A13, "IQ_EPS_EST", IQ_CY+ 2,$I$5,,,Ccy,Conv)</f>
        <v>3.6273</v>
      </c>
      <c r="BD13" s="32"/>
      <c r="BE13" s="42">
        <f>_xll.ciqfunctions.udf.CIQ($A13, "IQ_TEV_TOTAL_REV",IQ_LTM,$FR13)</f>
        <v>0.56406000000000001</v>
      </c>
      <c r="BF13" s="42"/>
      <c r="BG13" s="42">
        <f>_xll.ciqfunctions.udf.CIQ($A13, "IQ_TEV_TOTAL_REV",IQ_LTM,$I$5)</f>
        <v>0.47214</v>
      </c>
      <c r="BH13" s="46"/>
      <c r="BI13" s="99">
        <f t="shared" si="3"/>
        <v>0.49396183422693679</v>
      </c>
      <c r="BJ13" s="99"/>
      <c r="BK13" s="99">
        <f t="shared" si="4"/>
        <v>0.50354399476040224</v>
      </c>
      <c r="BL13" s="46"/>
      <c r="BM13" s="42">
        <f>_xll.ciqfunctions.udf.CIQ($A13, "IQ_TEV_EBITDA",IQ_LTM,$FR13)</f>
        <v>8.6748200000000004</v>
      </c>
      <c r="BN13" s="42"/>
      <c r="BO13" s="42">
        <f>_xll.ciqfunctions.udf.CIQ($A13, "IQ_TEV_EBITDA",IQ_LTM,$I$5)</f>
        <v>3.4852699999999999</v>
      </c>
      <c r="BP13" s="42"/>
      <c r="BQ13" s="42">
        <f>_xll.ciqfunctions.udf.CIQ($A13, "IQ_TEV_EBITDA_FWD",IQ_CY+1,$I$5)</f>
        <v>3.18153</v>
      </c>
      <c r="BR13" s="42"/>
      <c r="BS13" s="42">
        <f>_xll.ciqfunctions.udf.CIQ($A13, "IQ_TEV_EBITDA_FWD",IQ_CY+2,$I$5)</f>
        <v>3.2959100000000001</v>
      </c>
      <c r="BT13" s="46"/>
      <c r="BU13" s="42" t="str">
        <f>_xll.ciqfunctions.udf.CIQ($A13, "IQ_PE_EXCL",IQ_LTM,$FR13)</f>
        <v>NM</v>
      </c>
      <c r="BV13" s="42"/>
      <c r="BW13" s="42" t="str">
        <f>_xll.ciqfunctions.udf.CIQ($A13, "IQ_PE_EXCL",IQ_LTM,$I$5)</f>
        <v>NM</v>
      </c>
      <c r="BX13" s="42"/>
      <c r="BY13" s="42">
        <f>_xll.ciqfunctions.udf.CIQ($A13, "IQ_PE_EXCL_FWD",IQ_CY+1,$I$5)</f>
        <v>5.1391499999999999</v>
      </c>
      <c r="BZ13" s="42"/>
      <c r="CA13" s="42">
        <f>_xll.ciqfunctions.udf.CIQ($A13, "IQ_PE_EXCL_FWD",IQ_CY+2,$I$5)</f>
        <v>4.7804200000000003</v>
      </c>
      <c r="CB13" s="46"/>
      <c r="CC13" s="42">
        <f>_xll.ciqfunctions.udf.CIQ($A13, "IQ_PBV",IQ_LTM,$I$5,)</f>
        <v>1.04993</v>
      </c>
      <c r="CD13" s="42"/>
      <c r="CE13" s="42">
        <f>_xll.ciqfunctions.udf.CIQ($A13, "IQ_PTBV",IQ_LTM,$I$5,)</f>
        <v>4.5762</v>
      </c>
      <c r="CF13" s="32"/>
      <c r="CG13" s="18">
        <f>_xll.ciqfunctions.udf.CIQ($A13, "IQ_GROSS_MARGIN", IQ_FY- 2,$I$5,)</f>
        <v>22.0227</v>
      </c>
      <c r="CH13" s="18"/>
      <c r="CI13" s="18">
        <f>_xll.ciqfunctions.udf.CIQ($A13, "IQ_GROSS_MARGIN", IQ_FY- 1,$I$5,)</f>
        <v>22.065100000000001</v>
      </c>
      <c r="CJ13" s="18"/>
      <c r="CK13" s="18">
        <f>_xll.ciqfunctions.udf.CIQ($A13, "IQ_GROSS_MARGIN", IQ_FY,$I$5,)</f>
        <v>22.682300000000001</v>
      </c>
      <c r="CL13" s="18"/>
      <c r="CM13" s="18">
        <f>_xll.ciqfunctions.udf.CIQ($A13, "IQ_GROSS_MARGIN", IQ_LTM,$I$5,)</f>
        <v>23.991399999999999</v>
      </c>
      <c r="CN13" s="46"/>
      <c r="CO13" s="18">
        <f>_xll.ciqfunctions.udf.CIQ($A13, "IQ_EBITDA_MARGIN", IQ_FY- 2,$I$5,)</f>
        <v>18.837900000000001</v>
      </c>
      <c r="CP13" s="18"/>
      <c r="CQ13" s="18">
        <f>_xll.ciqfunctions.udf.CIQ($A13, "IQ_EBITDA_MARGIN", IQ_FY- 1,$I$5,)</f>
        <v>3.8530000000000002</v>
      </c>
      <c r="CR13" s="18"/>
      <c r="CS13" s="18">
        <f>_xll.ciqfunctions.udf.CIQ($A13, "IQ_EBITDA_MARGIN", IQ_FY,$I$5,)</f>
        <v>10.2143</v>
      </c>
      <c r="CT13" s="18"/>
      <c r="CU13" s="18">
        <f>_xll.ciqfunctions.udf.CIQ($A13, "IQ_EBITDA_MARGIN", IQ_LTM,$I$5,)</f>
        <v>10.6586</v>
      </c>
      <c r="CV13" s="46"/>
      <c r="CW13" s="18">
        <f>_xll.ciqfunctions.udf.CIQ($A13, "IQ_NI_MARGIN", IQ_FY- 2,$I$5,)</f>
        <v>4.4142999999999999</v>
      </c>
      <c r="CX13" s="18"/>
      <c r="CY13" s="18">
        <f>_xll.ciqfunctions.udf.CIQ($A13, "IQ_NI_MARGIN", IQ_FY- 1,$I$5,)</f>
        <v>-3.9361999999999999</v>
      </c>
      <c r="CZ13" s="18"/>
      <c r="DA13" s="18">
        <f>_xll.ciqfunctions.udf.CIQ($A13, "IQ_NI_MARGIN", IQ_FY,$I$5,)</f>
        <v>0.66579999999999995</v>
      </c>
      <c r="DB13" s="18"/>
      <c r="DC13" s="18">
        <f>_xll.ciqfunctions.udf.CIQ($A13, "IQ_NI_MARGIN", IQ_LTM,$I$5,)</f>
        <v>-0.57299999999999995</v>
      </c>
      <c r="DD13" s="32"/>
      <c r="DE13" s="18">
        <f>_xll.ciqfunctions.udf.CIQ($A13, "IQ_TOTAL_REV_5YR_ANN_CAGR",IQ_LTM,$I$5,)</f>
        <v>-8.1696000000000009</v>
      </c>
      <c r="DF13" s="18"/>
      <c r="DG13" s="18">
        <f>_xll.ciqfunctions.udf.CIQ($A13, "IQ_TOTAL_REV_3YR_ANN_CAGR",IQ_LTM,$I$5,)</f>
        <v>-7.6955999999999998</v>
      </c>
      <c r="DH13" s="18"/>
      <c r="DI13" s="18">
        <f>_xll.ciqfunctions.udf.CIQ($A13, "IQ_TOTAL_REV_1YR_ANN_GROWTH", IQ_FY,$I$5,)</f>
        <v>-5.2876000000000003</v>
      </c>
      <c r="DJ13" s="18"/>
      <c r="DK13" s="18">
        <f>_xll.ciqfunctions.udf.CIQ($A13, "IQ_TOTAL_REV_1YR_ANN_GROWTH",IQ_LTM,$I$5,)</f>
        <v>-5.6516999999999999</v>
      </c>
      <c r="DL13" s="46"/>
      <c r="DM13" s="18">
        <f>_xll.ciqfunctions.udf.CIQ($A13, "IQ_EBITDA_5YR_ANN_CAGR",IQ_LTM,$I$5,)</f>
        <v>-15.722099999999999</v>
      </c>
      <c r="DN13" s="18"/>
      <c r="DO13" s="18">
        <f>_xll.ciqfunctions.udf.CIQ($A13, "IQ_EBITDA_3YR_ANN_CAGR",IQ_LTM,$I$5,)</f>
        <v>-9.2576999999999998</v>
      </c>
      <c r="DP13" s="18"/>
      <c r="DQ13" s="18">
        <f>_xll.ciqfunctions.udf.CIQ($A13, "IQ_EBITDA_1YR_ANN_GROWTH", IQ_FY,$I$5,)</f>
        <v>151.07910000000001</v>
      </c>
      <c r="DR13" s="18"/>
      <c r="DS13" s="18">
        <f>_xll.ciqfunctions.udf.CIQ($A13, "IQ_EBITDA_1YR_ANN_GROWTH",IQ_LTM,$I$5,)</f>
        <v>200</v>
      </c>
      <c r="DT13" s="46"/>
      <c r="DU13" s="18" t="str">
        <f>_xll.ciqfunctions.udf.CIQ($A13, "IQ_EPS_5YR_ANN_CAGR",IQ_LTM,$I$5,)</f>
        <v>NM</v>
      </c>
      <c r="DV13" s="18"/>
      <c r="DW13" s="18" t="str">
        <f>_xll.ciqfunctions.udf.CIQ($A13, "IQ_EPS_3YR_ANN_CAGR",IQ_LTM,$I$5,)</f>
        <v>NM</v>
      </c>
      <c r="DX13" s="18"/>
      <c r="DY13" s="18" t="str">
        <f>_xll.ciqfunctions.udf.CIQ($A13, "IQ_EPS_1YR_ANN_GROWTH", IQ_FY,$I$5,)</f>
        <v>NM</v>
      </c>
      <c r="DZ13" s="18"/>
      <c r="EA13" s="18" t="str">
        <f>_xll.ciqfunctions.udf.CIQ($A13, "IQ_EPS_1YR_ANN_GROWTH", IQ_LTM,$I$5,)</f>
        <v>NM</v>
      </c>
      <c r="EB13" s="32"/>
      <c r="EC13" s="42">
        <f>_xll.ciqfunctions.udf.CIQ($A13, "IQ_TOTAL_DEBT_EBITDA",IQ_LTM,$I$5,)</f>
        <v>2.53864</v>
      </c>
      <c r="ED13" s="42"/>
      <c r="EE13" s="42">
        <f>_xll.ciqfunctions.udf.CIQ($A13, "IQ_NET_DEBT_EBITDA",IQ_LTM,$I$5,)</f>
        <v>1.56684</v>
      </c>
      <c r="EF13" s="18"/>
      <c r="EG13" s="102">
        <f t="shared" si="5"/>
        <v>3.2265232974910396</v>
      </c>
      <c r="EH13" s="18"/>
      <c r="EI13" s="42">
        <f>_xll.ciqfunctions.udf.CIQ($A13, "IQ_EBITDA_INT",IQ_LTM,$I$5,)</f>
        <v>6.2650199999999998</v>
      </c>
      <c r="EJ13" s="42"/>
      <c r="EK13" s="42">
        <f>_xll.ciqfunctions.udf.CIQ($A13, "IQ_EBITDA_CAPEX_INT",IQ_LTM,$I$5,)</f>
        <v>5.5265000000000004</v>
      </c>
      <c r="EL13" s="45"/>
      <c r="EM13" s="18">
        <f>_xll.ciqfunctions.udf.CIQ($A13, "IQ_TOTAL_DEBT_EQUITY",IQ_FQ,$I$5,)</f>
        <v>138.40710000000001</v>
      </c>
      <c r="EN13" s="18"/>
      <c r="EO13" s="18">
        <f>_xll.ciqfunctions.udf.CIQ($A13, "IQ_TOTAL_DEBT_CAPITAL",IQ_FQ,$I$5,)</f>
        <v>58.054900000000004</v>
      </c>
      <c r="EP13" s="32"/>
      <c r="EQ13" s="18">
        <f>_xll.ciqfunctions.udf.CIQ($A13, "IQ_RETURN_EQUITY",IQ_LTM,$I$5)</f>
        <v>-1.8735999999999999</v>
      </c>
      <c r="ER13" s="18"/>
      <c r="ES13" s="18">
        <f>_xll.ciqfunctions.udf.CIQ($A13, "IQ_RETURN_ASSETS",IQ_LTM,$I$5)</f>
        <v>1.1279999999999999</v>
      </c>
      <c r="ET13" s="18"/>
      <c r="EU13" s="18">
        <f>_xll.ciqfunctions.udf.CIQ($A13, "IQ_RETURN_INVESTED_CAPITAL",IQ_LTM,$I$5)</f>
        <v>-0.90920000000000001</v>
      </c>
      <c r="EV13" s="32"/>
      <c r="EW13" s="42">
        <f>_xll.ciqfunctions.udf.CIQ($A13, "IQ_CURRENT_RATIO",IQ_FQ,$I$5,)</f>
        <v>1.3397600000000001</v>
      </c>
      <c r="EX13" s="42"/>
      <c r="EY13" s="42">
        <f>_xll.ciqfunctions.udf.CIQ($A13, "IQ_QUICK_RATIO",IQ_FQ,$I$5,)</f>
        <v>1.1832100000000001</v>
      </c>
      <c r="EZ13" s="45"/>
      <c r="FA13" s="18">
        <f>_xll.ciqfunctions.udf.CIQ($A13, "IQ_DAYS_SALES_OUT",IQ_LTM,$I$5,)</f>
        <v>64.961340000000007</v>
      </c>
      <c r="FB13" s="18"/>
      <c r="FC13" s="18">
        <f>_xll.ciqfunctions.udf.CIQ($A13, "IQ_DAYS_INVENTORY_OUT",IQ_LTM,$I$5,)</f>
        <v>0</v>
      </c>
      <c r="FD13" s="18"/>
      <c r="FE13" s="18">
        <f>_xll.ciqfunctions.udf.CIQ($A13, "IQ_DAYS_PAYABLE_OUT",IQ_LTM,$I$5,)</f>
        <v>26.360779999999998</v>
      </c>
      <c r="FF13" s="18"/>
      <c r="FG13" s="18">
        <f>_xll.ciqfunctions.udf.CIQ($A13, "IQ_CASH_CONVERSION",IQ_LTM,$I$5,)</f>
        <v>0</v>
      </c>
      <c r="FH13" s="45"/>
      <c r="FI13" s="42">
        <f>_xll.ciqfunctions.udf.CIQ($A13, "IQ_ASSET_TURNS",IQ_LTM,$I$5,)</f>
        <v>0.93737000000000004</v>
      </c>
      <c r="FJ13" s="42"/>
      <c r="FK13" s="42">
        <f>_xll.ciqfunctions.udf.CIQ($A13, "IQ_FIXED_ASSET_TURNS",IQ_LTM,$I$5,)</f>
        <v>5.8337399999999997</v>
      </c>
      <c r="FL13" s="42"/>
      <c r="FM13" s="42">
        <f>_xll.ciqfunctions.udf.CIQ($A13, "IQ_AR_TURNS",IQ_LTM,$I$5,)</f>
        <v>5.6340899999999996</v>
      </c>
      <c r="FN13" s="42"/>
      <c r="FO13" s="42">
        <f>_xll.ciqfunctions.udf.CIQ($A13, "IQ_INVENTORY_TURNS",IQ_LTM,$I$5,)</f>
        <v>0</v>
      </c>
      <c r="FR13" s="100">
        <f>_xll.ciqfunctions.udf.CIQ($A13,"IQ_PERIODDATE",IQ_FY,$I$5)</f>
        <v>45382</v>
      </c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2" customFormat="1" x14ac:dyDescent="0.25">
      <c r="A14" s="97" t="str">
        <f>_xll.ciqfunctions.udf.CIQ($A$21,"IQ_QUICK_COMP",8)</f>
        <v>NasdaqGS:HON</v>
      </c>
      <c r="C14" s="97" t="str">
        <f>_xll.ciqfunctions.udf.CIQ($A14, "IQ_COMPANY_NAME")</f>
        <v>Honeywell International Inc.</v>
      </c>
      <c r="D14" s="32"/>
      <c r="E14" s="30">
        <f>_xll.ciqfunctions.udf.CIQ($A14,"IQ_PERIODDATE",IQ_FY,$I$5)</f>
        <v>45657</v>
      </c>
      <c r="F14" s="30"/>
      <c r="G14" s="30">
        <f>_xll.ciqfunctions.udf.CIQ($A14,"IQ_PERIODDATE",IQ_LTM,$I$5)</f>
        <v>45657</v>
      </c>
      <c r="H14" s="32"/>
      <c r="I14" s="26">
        <f>_xll.ciqfunctions.udf.CIQ($A14, "IQ_LASTSALEPRICE",$I$5,Ccy,Conv)</f>
        <v>213.45</v>
      </c>
      <c r="J14" s="26"/>
      <c r="K14" s="26">
        <f>_xll.ciqfunctions.udf.CIQ($A14, "IQ_YEARHIGH",$I$5,Ccy,Conv)</f>
        <v>242.77</v>
      </c>
      <c r="L14" s="26"/>
      <c r="M14" s="26">
        <f>_xll.ciqfunctions.udf.CIQ($A14, "IQ_YEARLOW",$I$5,Ccy,Conv)</f>
        <v>189.75</v>
      </c>
      <c r="N14" s="32"/>
      <c r="O14" s="98">
        <f t="shared" si="0"/>
        <v>0.87922725213164721</v>
      </c>
      <c r="P14" s="98"/>
      <c r="Q14" s="98">
        <f t="shared" si="1"/>
        <v>1.1249011857707509</v>
      </c>
      <c r="R14" s="32"/>
      <c r="S14" s="18">
        <f>_xll.ciqfunctions.udf.CIQ($A14, "IQ_SHARESOUTSTANDING",$I$5)</f>
        <v>648.76774999999998</v>
      </c>
      <c r="T14" s="32"/>
      <c r="U14" s="46">
        <f t="shared" si="2"/>
        <v>138479.4762375</v>
      </c>
      <c r="V14" s="46"/>
      <c r="W14" s="18">
        <f>_xll.ciqfunctions.udf.CIQ($A14, "IQ_CASH_ST_INVEST",IQ_FQ,$I$5,,"F",Ccy,Conv)</f>
        <v>10953</v>
      </c>
      <c r="X14" s="18"/>
      <c r="Y14" s="18">
        <f>_xll.ciqfunctions.udf.CIQ($A14, "IQ_TOTAL_DEBT",IQ_FQ,$I$5,,"F",Ccy,Conv)</f>
        <v>32225</v>
      </c>
      <c r="Z14" s="18"/>
      <c r="AA14" s="18">
        <f>_xll.ciqfunctions.udf.CIQ($A14, "IQ_PREF_EQUITY",IQ_FQ,$I$5,,"F",Ccy,Conv)</f>
        <v>0</v>
      </c>
      <c r="AB14" s="18"/>
      <c r="AC14" s="18">
        <f>_xll.ciqfunctions.udf.CIQ($A14, "IQ_MINORITY_INTEREST_TOTAL",IQ_FQ,$I$5,,"F",Ccy,Conv)</f>
        <v>542</v>
      </c>
      <c r="AD14" s="46"/>
      <c r="AE14" s="46">
        <f t="shared" si="6"/>
        <v>160293.4762375</v>
      </c>
      <c r="AF14" s="46"/>
      <c r="AG14" s="18">
        <f>_xll.ciqfunctions.udf.CIQ($A14, "IQ_TOTAL_REV", IQ_FY,$I$5,,,Ccy,Conv)</f>
        <v>38498</v>
      </c>
      <c r="AH14" s="18"/>
      <c r="AI14" s="18">
        <f>_xll.ciqfunctions.udf.CIQ($A14, "IQ_TOTAL_REV", IQ_LTM,$I$5,,,Ccy,Conv)</f>
        <v>38498</v>
      </c>
      <c r="AJ14" s="18"/>
      <c r="AK14" s="18">
        <f>_xll.ciqfunctions.udf.CIQ($A14, "IQ_REVENUE_EST", IQ_CY+ 1,$I$5,,,Ccy,Conv)</f>
        <v>40422.724309999998</v>
      </c>
      <c r="AL14" s="18"/>
      <c r="AM14" s="18">
        <f>_xll.ciqfunctions.udf.CIQ($A14, "IQ_REVENUE_EST", IQ_CY+ 2,$I$5,,,Ccy,Conv)</f>
        <v>42556.421029999998</v>
      </c>
      <c r="AN14" s="46"/>
      <c r="AO14" s="18">
        <f>_xll.ciqfunctions.udf.CIQ($A14, "IQ_EBITDA", IQ_FY,$I$5,,,Ccy,Conv)</f>
        <v>9536</v>
      </c>
      <c r="AP14" s="18"/>
      <c r="AQ14" s="18">
        <f>_xll.ciqfunctions.udf.CIQ($A14, "IQ_EBITDA", IQ_LTM,$I$5,,,Ccy,Conv)</f>
        <v>9536</v>
      </c>
      <c r="AR14" s="18"/>
      <c r="AS14" s="18">
        <f>_xll.ciqfunctions.udf.CIQ($A14, "IQ_EBITDA_EST", IQ_CY+ 1,$I$5,,,Ccy,Conv)</f>
        <v>10449.22839</v>
      </c>
      <c r="AT14" s="18"/>
      <c r="AU14" s="18">
        <f>_xll.ciqfunctions.udf.CIQ($A14, "IQ_EBITDA_EST", IQ_CY+ 2,$I$5,,,Ccy,Conv)</f>
        <v>11189.613499999999</v>
      </c>
      <c r="AV14" s="46"/>
      <c r="AW14" s="26">
        <f>_xll.ciqfunctions.udf.CIQ($A14, "IQ_DILUT_EPS_EXCL", IQ_FY,$I$5,,,Ccy,Conv)</f>
        <v>8.7100000000000009</v>
      </c>
      <c r="AX14" s="26"/>
      <c r="AY14" s="26">
        <f>_xll.ciqfunctions.udf.CIQ($A14, "IQ_DILUT_EPS_EXCL", IQ_LTM,$I$5,,,Ccy,Conv)</f>
        <v>8.7100000000000009</v>
      </c>
      <c r="AZ14" s="26"/>
      <c r="BA14" s="26">
        <f>_xll.ciqfunctions.udf.CIQ($A14, "IQ_EPS_EST", IQ_CY+ 1,$I$5,,,Ccy,Conv)</f>
        <v>10.34618</v>
      </c>
      <c r="BB14" s="26"/>
      <c r="BC14" s="26">
        <f>_xll.ciqfunctions.udf.CIQ($A14, "IQ_EPS_EST", IQ_CY+ 2,$I$5,,,Ccy,Conv)</f>
        <v>11.457940000000001</v>
      </c>
      <c r="BD14" s="32"/>
      <c r="BE14" s="42">
        <f>_xll.ciqfunctions.udf.CIQ($A14, "IQ_TEV_TOTAL_REV",IQ_LTM,$FR14)</f>
        <v>4.4521600000000001</v>
      </c>
      <c r="BF14" s="42"/>
      <c r="BG14" s="42">
        <f>_xll.ciqfunctions.udf.CIQ($A14, "IQ_TEV_TOTAL_REV",IQ_LTM,$I$5)</f>
        <v>4.1636800000000003</v>
      </c>
      <c r="BH14" s="46"/>
      <c r="BI14" s="99">
        <f t="shared" si="3"/>
        <v>3.9654298163631121</v>
      </c>
      <c r="BJ14" s="99"/>
      <c r="BK14" s="99">
        <f t="shared" si="4"/>
        <v>3.7666108276469417</v>
      </c>
      <c r="BL14" s="46"/>
      <c r="BM14" s="42">
        <f>_xll.ciqfunctions.udf.CIQ($A14, "IQ_TEV_EBITDA",IQ_LTM,$FR14)</f>
        <v>17.718769999999999</v>
      </c>
      <c r="BN14" s="42"/>
      <c r="BO14" s="42">
        <f>_xll.ciqfunctions.udf.CIQ($A14, "IQ_TEV_EBITDA",IQ_LTM,$I$5)</f>
        <v>16.228960000000001</v>
      </c>
      <c r="BP14" s="42"/>
      <c r="BQ14" s="42">
        <f>_xll.ciqfunctions.udf.CIQ($A14, "IQ_TEV_EBITDA_FWD",IQ_CY+1,$I$5)</f>
        <v>15.34022</v>
      </c>
      <c r="BR14" s="42"/>
      <c r="BS14" s="42">
        <f>_xll.ciqfunctions.udf.CIQ($A14, "IQ_TEV_EBITDA_FWD",IQ_CY+2,$I$5)</f>
        <v>14.325200000000001</v>
      </c>
      <c r="BT14" s="46"/>
      <c r="BU14" s="42">
        <f>_xll.ciqfunctions.udf.CIQ($A14, "IQ_PE_EXCL",IQ_LTM,$FR14)</f>
        <v>26.100159999999999</v>
      </c>
      <c r="BV14" s="42"/>
      <c r="BW14" s="42">
        <f>_xll.ciqfunctions.udf.CIQ($A14, "IQ_PE_EXCL",IQ_LTM,$I$5)</f>
        <v>24.506309999999999</v>
      </c>
      <c r="BX14" s="42"/>
      <c r="BY14" s="42">
        <f>_xll.ciqfunctions.udf.CIQ($A14, "IQ_PE_EXCL_FWD",IQ_CY+1,$I$5)</f>
        <v>20.630800000000001</v>
      </c>
      <c r="BZ14" s="42"/>
      <c r="CA14" s="42">
        <f>_xll.ciqfunctions.udf.CIQ($A14, "IQ_PE_EXCL_FWD",IQ_CY+2,$I$5)</f>
        <v>18.629000000000001</v>
      </c>
      <c r="CB14" s="46"/>
      <c r="CC14" s="42">
        <f>_xll.ciqfunctions.udf.CIQ($A14, "IQ_PBV",IQ_LTM,$I$5,)</f>
        <v>7.44937</v>
      </c>
      <c r="CD14" s="42"/>
      <c r="CE14" s="42" t="str">
        <f>_xll.ciqfunctions.udf.CIQ($A14, "IQ_PTBV",IQ_LTM,$I$5,)</f>
        <v>NM</v>
      </c>
      <c r="CF14" s="32"/>
      <c r="CG14" s="18">
        <f>_xll.ciqfunctions.udf.CIQ($A14, "IQ_GROSS_MARGIN", IQ_FY- 2,$I$5,)</f>
        <v>36.990299999999998</v>
      </c>
      <c r="CH14" s="18"/>
      <c r="CI14" s="18">
        <f>_xll.ciqfunctions.udf.CIQ($A14, "IQ_GROSS_MARGIN", IQ_FY- 1,$I$5,)</f>
        <v>37.278300000000002</v>
      </c>
      <c r="CJ14" s="18"/>
      <c r="CK14" s="18">
        <f>_xll.ciqfunctions.udf.CIQ($A14, "IQ_GROSS_MARGIN", IQ_FY,$I$5,)</f>
        <v>38.085000000000001</v>
      </c>
      <c r="CL14" s="18"/>
      <c r="CM14" s="18">
        <f>_xll.ciqfunctions.udf.CIQ($A14, "IQ_GROSS_MARGIN", IQ_LTM,$I$5,)</f>
        <v>38.085000000000001</v>
      </c>
      <c r="CN14" s="46"/>
      <c r="CO14" s="18">
        <f>_xll.ciqfunctions.udf.CIQ($A14, "IQ_EBITDA_MARGIN", IQ_FY- 2,$I$5,)</f>
        <v>23.3293</v>
      </c>
      <c r="CP14" s="18"/>
      <c r="CQ14" s="18">
        <f>_xll.ciqfunctions.udf.CIQ($A14, "IQ_EBITDA_MARGIN", IQ_FY- 1,$I$5,)</f>
        <v>23.812100000000001</v>
      </c>
      <c r="CR14" s="18"/>
      <c r="CS14" s="18">
        <f>_xll.ciqfunctions.udf.CIQ($A14, "IQ_EBITDA_MARGIN", IQ_FY,$I$5,)</f>
        <v>24.770099999999999</v>
      </c>
      <c r="CT14" s="18"/>
      <c r="CU14" s="18">
        <f>_xll.ciqfunctions.udf.CIQ($A14, "IQ_EBITDA_MARGIN", IQ_LTM,$I$5,)</f>
        <v>24.770099999999999</v>
      </c>
      <c r="CV14" s="46"/>
      <c r="CW14" s="18">
        <f>_xll.ciqfunctions.udf.CIQ($A14, "IQ_NI_MARGIN", IQ_FY- 2,$I$5,)</f>
        <v>14.0021</v>
      </c>
      <c r="CX14" s="18"/>
      <c r="CY14" s="18">
        <f>_xll.ciqfunctions.udf.CIQ($A14, "IQ_NI_MARGIN", IQ_FY- 1,$I$5,)</f>
        <v>15.4328</v>
      </c>
      <c r="CZ14" s="18"/>
      <c r="DA14" s="18">
        <f>_xll.ciqfunctions.udf.CIQ($A14, "IQ_NI_MARGIN", IQ_FY,$I$5,)</f>
        <v>14.818899999999999</v>
      </c>
      <c r="DB14" s="18"/>
      <c r="DC14" s="18">
        <f>_xll.ciqfunctions.udf.CIQ($A14, "IQ_NI_MARGIN", IQ_LTM,$I$5,)</f>
        <v>14.818899999999999</v>
      </c>
      <c r="DD14" s="32"/>
      <c r="DE14" s="18">
        <f>_xll.ciqfunctions.udf.CIQ($A14, "IQ_TOTAL_REV_5YR_ANN_CAGR",IQ_LTM,$I$5,)</f>
        <v>0.95620000000000005</v>
      </c>
      <c r="DF14" s="18"/>
      <c r="DG14" s="18">
        <f>_xll.ciqfunctions.udf.CIQ($A14, "IQ_TOTAL_REV_3YR_ANN_CAGR",IQ_LTM,$I$5,)</f>
        <v>3.831</v>
      </c>
      <c r="DH14" s="18"/>
      <c r="DI14" s="18">
        <f>_xll.ciqfunctions.udf.CIQ($A14, "IQ_TOTAL_REV_1YR_ANN_GROWTH", IQ_FY,$I$5,)</f>
        <v>5.0079000000000002</v>
      </c>
      <c r="DJ14" s="18"/>
      <c r="DK14" s="18">
        <f>_xll.ciqfunctions.udf.CIQ($A14, "IQ_TOTAL_REV_1YR_ANN_GROWTH",IQ_LTM,$I$5,)</f>
        <v>5.0079000000000002</v>
      </c>
      <c r="DL14" s="46"/>
      <c r="DM14" s="18">
        <f>_xll.ciqfunctions.udf.CIQ($A14, "IQ_EBITDA_5YR_ANN_CAGR",IQ_LTM,$I$5,)</f>
        <v>2.1067</v>
      </c>
      <c r="DN14" s="18"/>
      <c r="DO14" s="18">
        <f>_xll.ciqfunctions.udf.CIQ($A14, "IQ_EBITDA_3YR_ANN_CAGR",IQ_LTM,$I$5,)</f>
        <v>3.1214</v>
      </c>
      <c r="DP14" s="18"/>
      <c r="DQ14" s="18">
        <f>_xll.ciqfunctions.udf.CIQ($A14, "IQ_EBITDA_1YR_ANN_GROWTH", IQ_FY,$I$5,)</f>
        <v>9.2324999999999999</v>
      </c>
      <c r="DR14" s="18"/>
      <c r="DS14" s="18">
        <f>_xll.ciqfunctions.udf.CIQ($A14, "IQ_EBITDA_1YR_ANN_GROWTH",IQ_LTM,$I$5,)</f>
        <v>9.2324999999999999</v>
      </c>
      <c r="DT14" s="46"/>
      <c r="DU14" s="18">
        <f>_xll.ciqfunctions.udf.CIQ($A14, "IQ_EPS_5YR_ANN_CAGR",IQ_LTM,$I$5,)</f>
        <v>0.70350000000000001</v>
      </c>
      <c r="DV14" s="18"/>
      <c r="DW14" s="18">
        <f>_xll.ciqfunctions.udf.CIQ($A14, "IQ_EPS_3YR_ANN_CAGR",IQ_LTM,$I$5,)</f>
        <v>3.2635999999999998</v>
      </c>
      <c r="DX14" s="18"/>
      <c r="DY14" s="18">
        <f>_xll.ciqfunctions.udf.CIQ($A14, "IQ_EPS_1YR_ANN_GROWTH", IQ_FY,$I$5,)</f>
        <v>2.8334999999999999</v>
      </c>
      <c r="DZ14" s="18"/>
      <c r="EA14" s="18">
        <f>_xll.ciqfunctions.udf.CIQ($A14, "IQ_EPS_1YR_ANN_GROWTH", IQ_LTM,$I$5,)</f>
        <v>2.8334999999999999</v>
      </c>
      <c r="EB14" s="32"/>
      <c r="EC14" s="42">
        <f>_xll.ciqfunctions.udf.CIQ($A14, "IQ_TOTAL_DEBT_EBITDA",IQ_LTM,$I$5,)</f>
        <v>3.28424</v>
      </c>
      <c r="ED14" s="42"/>
      <c r="EE14" s="42">
        <f>_xll.ciqfunctions.udf.CIQ($A14, "IQ_NET_DEBT_EBITDA",IQ_LTM,$I$5,)</f>
        <v>2.1679599999999999</v>
      </c>
      <c r="EF14" s="18"/>
      <c r="EG14" s="102">
        <f t="shared" si="5"/>
        <v>3.3792994966442955</v>
      </c>
      <c r="EH14" s="18"/>
      <c r="EI14" s="42">
        <f>_xll.ciqfunctions.udf.CIQ($A14, "IQ_EBITDA_INT",IQ_LTM,$I$5,)</f>
        <v>9.2741000000000007</v>
      </c>
      <c r="EJ14" s="42"/>
      <c r="EK14" s="42">
        <f>_xll.ciqfunctions.udf.CIQ($A14, "IQ_EBITDA_CAPEX_INT",IQ_LTM,$I$5,)</f>
        <v>8.1739099999999993</v>
      </c>
      <c r="EL14" s="45"/>
      <c r="EM14" s="18">
        <f>_xll.ciqfunctions.udf.CIQ($A14, "IQ_TOTAL_DEBT_EQUITY",IQ_FQ,$I$5,)</f>
        <v>168.18010000000001</v>
      </c>
      <c r="EN14" s="18"/>
      <c r="EO14" s="18">
        <f>_xll.ciqfunctions.udf.CIQ($A14, "IQ_TOTAL_DEBT_CAPITAL",IQ_FQ,$I$5,)</f>
        <v>62.711599999999997</v>
      </c>
      <c r="EP14" s="32"/>
      <c r="EQ14" s="18">
        <f>_xll.ciqfunctions.udf.CIQ($A14, "IQ_RETURN_EQUITY",IQ_LTM,$I$5)</f>
        <v>32.2453</v>
      </c>
      <c r="ER14" s="18"/>
      <c r="ES14" s="18">
        <f>_xll.ciqfunctions.udf.CIQ($A14, "IQ_RETURN_ASSETS",IQ_LTM,$I$5)</f>
        <v>7.4988000000000001</v>
      </c>
      <c r="ET14" s="18"/>
      <c r="EU14" s="18">
        <f>_xll.ciqfunctions.udf.CIQ($A14, "IQ_RETURN_INVESTED_CAPITAL",IQ_LTM,$I$5)</f>
        <v>6.2732000000000001</v>
      </c>
      <c r="EV14" s="32"/>
      <c r="EW14" s="42">
        <f>_xll.ciqfunctions.udf.CIQ($A14, "IQ_CURRENT_RATIO",IQ_FQ,$I$5,)</f>
        <v>1.3129500000000001</v>
      </c>
      <c r="EX14" s="42"/>
      <c r="EY14" s="42">
        <f>_xll.ciqfunctions.udf.CIQ($A14, "IQ_QUICK_RATIO",IQ_FQ,$I$5,)</f>
        <v>0.89061999999999997</v>
      </c>
      <c r="EZ14" s="45"/>
      <c r="FA14" s="18">
        <f>_xll.ciqfunctions.udf.CIQ($A14, "IQ_DAYS_SALES_OUT",IQ_LTM,$I$5,)</f>
        <v>72.961370000000002</v>
      </c>
      <c r="FB14" s="18"/>
      <c r="FC14" s="18">
        <f>_xll.ciqfunctions.udf.CIQ($A14, "IQ_DAYS_INVENTORY_OUT",IQ_LTM,$I$5,)</f>
        <v>96.889349999999993</v>
      </c>
      <c r="FD14" s="18"/>
      <c r="FE14" s="18">
        <f>_xll.ciqfunctions.udf.CIQ($A14, "IQ_DAYS_PAYABLE_OUT",IQ_LTM,$I$5,)</f>
        <v>104.24924</v>
      </c>
      <c r="FF14" s="18"/>
      <c r="FG14" s="18">
        <f>_xll.ciqfunctions.udf.CIQ($A14, "IQ_CASH_CONVERSION",IQ_LTM,$I$5,)</f>
        <v>65.601470000000006</v>
      </c>
      <c r="FH14" s="45"/>
      <c r="FI14" s="42">
        <f>_xll.ciqfunctions.udf.CIQ($A14, "IQ_ASSET_TURNS",IQ_LTM,$I$5,)</f>
        <v>0.56315999999999999</v>
      </c>
      <c r="FJ14" s="42"/>
      <c r="FK14" s="42">
        <f>_xll.ciqfunctions.udf.CIQ($A14, "IQ_FIXED_ASSET_TURNS",IQ_LTM,$I$5,)</f>
        <v>5.5460599999999998</v>
      </c>
      <c r="FL14" s="42"/>
      <c r="FM14" s="42">
        <f>_xll.ciqfunctions.udf.CIQ($A14, "IQ_AR_TURNS",IQ_LTM,$I$5,)</f>
        <v>5.0163500000000001</v>
      </c>
      <c r="FN14" s="42"/>
      <c r="FO14" s="42">
        <f>_xll.ciqfunctions.udf.CIQ($A14, "IQ_INVENTORY_TURNS",IQ_LTM,$I$5,)</f>
        <v>3.7774999999999999</v>
      </c>
      <c r="FR14" s="100">
        <f>_xll.ciqfunctions.udf.CIQ($A14,"IQ_PERIODDATE",IQ_FY,$I$5)</f>
        <v>45657</v>
      </c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2" customFormat="1" x14ac:dyDescent="0.25">
      <c r="A15" s="41"/>
      <c r="U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W15" s="70"/>
      <c r="AX15" s="70"/>
      <c r="AY15" s="70"/>
      <c r="AZ15" s="70"/>
      <c r="BA15" s="70"/>
      <c r="BB15" s="70"/>
      <c r="BC15" s="70"/>
      <c r="EW15" s="29"/>
      <c r="EX15" s="29"/>
      <c r="EY15" s="29"/>
      <c r="FI15" s="29"/>
      <c r="FJ15" s="29"/>
      <c r="FK15" s="29"/>
      <c r="FL15" s="29"/>
      <c r="FM15" s="29"/>
      <c r="FN15" s="29"/>
      <c r="FO15" s="29"/>
      <c r="FR15" s="3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9" customFormat="1" x14ac:dyDescent="0.25">
      <c r="A16" s="6"/>
      <c r="F16" s="71"/>
      <c r="G16" s="72" t="str">
        <f>'Language Index'!A831</f>
        <v>Max</v>
      </c>
      <c r="H16" s="73"/>
      <c r="I16" s="103">
        <f t="shared" ref="I16:Q16" si="7">MAX(I7:I14)</f>
        <v>382.19</v>
      </c>
      <c r="J16" s="103"/>
      <c r="K16" s="103">
        <f t="shared" si="7"/>
        <v>468.35</v>
      </c>
      <c r="L16" s="103"/>
      <c r="M16" s="103">
        <f t="shared" si="7"/>
        <v>367.24</v>
      </c>
      <c r="N16" s="104"/>
      <c r="O16" s="105">
        <f t="shared" si="7"/>
        <v>0.87922725213164721</v>
      </c>
      <c r="P16" s="105"/>
      <c r="Q16" s="105">
        <f t="shared" si="7"/>
        <v>1.2745283018867923</v>
      </c>
      <c r="R16" s="104"/>
      <c r="S16" s="106">
        <f t="shared" ref="S16:AE16" si="8">MAX(S7:S14)</f>
        <v>7433.9822400000003</v>
      </c>
      <c r="T16" s="104"/>
      <c r="U16" s="106">
        <f t="shared" si="8"/>
        <v>2841193.6723056003</v>
      </c>
      <c r="V16" s="104"/>
      <c r="W16" s="106">
        <f t="shared" si="8"/>
        <v>71555</v>
      </c>
      <c r="X16" s="106"/>
      <c r="Y16" s="106">
        <f t="shared" si="8"/>
        <v>109176</v>
      </c>
      <c r="Z16" s="106"/>
      <c r="AA16" s="106">
        <f t="shared" si="8"/>
        <v>0</v>
      </c>
      <c r="AB16" s="106"/>
      <c r="AC16" s="106">
        <f t="shared" si="8"/>
        <v>935.89499999999998</v>
      </c>
      <c r="AD16" s="106"/>
      <c r="AE16" s="107">
        <f t="shared" si="8"/>
        <v>2872547.6723056003</v>
      </c>
      <c r="AF16" s="61"/>
      <c r="AG16" s="181">
        <f t="shared" ref="AG16:AM16" si="9">MAX(AG7:AG14)</f>
        <v>245122</v>
      </c>
      <c r="AH16" s="106"/>
      <c r="AI16" s="106">
        <f t="shared" si="9"/>
        <v>261802</v>
      </c>
      <c r="AJ16" s="106"/>
      <c r="AK16" s="106">
        <f t="shared" si="9"/>
        <v>293083.728</v>
      </c>
      <c r="AL16" s="106"/>
      <c r="AM16" s="106">
        <f t="shared" si="9"/>
        <v>331111.71600000001</v>
      </c>
      <c r="AN16" s="106"/>
      <c r="AO16" s="106">
        <f t="shared" ref="AO16:AU16" si="10">MAX(AO7:AO14)</f>
        <v>129433</v>
      </c>
      <c r="AP16" s="106"/>
      <c r="AQ16" s="106">
        <f t="shared" si="10"/>
        <v>142041</v>
      </c>
      <c r="AR16" s="106"/>
      <c r="AS16" s="106">
        <f t="shared" si="10"/>
        <v>160959.61499999999</v>
      </c>
      <c r="AT16" s="106"/>
      <c r="AU16" s="106">
        <f t="shared" si="10"/>
        <v>179782.29019999999</v>
      </c>
      <c r="AV16" s="104"/>
      <c r="AW16" s="108">
        <f t="shared" ref="AW16:BC16" si="11">MAX(AW7:AW14)</f>
        <v>11.8</v>
      </c>
      <c r="AX16" s="108"/>
      <c r="AY16" s="108">
        <f t="shared" si="11"/>
        <v>12.40985</v>
      </c>
      <c r="AZ16" s="108"/>
      <c r="BA16" s="108">
        <f t="shared" si="11"/>
        <v>13.809100000000001</v>
      </c>
      <c r="BB16" s="108"/>
      <c r="BC16" s="109">
        <f t="shared" si="11"/>
        <v>15.9505</v>
      </c>
      <c r="BD16" s="31"/>
      <c r="BE16" s="184">
        <f>MAX(BE7:BE14)</f>
        <v>14.15178</v>
      </c>
      <c r="BF16" s="110"/>
      <c r="BG16" s="110">
        <f>MAX(BG7:BG14)</f>
        <v>10.97221</v>
      </c>
      <c r="BH16" s="110"/>
      <c r="BI16" s="110">
        <f>MAX(BI7:BI14)</f>
        <v>9.8011161926587764</v>
      </c>
      <c r="BJ16" s="110"/>
      <c r="BK16" s="110">
        <f>MAX(BK7:BK14)</f>
        <v>8.6754636984986657</v>
      </c>
      <c r="BL16" s="110"/>
      <c r="BM16" s="110">
        <f>MAX(BM7:BM14)</f>
        <v>31.722829999999998</v>
      </c>
      <c r="BN16" s="110"/>
      <c r="BO16" s="110">
        <f>MAX(BO7:BO14)</f>
        <v>21.78914</v>
      </c>
      <c r="BP16" s="104"/>
      <c r="BQ16" s="110">
        <f>MAX(BQ7:BQ14)</f>
        <v>17.84639</v>
      </c>
      <c r="BR16" s="110"/>
      <c r="BS16" s="110">
        <f>MAX(BS7:BS14)</f>
        <v>15.977919999999999</v>
      </c>
      <c r="BT16" s="110"/>
      <c r="BU16" s="110">
        <f>MAX(BU7:BU14)</f>
        <v>56.280009999999997</v>
      </c>
      <c r="BV16" s="110"/>
      <c r="BW16" s="110">
        <f>MAX(BW7:BW14)</f>
        <v>42.484279999999998</v>
      </c>
      <c r="BX16" s="110"/>
      <c r="BY16" s="110">
        <f>MAX(BY7:BY14)</f>
        <v>27.676680000000001</v>
      </c>
      <c r="BZ16" s="110"/>
      <c r="CA16" s="110">
        <f>MAX(CA7:CA14)</f>
        <v>23.960999999999999</v>
      </c>
      <c r="CB16" s="104"/>
      <c r="CC16" s="110">
        <f>MAX(CC7:CC14)</f>
        <v>23.781099999999999</v>
      </c>
      <c r="CD16" s="110"/>
      <c r="CE16" s="111">
        <f>MAX(CE7:CE14)</f>
        <v>47.589239999999997</v>
      </c>
      <c r="CF16" s="31"/>
      <c r="CG16" s="181">
        <f>MAX(CG7:CG14)</f>
        <v>79.083399999999997</v>
      </c>
      <c r="CH16" s="106"/>
      <c r="CI16" s="106">
        <f>MAX(CI7:CI14)</f>
        <v>75.497</v>
      </c>
      <c r="CJ16" s="106"/>
      <c r="CK16" s="106">
        <f>MAX(CK7:CK14)</f>
        <v>77.1922</v>
      </c>
      <c r="CL16" s="106"/>
      <c r="CM16" s="106">
        <f>MAX(CM7:CM14)</f>
        <v>77.1922</v>
      </c>
      <c r="CN16" s="106"/>
      <c r="CO16" s="106">
        <f>MAX(CO7:CO14)</f>
        <v>49.418900000000001</v>
      </c>
      <c r="CP16" s="106"/>
      <c r="CQ16" s="106">
        <f>MAX(CQ7:CQ14)</f>
        <v>48.215000000000003</v>
      </c>
      <c r="CR16" s="106"/>
      <c r="CS16" s="106">
        <f>MAX(CS7:CS14)</f>
        <v>52.8035</v>
      </c>
      <c r="CT16" s="106"/>
      <c r="CU16" s="106">
        <f>MAX(CU7:CU14)</f>
        <v>54.255099999999999</v>
      </c>
      <c r="CV16" s="106"/>
      <c r="CW16" s="106">
        <f>MAX(CW7:CW14)</f>
        <v>36.686300000000003</v>
      </c>
      <c r="CX16" s="106"/>
      <c r="CY16" s="106">
        <f>MAX(CY7:CY14)</f>
        <v>34.1462</v>
      </c>
      <c r="CZ16" s="106"/>
      <c r="DA16" s="106">
        <f>MAX(DA7:DA14)</f>
        <v>35.9559</v>
      </c>
      <c r="DB16" s="106"/>
      <c r="DC16" s="107">
        <f>MAX(DC7:DC14)</f>
        <v>35.427500000000002</v>
      </c>
      <c r="DD16" s="31"/>
      <c r="DE16" s="181">
        <f>MAX(DE7:DE14)</f>
        <v>17.253900000000002</v>
      </c>
      <c r="DF16" s="106"/>
      <c r="DG16" s="106">
        <f>MAX(DG7:DG14)</f>
        <v>12.6736</v>
      </c>
      <c r="DH16" s="106"/>
      <c r="DI16" s="106">
        <f>MAX(DI7:DI14)</f>
        <v>15.6699</v>
      </c>
      <c r="DJ16" s="106"/>
      <c r="DK16" s="106">
        <f>MAX(DK7:DK14)</f>
        <v>15.0358</v>
      </c>
      <c r="DL16" s="106"/>
      <c r="DM16" s="106">
        <f>MAX(DM7:DM14)</f>
        <v>33.805100000000003</v>
      </c>
      <c r="DN16" s="106"/>
      <c r="DO16" s="106">
        <f>MAX(DO7:DO14)</f>
        <v>42.56</v>
      </c>
      <c r="DP16" s="106"/>
      <c r="DQ16" s="106">
        <f>MAX(DQ7:DQ14)</f>
        <v>151.07910000000001</v>
      </c>
      <c r="DR16" s="106"/>
      <c r="DS16" s="106">
        <f>MAX(DS7:DS14)</f>
        <v>200</v>
      </c>
      <c r="DT16" s="106"/>
      <c r="DU16" s="106">
        <f>MAX(DU7:DU14)</f>
        <v>111.5793</v>
      </c>
      <c r="DV16" s="106"/>
      <c r="DW16" s="106">
        <f>MAX(DW7:DW14)</f>
        <v>62.579300000000003</v>
      </c>
      <c r="DX16" s="106"/>
      <c r="DY16" s="106">
        <f>MAX(DY7:DY14)</f>
        <v>51.4285</v>
      </c>
      <c r="DZ16" s="106"/>
      <c r="EA16" s="107">
        <f>MAX(EA7:EA14)</f>
        <v>51.4285</v>
      </c>
      <c r="EB16" s="31"/>
      <c r="EC16" s="184">
        <f>MAX(EC7:EC14)</f>
        <v>4.52712</v>
      </c>
      <c r="ED16" s="110"/>
      <c r="EE16" s="110">
        <f>MAX(EE7:EE14)</f>
        <v>3.7880699999999998</v>
      </c>
      <c r="EF16" s="110"/>
      <c r="EG16" s="110">
        <f>MAX(EG7:EG14)</f>
        <v>4.7641822307558037</v>
      </c>
      <c r="EH16" s="110"/>
      <c r="EI16" s="110">
        <f>MAX(EI7:EI14)</f>
        <v>96.263480000000001</v>
      </c>
      <c r="EJ16" s="110"/>
      <c r="EK16" s="110">
        <f>MAX(EK7:EK14)</f>
        <v>91.13646</v>
      </c>
      <c r="EL16" s="104"/>
      <c r="EM16" s="106">
        <f>MAX(EM7:EM14)</f>
        <v>632.50099999999998</v>
      </c>
      <c r="EN16" s="106"/>
      <c r="EO16" s="106">
        <f>MAX(EO7:EO14)</f>
        <v>86.348100000000002</v>
      </c>
      <c r="EP16" s="104"/>
      <c r="EQ16" s="106">
        <f>MAX(EQ7:EQ14)</f>
        <v>103.7409</v>
      </c>
      <c r="ER16" s="106"/>
      <c r="ES16" s="106">
        <f>MAX(ES7:ES14)</f>
        <v>14.6486</v>
      </c>
      <c r="ET16" s="106"/>
      <c r="EU16" s="107">
        <f>MAX(EU7:EU14)</f>
        <v>18.500299999999999</v>
      </c>
      <c r="EV16" s="31"/>
      <c r="EW16" s="184">
        <f>MAX(EW7:EW14)</f>
        <v>2.0931700000000002</v>
      </c>
      <c r="EX16" s="110"/>
      <c r="EY16" s="110">
        <f>MAX(EY7:EY14)</f>
        <v>1.7578800000000001</v>
      </c>
      <c r="EZ16" s="104"/>
      <c r="FA16" s="106">
        <f>MAX(FA7:FA14)</f>
        <v>112.8034</v>
      </c>
      <c r="FB16" s="106"/>
      <c r="FC16" s="106">
        <f>MAX(FC7:FC14)</f>
        <v>127.55831999999999</v>
      </c>
      <c r="FD16" s="106"/>
      <c r="FE16" s="106">
        <f>MAX(FE7:FE14)</f>
        <v>146.89189999999999</v>
      </c>
      <c r="FF16" s="106"/>
      <c r="FG16" s="106">
        <f>MAX(FG7:FG14)</f>
        <v>65.601470000000006</v>
      </c>
      <c r="FH16" s="104"/>
      <c r="FI16" s="110">
        <f>MAX(FI7:FI14)</f>
        <v>1.2092700000000001</v>
      </c>
      <c r="FJ16" s="110"/>
      <c r="FK16" s="110">
        <f>MAX(FK7:FK14)</f>
        <v>16.39537</v>
      </c>
      <c r="FL16" s="110"/>
      <c r="FM16" s="110">
        <f>MAX(FM7:FM14)</f>
        <v>8.4436499999999999</v>
      </c>
      <c r="FN16" s="110"/>
      <c r="FO16" s="111">
        <f>MAX(FO7:FO14)</f>
        <v>63.460380000000001</v>
      </c>
      <c r="FR16" s="74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s="9" customFormat="1" x14ac:dyDescent="0.25">
      <c r="A17" s="6"/>
      <c r="F17" s="71"/>
      <c r="G17" s="75" t="str">
        <f>'Language Index'!A832</f>
        <v>Median</v>
      </c>
      <c r="H17" s="76"/>
      <c r="I17" s="112">
        <f>MEDIAN(I7:I14)</f>
        <v>177.69499999999999</v>
      </c>
      <c r="J17" s="112"/>
      <c r="K17" s="112">
        <f>MEDIAN(K7:K14)</f>
        <v>220.53995</v>
      </c>
      <c r="L17" s="112"/>
      <c r="M17" s="112">
        <f>MEDIAN(M7:M14)</f>
        <v>151.26499999999999</v>
      </c>
      <c r="N17" s="113"/>
      <c r="O17" s="114">
        <f>MEDIAN(O7:O14)</f>
        <v>0.75972325544769181</v>
      </c>
      <c r="P17" s="114"/>
      <c r="Q17" s="114">
        <f>MEDIAN(Q7:Q14)</f>
        <v>1.1490015736579444</v>
      </c>
      <c r="R17" s="113"/>
      <c r="S17" s="115">
        <f>MEDIAN(S7:S14)</f>
        <v>804.88387499999999</v>
      </c>
      <c r="T17" s="113"/>
      <c r="U17" s="115">
        <f>MEDIAN(U7:U14)</f>
        <v>167394.32800445001</v>
      </c>
      <c r="V17" s="115"/>
      <c r="W17" s="115">
        <f>MEDIAN(W7:W14)</f>
        <v>11802.5</v>
      </c>
      <c r="X17" s="115"/>
      <c r="Y17" s="115">
        <f>MEDIAN(Y7:Y14)</f>
        <v>14995</v>
      </c>
      <c r="Z17" s="115"/>
      <c r="AA17" s="115">
        <f>MEDIAN(AA7:AA14)</f>
        <v>0</v>
      </c>
      <c r="AB17" s="115"/>
      <c r="AC17" s="115">
        <f>MEDIAN(AC7:AC14)</f>
        <v>160</v>
      </c>
      <c r="AD17" s="115"/>
      <c r="AE17" s="116">
        <f>MEDIAN(AE7:AE14)</f>
        <v>178551.69050445</v>
      </c>
      <c r="AF17" s="61"/>
      <c r="AG17" s="182">
        <f>MEDIAN(AG7:AG14)</f>
        <v>38196.5</v>
      </c>
      <c r="AH17" s="115"/>
      <c r="AI17" s="115">
        <f>MEDIAN(AI7:AI14)</f>
        <v>38196.5</v>
      </c>
      <c r="AJ17" s="115"/>
      <c r="AK17" s="115">
        <f>MEDIAN(AK7:AK14)</f>
        <v>40646.068415000002</v>
      </c>
      <c r="AL17" s="115"/>
      <c r="AM17" s="115">
        <f>MEDIAN(AM7:AM14)</f>
        <v>43615.295484999995</v>
      </c>
      <c r="AN17" s="115"/>
      <c r="AO17" s="115">
        <f>MEDIAN(AO7:AO14)</f>
        <v>10300.956</v>
      </c>
      <c r="AP17" s="115"/>
      <c r="AQ17" s="115">
        <f>MEDIAN(AQ7:AQ14)</f>
        <v>10339.5</v>
      </c>
      <c r="AR17" s="115"/>
      <c r="AS17" s="115">
        <f>MEDIAN(AS7:AS14)</f>
        <v>11809.996395</v>
      </c>
      <c r="AT17" s="115"/>
      <c r="AU17" s="115">
        <f>MEDIAN(AU7:AU14)</f>
        <v>12720.808000000001</v>
      </c>
      <c r="AV17" s="115"/>
      <c r="AW17" s="117">
        <f>MEDIAN(AW7:AW14)</f>
        <v>5.4350000000000005</v>
      </c>
      <c r="AX17" s="117"/>
      <c r="AY17" s="117">
        <f>MEDIAN(AY7:AY14)</f>
        <v>5.4350000000000005</v>
      </c>
      <c r="AZ17" s="117"/>
      <c r="BA17" s="117">
        <f>MEDIAN(BA7:BA14)</f>
        <v>8.2768899999999999</v>
      </c>
      <c r="BB17" s="117"/>
      <c r="BC17" s="118">
        <f>MEDIAN(BC7:BC14)</f>
        <v>9.4016699999999993</v>
      </c>
      <c r="BD17" s="31"/>
      <c r="BE17" s="182">
        <f>MEDIAN(BE7:BE14)</f>
        <v>3.8866000000000001</v>
      </c>
      <c r="BF17" s="115"/>
      <c r="BG17" s="115">
        <f>MEDIAN(BG7:BG14)</f>
        <v>3.5457299999999998</v>
      </c>
      <c r="BH17" s="115"/>
      <c r="BI17" s="115">
        <f>MEDIAN(BI7:BI14)</f>
        <v>3.3996201179719643</v>
      </c>
      <c r="BJ17" s="115"/>
      <c r="BK17" s="115">
        <f>MEDIAN(BK7:BK14)</f>
        <v>3.210350432664498</v>
      </c>
      <c r="BL17" s="115"/>
      <c r="BM17" s="115">
        <f>MEDIAN(BM7:BM14)</f>
        <v>17.592804999999998</v>
      </c>
      <c r="BN17" s="115"/>
      <c r="BO17" s="115">
        <f>MEDIAN(BO7:BO14)</f>
        <v>16.046244999999999</v>
      </c>
      <c r="BP17" s="115"/>
      <c r="BQ17" s="115">
        <f>MEDIAN(BQ7:BQ14)</f>
        <v>15.141580000000001</v>
      </c>
      <c r="BR17" s="115"/>
      <c r="BS17" s="115">
        <f>MEDIAN(BS7:BS14)</f>
        <v>13.501439999999999</v>
      </c>
      <c r="BT17" s="115"/>
      <c r="BU17" s="115">
        <f>MEDIAN(BU7:BU14)</f>
        <v>30.815390000000001</v>
      </c>
      <c r="BV17" s="115"/>
      <c r="BW17" s="115">
        <f>MEDIAN(BW7:BW14)</f>
        <v>25.877880000000001</v>
      </c>
      <c r="BX17" s="115"/>
      <c r="BY17" s="115">
        <f>MEDIAN(BY7:BY14)</f>
        <v>21.748159999999999</v>
      </c>
      <c r="BZ17" s="115"/>
      <c r="CA17" s="115">
        <f>MEDIAN(CA7:CA14)</f>
        <v>18.976330000000001</v>
      </c>
      <c r="CB17" s="115"/>
      <c r="CC17" s="115">
        <f>MEDIAN(CC7:CC14)</f>
        <v>5.4829799999999995</v>
      </c>
      <c r="CD17" s="115"/>
      <c r="CE17" s="116">
        <f>MEDIAN(CE7:CE14)</f>
        <v>12.216695000000001</v>
      </c>
      <c r="CF17" s="31"/>
      <c r="CG17" s="182">
        <f>MEDIAN(CG7:CG14)</f>
        <v>36.4589</v>
      </c>
      <c r="CH17" s="115"/>
      <c r="CI17" s="115">
        <f>MEDIAN(CI7:CI14)</f>
        <v>36.210750000000004</v>
      </c>
      <c r="CJ17" s="115"/>
      <c r="CK17" s="115">
        <f>MEDIAN(CK7:CK14)</f>
        <v>36.214150000000004</v>
      </c>
      <c r="CL17" s="115"/>
      <c r="CM17" s="115">
        <f>MEDIAN(CM7:CM14)</f>
        <v>36.214150000000004</v>
      </c>
      <c r="CN17" s="115"/>
      <c r="CO17" s="115">
        <f>MEDIAN(CO7:CO14)</f>
        <v>18.426549999999999</v>
      </c>
      <c r="CP17" s="115"/>
      <c r="CQ17" s="115">
        <f>MEDIAN(CQ7:CQ14)</f>
        <v>20.734099999999998</v>
      </c>
      <c r="CR17" s="115"/>
      <c r="CS17" s="115">
        <f>MEDIAN(CS7:CS14)</f>
        <v>21.3002</v>
      </c>
      <c r="CT17" s="115"/>
      <c r="CU17" s="115">
        <f>MEDIAN(CU7:CU14)</f>
        <v>21.3002</v>
      </c>
      <c r="CV17" s="115"/>
      <c r="CW17" s="115">
        <f>MEDIAN(CW7:CW14)</f>
        <v>11.476150000000001</v>
      </c>
      <c r="CX17" s="115"/>
      <c r="CY17" s="115">
        <f>MEDIAN(CY7:CY14)</f>
        <v>11.425450000000001</v>
      </c>
      <c r="CZ17" s="115"/>
      <c r="DA17" s="115">
        <f>MEDIAN(DA7:DA14)</f>
        <v>13.084350000000001</v>
      </c>
      <c r="DB17" s="115"/>
      <c r="DC17" s="116">
        <f>MEDIAN(DC7:DC14)</f>
        <v>13.12445</v>
      </c>
      <c r="DD17" s="31"/>
      <c r="DE17" s="182">
        <f>MEDIAN(DE7:DE14)</f>
        <v>5.1490999999999998</v>
      </c>
      <c r="DF17" s="115"/>
      <c r="DG17" s="115">
        <f>MEDIAN(DG7:DG14)</f>
        <v>4.8361000000000001</v>
      </c>
      <c r="DH17" s="115"/>
      <c r="DI17" s="115">
        <f>MEDIAN(DI7:DI14)</f>
        <v>4.2063500000000005</v>
      </c>
      <c r="DJ17" s="115"/>
      <c r="DK17" s="115">
        <f>MEDIAN(DK7:DK14)</f>
        <v>5.6204499999999999</v>
      </c>
      <c r="DL17" s="115"/>
      <c r="DM17" s="115">
        <f>MEDIAN(DM7:DM14)</f>
        <v>4.5427499999999998</v>
      </c>
      <c r="DN17" s="115"/>
      <c r="DO17" s="115">
        <f>MEDIAN(DO7:DO14)</f>
        <v>4.7847499999999998</v>
      </c>
      <c r="DP17" s="115"/>
      <c r="DQ17" s="115">
        <f>MEDIAN(DQ7:DQ14)</f>
        <v>10.517949999999999</v>
      </c>
      <c r="DR17" s="115"/>
      <c r="DS17" s="115">
        <f>MEDIAN(DS7:DS14)</f>
        <v>9.7000999999999991</v>
      </c>
      <c r="DT17" s="115"/>
      <c r="DU17" s="115">
        <f>MEDIAN(DU7:DU14)</f>
        <v>9.5922000000000001</v>
      </c>
      <c r="DV17" s="115"/>
      <c r="DW17" s="115">
        <f>MEDIAN(DW7:DW14)</f>
        <v>6.8869999999999996</v>
      </c>
      <c r="DX17" s="115"/>
      <c r="DY17" s="115">
        <f>MEDIAN(DY7:DY14)</f>
        <v>20.846900000000002</v>
      </c>
      <c r="DZ17" s="115"/>
      <c r="EA17" s="116">
        <f>MEDIAN(EA7:EA14)</f>
        <v>12.199</v>
      </c>
      <c r="EB17" s="31"/>
      <c r="EC17" s="182">
        <f>MEDIAN(EC7:EC14)</f>
        <v>1.779595</v>
      </c>
      <c r="ED17" s="115"/>
      <c r="EE17" s="115">
        <f>MEDIAN(EE7:EE14)</f>
        <v>1.56684</v>
      </c>
      <c r="EF17" s="115"/>
      <c r="EG17" s="115">
        <f>MEDIAN(EG7:EG14)</f>
        <v>2.154857269314487</v>
      </c>
      <c r="EH17" s="115"/>
      <c r="EI17" s="115">
        <f>MEDIAN(EI7:EI14)</f>
        <v>24.980589999999999</v>
      </c>
      <c r="EJ17" s="115"/>
      <c r="EK17" s="115">
        <f>MEDIAN(EK7:EK14)</f>
        <v>20.785339999999998</v>
      </c>
      <c r="EL17" s="113"/>
      <c r="EM17" s="115">
        <f>MEDIAN(EM7:EM14)</f>
        <v>52.438949999999998</v>
      </c>
      <c r="EN17" s="115"/>
      <c r="EO17" s="115">
        <f>MEDIAN(EO7:EO14)</f>
        <v>33.425600000000003</v>
      </c>
      <c r="EP17" s="113"/>
      <c r="EQ17" s="115">
        <f>MEDIAN(EQ7:EQ14)</f>
        <v>21.588349999999998</v>
      </c>
      <c r="ER17" s="115"/>
      <c r="ES17" s="115">
        <f>MEDIAN(ES7:ES14)</f>
        <v>7.4223999999999997</v>
      </c>
      <c r="ET17" s="115"/>
      <c r="EU17" s="116">
        <f>MEDIAN(EU7:EU14)</f>
        <v>6.6806000000000001</v>
      </c>
      <c r="EV17" s="31"/>
      <c r="EW17" s="182">
        <f>MEDIAN(EW7:EW14)</f>
        <v>1.332665</v>
      </c>
      <c r="EX17" s="115"/>
      <c r="EY17" s="115">
        <f>MEDIAN(EY7:EY14)</f>
        <v>1.0558100000000001</v>
      </c>
      <c r="EZ17" s="113"/>
      <c r="FA17" s="115">
        <f>MEDIAN(FA7:FA14)</f>
        <v>68.961354999999998</v>
      </c>
      <c r="FB17" s="115"/>
      <c r="FC17" s="115">
        <f>MEDIAN(FC7:FC14)</f>
        <v>0</v>
      </c>
      <c r="FD17" s="115"/>
      <c r="FE17" s="115">
        <f>MEDIAN(FE7:FE14)</f>
        <v>69.571280000000002</v>
      </c>
      <c r="FF17" s="115"/>
      <c r="FG17" s="115">
        <f>MEDIAN(FG7:FG14)</f>
        <v>0</v>
      </c>
      <c r="FH17" s="113"/>
      <c r="FI17" s="115">
        <f>MEDIAN(FI7:FI14)</f>
        <v>0.54221999999999992</v>
      </c>
      <c r="FJ17" s="115"/>
      <c r="FK17" s="115">
        <f>MEDIAN(FK7:FK14)</f>
        <v>5.6898999999999997</v>
      </c>
      <c r="FL17" s="115"/>
      <c r="FM17" s="115">
        <f>MEDIAN(FM7:FM14)</f>
        <v>5.3252199999999998</v>
      </c>
      <c r="FN17" s="115"/>
      <c r="FO17" s="116">
        <f>MEDIAN(FO7:FO14)</f>
        <v>0</v>
      </c>
      <c r="FR17" s="74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s="9" customFormat="1" x14ac:dyDescent="0.25">
      <c r="A18" s="6"/>
      <c r="F18" s="71"/>
      <c r="G18" s="75" t="str">
        <f>'Language Index'!A833</f>
        <v>Min</v>
      </c>
      <c r="H18" s="76"/>
      <c r="I18" s="112">
        <f>MIN(I7:I14)</f>
        <v>15.64</v>
      </c>
      <c r="J18" s="112"/>
      <c r="K18" s="112">
        <f>MIN(K7:K14)</f>
        <v>24.66</v>
      </c>
      <c r="L18" s="112"/>
      <c r="M18" s="112">
        <f>MIN(M7:M14)</f>
        <v>14.64</v>
      </c>
      <c r="N18" s="113"/>
      <c r="O18" s="114">
        <f>MIN(O7:O14)</f>
        <v>0.63422546634225463</v>
      </c>
      <c r="P18" s="114"/>
      <c r="Q18" s="114">
        <f>MIN(Q7:Q14)</f>
        <v>1.0407090730857205</v>
      </c>
      <c r="R18" s="113"/>
      <c r="S18" s="115">
        <f>MIN(S7:S14)</f>
        <v>181.04856000000001</v>
      </c>
      <c r="T18" s="113"/>
      <c r="U18" s="115">
        <f>MIN(U7:U14)</f>
        <v>3139.3820304000001</v>
      </c>
      <c r="V18" s="115"/>
      <c r="W18" s="115">
        <f>MIN(W7:W14)</f>
        <v>1723</v>
      </c>
      <c r="X18" s="115"/>
      <c r="Y18" s="115">
        <f>MIN(Y7:Y14)</f>
        <v>1503</v>
      </c>
      <c r="Z18" s="115"/>
      <c r="AA18" s="115">
        <f>MIN(AA7:AA14)</f>
        <v>0</v>
      </c>
      <c r="AB18" s="115"/>
      <c r="AC18" s="115">
        <f>MIN(AC7:AC14)</f>
        <v>0</v>
      </c>
      <c r="AD18" s="115"/>
      <c r="AE18" s="116">
        <f>MIN(AE7:AE14)</f>
        <v>6179.3820304000001</v>
      </c>
      <c r="AF18" s="61"/>
      <c r="AG18" s="182">
        <f>MIN(AG7:AG14)</f>
        <v>13667</v>
      </c>
      <c r="AH18" s="115"/>
      <c r="AI18" s="115">
        <f>MIN(AI7:AI14)</f>
        <v>13088</v>
      </c>
      <c r="AJ18" s="115"/>
      <c r="AK18" s="115">
        <f>MIN(AK7:AK14)</f>
        <v>12509.837</v>
      </c>
      <c r="AL18" s="115"/>
      <c r="AM18" s="115">
        <f>MIN(AM7:AM14)</f>
        <v>12271.781800000001</v>
      </c>
      <c r="AN18" s="115"/>
      <c r="AO18" s="115">
        <f>MIN(AO7:AO14)</f>
        <v>1396</v>
      </c>
      <c r="AP18" s="115"/>
      <c r="AQ18" s="115">
        <f>MIN(AQ7:AQ14)</f>
        <v>1395</v>
      </c>
      <c r="AR18" s="115"/>
      <c r="AS18" s="115">
        <f>MIN(AS7:AS14)</f>
        <v>1942.2666999999999</v>
      </c>
      <c r="AT18" s="115"/>
      <c r="AU18" s="115">
        <f>MIN(AU7:AU14)</f>
        <v>1874.8619000000001</v>
      </c>
      <c r="AV18" s="115"/>
      <c r="AW18" s="117">
        <f>MIN(AW7:AW14)</f>
        <v>0.46</v>
      </c>
      <c r="AX18" s="117"/>
      <c r="AY18" s="117">
        <f>MIN(AY7:AY14)</f>
        <v>-0.41505999999999998</v>
      </c>
      <c r="AZ18" s="117"/>
      <c r="BA18" s="117">
        <f>MIN(BA7:BA14)</f>
        <v>1.8052999999999999</v>
      </c>
      <c r="BB18" s="117"/>
      <c r="BC18" s="118">
        <f>MIN(BC7:BC14)</f>
        <v>2.1473</v>
      </c>
      <c r="BD18" s="31"/>
      <c r="BE18" s="182">
        <f>MIN(BE7:BE14)</f>
        <v>0.56406000000000001</v>
      </c>
      <c r="BF18" s="115"/>
      <c r="BG18" s="115">
        <f>MIN(BG7:BG14)</f>
        <v>0.47214</v>
      </c>
      <c r="BH18" s="115"/>
      <c r="BI18" s="115">
        <f>MIN(BI7:BI14)</f>
        <v>0.49396183422693679</v>
      </c>
      <c r="BJ18" s="115"/>
      <c r="BK18" s="115">
        <f>MIN(BK7:BK14)</f>
        <v>0.50354399476040224</v>
      </c>
      <c r="BL18" s="115"/>
      <c r="BM18" s="115">
        <f>MIN(BM7:BM14)</f>
        <v>6.4279099999999998</v>
      </c>
      <c r="BN18" s="115"/>
      <c r="BO18" s="115">
        <f>MIN(BO7:BO14)</f>
        <v>3.4852699999999999</v>
      </c>
      <c r="BP18" s="115"/>
      <c r="BQ18" s="115">
        <f>MIN(BQ7:BQ14)</f>
        <v>3.18153</v>
      </c>
      <c r="BR18" s="115"/>
      <c r="BS18" s="115">
        <f>MIN(BS7:BS14)</f>
        <v>3.2959100000000001</v>
      </c>
      <c r="BT18" s="115"/>
      <c r="BU18" s="115">
        <f>MIN(BU7:BU14)</f>
        <v>13.83183</v>
      </c>
      <c r="BV18" s="115"/>
      <c r="BW18" s="115">
        <f>MIN(BW7:BW14)</f>
        <v>7.5324400000000002</v>
      </c>
      <c r="BX18" s="115"/>
      <c r="BY18" s="115">
        <f>MIN(BY7:BY14)</f>
        <v>5.1391499999999999</v>
      </c>
      <c r="BZ18" s="115"/>
      <c r="CA18" s="115">
        <f>MIN(CA7:CA14)</f>
        <v>4.7804200000000003</v>
      </c>
      <c r="CB18" s="115"/>
      <c r="CC18" s="115">
        <f>MIN(CC7:CC14)</f>
        <v>0.81435999999999997</v>
      </c>
      <c r="CD18" s="115"/>
      <c r="CE18" s="116">
        <f>MIN(CE7:CE14)</f>
        <v>3.0982599999999998</v>
      </c>
      <c r="CF18" s="31"/>
      <c r="CG18" s="182">
        <f>MIN(CG7:CG14)</f>
        <v>22.0227</v>
      </c>
      <c r="CH18" s="115"/>
      <c r="CI18" s="115">
        <f>MIN(CI7:CI14)</f>
        <v>22.065100000000001</v>
      </c>
      <c r="CJ18" s="115"/>
      <c r="CK18" s="115">
        <f>MIN(CK7:CK14)</f>
        <v>22.682300000000001</v>
      </c>
      <c r="CL18" s="115"/>
      <c r="CM18" s="115">
        <f>MIN(CM7:CM14)</f>
        <v>23.991399999999999</v>
      </c>
      <c r="CN18" s="115"/>
      <c r="CO18" s="115">
        <f>MIN(CO7:CO14)</f>
        <v>16.893599999999999</v>
      </c>
      <c r="CP18" s="115"/>
      <c r="CQ18" s="115">
        <f>MIN(CQ7:CQ14)</f>
        <v>3.8530000000000002</v>
      </c>
      <c r="CR18" s="115"/>
      <c r="CS18" s="115">
        <f>MIN(CS7:CS14)</f>
        <v>10.2143</v>
      </c>
      <c r="CT18" s="115"/>
      <c r="CU18" s="115">
        <f>MIN(CU7:CU14)</f>
        <v>10.6586</v>
      </c>
      <c r="CV18" s="115"/>
      <c r="CW18" s="115">
        <f>MIN(CW7:CW14)</f>
        <v>0.66339999999999999</v>
      </c>
      <c r="CX18" s="115"/>
      <c r="CY18" s="115">
        <f>MIN(CY7:CY14)</f>
        <v>-3.9361999999999999</v>
      </c>
      <c r="CZ18" s="115"/>
      <c r="DA18" s="115">
        <f>MIN(DA7:DA14)</f>
        <v>0.66579999999999995</v>
      </c>
      <c r="DB18" s="115"/>
      <c r="DC18" s="116">
        <f>MIN(DC7:DC14)</f>
        <v>-0.57299999999999995</v>
      </c>
      <c r="DD18" s="31"/>
      <c r="DE18" s="182">
        <f>MIN(DE7:DE14)</f>
        <v>-8.1696000000000009</v>
      </c>
      <c r="DF18" s="115"/>
      <c r="DG18" s="115">
        <f>MIN(DG7:DG14)</f>
        <v>-7.6955999999999998</v>
      </c>
      <c r="DH18" s="115"/>
      <c r="DI18" s="115">
        <f>MIN(DI7:DI14)</f>
        <v>-5.2876000000000003</v>
      </c>
      <c r="DJ18" s="115"/>
      <c r="DK18" s="115">
        <f>MIN(DK7:DK14)</f>
        <v>-5.6516999999999999</v>
      </c>
      <c r="DL18" s="115"/>
      <c r="DM18" s="115">
        <f>MIN(DM7:DM14)</f>
        <v>-15.722099999999999</v>
      </c>
      <c r="DN18" s="115"/>
      <c r="DO18" s="115">
        <f>MIN(DO7:DO14)</f>
        <v>-9.2576999999999998</v>
      </c>
      <c r="DP18" s="115"/>
      <c r="DQ18" s="115">
        <f>MIN(DQ7:DQ14)</f>
        <v>-1.2019</v>
      </c>
      <c r="DR18" s="115"/>
      <c r="DS18" s="115">
        <f>MIN(DS7:DS14)</f>
        <v>1.8331999999999999</v>
      </c>
      <c r="DT18" s="115"/>
      <c r="DU18" s="115">
        <f>MIN(DU7:DU14)</f>
        <v>0.70350000000000001</v>
      </c>
      <c r="DV18" s="115"/>
      <c r="DW18" s="115">
        <f>MIN(DW7:DW14)</f>
        <v>-9.4344999999999999</v>
      </c>
      <c r="DX18" s="115"/>
      <c r="DY18" s="115">
        <f>MIN(DY7:DY14)</f>
        <v>2.8334999999999999</v>
      </c>
      <c r="DZ18" s="115"/>
      <c r="EA18" s="116">
        <f>MIN(EA7:EA14)</f>
        <v>2.8334999999999999</v>
      </c>
      <c r="EB18" s="31"/>
      <c r="EC18" s="182">
        <f>MIN(EC7:EC14)</f>
        <v>0.40122999999999998</v>
      </c>
      <c r="ED18" s="115"/>
      <c r="EE18" s="115">
        <f>MIN(EE7:EE14)</f>
        <v>0.21407999999999999</v>
      </c>
      <c r="EF18" s="115"/>
      <c r="EG18" s="115">
        <f>MIN(EG7:EG14)</f>
        <v>0.42710997442455245</v>
      </c>
      <c r="EH18" s="115"/>
      <c r="EI18" s="115">
        <f>MIN(EI7:EI14)</f>
        <v>6.2650199999999998</v>
      </c>
      <c r="EJ18" s="115"/>
      <c r="EK18" s="115">
        <f>MIN(EK7:EK14)</f>
        <v>2.6403099999999999</v>
      </c>
      <c r="EL18" s="113"/>
      <c r="EM18" s="115">
        <f>MIN(EM7:EM14)</f>
        <v>10.431699999999999</v>
      </c>
      <c r="EN18" s="115"/>
      <c r="EO18" s="115">
        <f>MIN(EO7:EO14)</f>
        <v>9.4461999999999993</v>
      </c>
      <c r="EP18" s="113"/>
      <c r="EQ18" s="115">
        <f>MIN(EQ7:EQ14)</f>
        <v>-1.8735999999999999</v>
      </c>
      <c r="ER18" s="115"/>
      <c r="ES18" s="115">
        <f>MIN(ES7:ES14)</f>
        <v>1.1279999999999999</v>
      </c>
      <c r="ET18" s="115"/>
      <c r="EU18" s="116">
        <f>MIN(EU7:EU14)</f>
        <v>-0.90920000000000001</v>
      </c>
      <c r="EV18" s="31"/>
      <c r="EW18" s="182">
        <f>MIN(EW7:EW14)</f>
        <v>1.01664</v>
      </c>
      <c r="EX18" s="115"/>
      <c r="EY18" s="115">
        <f>MIN(EY7:EY14)</f>
        <v>0.82926</v>
      </c>
      <c r="EZ18" s="113"/>
      <c r="FA18" s="115">
        <f>MIN(FA7:FA14)</f>
        <v>43.346110000000003</v>
      </c>
      <c r="FB18" s="115"/>
      <c r="FC18" s="115">
        <f>MIN(FC7:FC14)</f>
        <v>0</v>
      </c>
      <c r="FD18" s="115"/>
      <c r="FE18" s="115">
        <f>MIN(FE7:FE14)</f>
        <v>9.5606500000000008</v>
      </c>
      <c r="FF18" s="115"/>
      <c r="FG18" s="115">
        <f>MIN(FG7:FG14)</f>
        <v>-23.522449999999999</v>
      </c>
      <c r="FH18" s="113"/>
      <c r="FI18" s="115">
        <f>MIN(FI7:FI14)</f>
        <v>0.37380999999999998</v>
      </c>
      <c r="FJ18" s="115"/>
      <c r="FK18" s="115">
        <f>MIN(FK7:FK14)</f>
        <v>1.64436</v>
      </c>
      <c r="FL18" s="115"/>
      <c r="FM18" s="115">
        <f>MIN(FM7:FM14)</f>
        <v>3.24457</v>
      </c>
      <c r="FN18" s="115"/>
      <c r="FO18" s="116">
        <f>MIN(FO7:FO14)</f>
        <v>0</v>
      </c>
      <c r="FR18" s="74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s="9" customFormat="1" x14ac:dyDescent="0.25">
      <c r="A19" s="6"/>
      <c r="F19" s="71"/>
      <c r="G19" s="77" t="str">
        <f>'Language Index'!A834</f>
        <v>Mean</v>
      </c>
      <c r="H19" s="78"/>
      <c r="I19" s="119">
        <f>AVERAGE(I7:I14)</f>
        <v>178.84875</v>
      </c>
      <c r="J19" s="119"/>
      <c r="K19" s="119">
        <f>AVERAGE(K7:K14)</f>
        <v>227.13623749999999</v>
      </c>
      <c r="L19" s="119"/>
      <c r="M19" s="119">
        <f>AVERAGE(M7:M14)</f>
        <v>156.70937499999999</v>
      </c>
      <c r="N19" s="120"/>
      <c r="O19" s="121">
        <f>AVERAGE(O7:O14)</f>
        <v>0.76310079864128388</v>
      </c>
      <c r="P19" s="121"/>
      <c r="Q19" s="121">
        <f>AVERAGE(Q7:Q14)</f>
        <v>1.1579334887098875</v>
      </c>
      <c r="R19" s="120"/>
      <c r="S19" s="122">
        <f>AVERAGE(S7:S14)</f>
        <v>1807.9065162500001</v>
      </c>
      <c r="T19" s="120"/>
      <c r="U19" s="122">
        <f>AVERAGE(U7:U14)</f>
        <v>486896.82546475</v>
      </c>
      <c r="V19" s="122"/>
      <c r="W19" s="122">
        <f>AVERAGE(W7:W14)</f>
        <v>17434.5625</v>
      </c>
      <c r="X19" s="122"/>
      <c r="Y19" s="122">
        <f>AVERAGE(Y7:Y14)</f>
        <v>36045.541250000002</v>
      </c>
      <c r="Z19" s="122"/>
      <c r="AA19" s="122">
        <f>AVERAGE(AA7:AA14)</f>
        <v>0</v>
      </c>
      <c r="AB19" s="122"/>
      <c r="AC19" s="122">
        <f>AVERAGE(AC7:AC14)</f>
        <v>291.111875</v>
      </c>
      <c r="AD19" s="122"/>
      <c r="AE19" s="123">
        <f>AVERAGE(AE7:AE14)</f>
        <v>505798.91608975007</v>
      </c>
      <c r="AF19" s="61"/>
      <c r="AG19" s="183">
        <f>AVERAGE(AG7:AG14)</f>
        <v>62862.808000000005</v>
      </c>
      <c r="AH19" s="122"/>
      <c r="AI19" s="122">
        <f>AVERAGE(AI7:AI14)</f>
        <v>65656.186625000002</v>
      </c>
      <c r="AJ19" s="122"/>
      <c r="AK19" s="122">
        <f>AVERAGE(AK7:AK14)</f>
        <v>71335.815561249998</v>
      </c>
      <c r="AL19" s="122"/>
      <c r="AM19" s="122">
        <f>AVERAGE(AM7:AM14)</f>
        <v>78988.330520000003</v>
      </c>
      <c r="AN19" s="122"/>
      <c r="AO19" s="122">
        <f>AVERAGE(AO7:AO14)</f>
        <v>24047.364000000001</v>
      </c>
      <c r="AP19" s="122"/>
      <c r="AQ19" s="122">
        <f>AVERAGE(AQ7:AQ14)</f>
        <v>25884.937750000001</v>
      </c>
      <c r="AR19" s="122"/>
      <c r="AS19" s="122">
        <f>AVERAGE(AS7:AS14)</f>
        <v>30405.719200000003</v>
      </c>
      <c r="AT19" s="122"/>
      <c r="AU19" s="122">
        <f>AVERAGE(AU7:AU14)</f>
        <v>34005.1583675</v>
      </c>
      <c r="AV19" s="122"/>
      <c r="AW19" s="124">
        <f>AVERAGE(AW7:AW14)</f>
        <v>6.1142462500000008</v>
      </c>
      <c r="AX19" s="124"/>
      <c r="AY19" s="124">
        <f>AVERAGE(AY7:AY14)</f>
        <v>6.2534412500000007</v>
      </c>
      <c r="AZ19" s="124"/>
      <c r="BA19" s="124">
        <f>AVERAGE(BA7:BA14)</f>
        <v>8.0698462500000012</v>
      </c>
      <c r="BB19" s="124"/>
      <c r="BC19" s="125">
        <f>AVERAGE(BC7:BC14)</f>
        <v>9.0799012499999989</v>
      </c>
      <c r="BD19" s="31"/>
      <c r="BE19" s="183">
        <f>AVERAGE(BE7:BE14)</f>
        <v>5.2538237499999996</v>
      </c>
      <c r="BF19" s="122"/>
      <c r="BG19" s="122">
        <f>AVERAGE(BG7:BG14)</f>
        <v>4.6032099999999998</v>
      </c>
      <c r="BH19" s="122"/>
      <c r="BI19" s="122">
        <f>AVERAGE(BI7:BI14)</f>
        <v>4.2575153920939863</v>
      </c>
      <c r="BJ19" s="122"/>
      <c r="BK19" s="122">
        <f>AVERAGE(BK7:BK14)</f>
        <v>3.8441808406934297</v>
      </c>
      <c r="BL19" s="122"/>
      <c r="BM19" s="122">
        <f>AVERAGE(BM7:BM14)</f>
        <v>17.03900625</v>
      </c>
      <c r="BN19" s="122"/>
      <c r="BO19" s="122">
        <f>AVERAGE(BO7:BO14)</f>
        <v>14.040897500000002</v>
      </c>
      <c r="BP19" s="122"/>
      <c r="BQ19" s="122">
        <f>AVERAGE(BQ7:BQ14)</f>
        <v>12.189214999999999</v>
      </c>
      <c r="BR19" s="122"/>
      <c r="BS19" s="122">
        <f>AVERAGE(BS7:BS14)</f>
        <v>11.080182500000001</v>
      </c>
      <c r="BT19" s="122"/>
      <c r="BU19" s="122">
        <f>AVERAGE(BU7:BU14)</f>
        <v>30.536409999999993</v>
      </c>
      <c r="BV19" s="122"/>
      <c r="BW19" s="122">
        <f>AVERAGE(BW7:BW14)</f>
        <v>25.925538571428572</v>
      </c>
      <c r="BX19" s="122"/>
      <c r="BY19" s="122">
        <f>AVERAGE(BY7:BY14)</f>
        <v>18.6082325</v>
      </c>
      <c r="BZ19" s="122"/>
      <c r="CA19" s="122">
        <f>AVERAGE(CA7:CA14)</f>
        <v>16.481411250000001</v>
      </c>
      <c r="CB19" s="122"/>
      <c r="CC19" s="122">
        <f>AVERAGE(CC7:CC14)</f>
        <v>7.0093550000000011</v>
      </c>
      <c r="CD19" s="122"/>
      <c r="CE19" s="123">
        <f>AVERAGE(CE7:CE14)</f>
        <v>19.045114999999999</v>
      </c>
      <c r="CF19" s="31"/>
      <c r="CG19" s="183">
        <f>AVERAGE(CG7:CG14)</f>
        <v>47.643437499999997</v>
      </c>
      <c r="CH19" s="122"/>
      <c r="CI19" s="122">
        <f>AVERAGE(CI7:CI14)</f>
        <v>47.340262500000001</v>
      </c>
      <c r="CJ19" s="122"/>
      <c r="CK19" s="122">
        <f>AVERAGE(CK7:CK14)</f>
        <v>47.358937499999996</v>
      </c>
      <c r="CL19" s="122"/>
      <c r="CM19" s="122">
        <f>AVERAGE(CM7:CM14)</f>
        <v>47.189099999999996</v>
      </c>
      <c r="CN19" s="122"/>
      <c r="CO19" s="122">
        <f>AVERAGE(CO7:CO14)</f>
        <v>25.776874999999997</v>
      </c>
      <c r="CP19" s="122"/>
      <c r="CQ19" s="122">
        <f>AVERAGE(CQ7:CQ14)</f>
        <v>24.369037500000005</v>
      </c>
      <c r="CR19" s="122"/>
      <c r="CS19" s="122">
        <f>AVERAGE(CS7:CS14)</f>
        <v>26.118412499999998</v>
      </c>
      <c r="CT19" s="122"/>
      <c r="CU19" s="122">
        <f>AVERAGE(CU7:CU14)</f>
        <v>26.4076375</v>
      </c>
      <c r="CV19" s="122"/>
      <c r="CW19" s="122">
        <f>AVERAGE(CW7:CW14)</f>
        <v>12.198925000000001</v>
      </c>
      <c r="CX19" s="122"/>
      <c r="CY19" s="122">
        <f>AVERAGE(CY7:CY14)</f>
        <v>12.8979625</v>
      </c>
      <c r="CZ19" s="122"/>
      <c r="DA19" s="122">
        <f>AVERAGE(DA7:DA14)</f>
        <v>14.832712500000001</v>
      </c>
      <c r="DB19" s="122"/>
      <c r="DC19" s="123">
        <f>AVERAGE(DC7:DC14)</f>
        <v>14.954075000000003</v>
      </c>
      <c r="DD19" s="31"/>
      <c r="DE19" s="183">
        <f>AVERAGE(DE7:DE14)</f>
        <v>5.6219375000000005</v>
      </c>
      <c r="DF19" s="122"/>
      <c r="DG19" s="122">
        <f>AVERAGE(DG7:DG14)</f>
        <v>5.3738500000000009</v>
      </c>
      <c r="DH19" s="122"/>
      <c r="DI19" s="122">
        <f>AVERAGE(DI7:DI14)</f>
        <v>4.5916250000000005</v>
      </c>
      <c r="DJ19" s="122"/>
      <c r="DK19" s="122">
        <f>AVERAGE(DK7:DK14)</f>
        <v>5.8274750000000006</v>
      </c>
      <c r="DL19" s="122"/>
      <c r="DM19" s="122">
        <f>AVERAGE(DM7:DM14)</f>
        <v>7.018787500000002</v>
      </c>
      <c r="DN19" s="122"/>
      <c r="DO19" s="122">
        <f>AVERAGE(DO7:DO14)</f>
        <v>8.69435</v>
      </c>
      <c r="DP19" s="122"/>
      <c r="DQ19" s="122">
        <f>AVERAGE(DQ7:DQ14)</f>
        <v>26.554512499999998</v>
      </c>
      <c r="DR19" s="122"/>
      <c r="DS19" s="122">
        <f>AVERAGE(DS7:DS14)</f>
        <v>32.482025</v>
      </c>
      <c r="DT19" s="122"/>
      <c r="DU19" s="122">
        <f>AVERAGE(DU7:DU14)</f>
        <v>24.211314285714284</v>
      </c>
      <c r="DV19" s="122"/>
      <c r="DW19" s="122">
        <f>AVERAGE(DW7:DW14)</f>
        <v>13.374928571428573</v>
      </c>
      <c r="DX19" s="122"/>
      <c r="DY19" s="122">
        <f>AVERAGE(DY7:DY14)</f>
        <v>19.364485714285713</v>
      </c>
      <c r="DZ19" s="122"/>
      <c r="EA19" s="123">
        <f>AVERAGE(EA7:EA14)</f>
        <v>19.879428571428573</v>
      </c>
      <c r="EB19" s="31"/>
      <c r="EC19" s="183">
        <f>AVERAGE(EC7:EC14)</f>
        <v>2.063955</v>
      </c>
      <c r="ED19" s="122"/>
      <c r="EE19" s="122">
        <f>AVERAGE(EE7:EE14)</f>
        <v>1.7465579999999998</v>
      </c>
      <c r="EF19" s="122"/>
      <c r="EG19" s="122">
        <f>AVERAGE(EG7:EG14)</f>
        <v>2.2313736830627908</v>
      </c>
      <c r="EH19" s="122"/>
      <c r="EI19" s="122">
        <f>AVERAGE(EI7:EI14)</f>
        <v>36.484163749999993</v>
      </c>
      <c r="EJ19" s="122"/>
      <c r="EK19" s="122">
        <f>AVERAGE(EK7:EK14)</f>
        <v>31.006501249999999</v>
      </c>
      <c r="EL19" s="120"/>
      <c r="EM19" s="122">
        <f>AVERAGE(EM7:EM14)</f>
        <v>137.60429999999999</v>
      </c>
      <c r="EN19" s="122"/>
      <c r="EO19" s="122">
        <f>AVERAGE(EO7:EO14)</f>
        <v>40.1210375</v>
      </c>
      <c r="EP19" s="120"/>
      <c r="EQ19" s="122">
        <f>AVERAGE(EQ7:EQ14)</f>
        <v>29.237262499999993</v>
      </c>
      <c r="ER19" s="122"/>
      <c r="ES19" s="122">
        <f>AVERAGE(ES7:ES14)</f>
        <v>7.4043375000000005</v>
      </c>
      <c r="ET19" s="122"/>
      <c r="EU19" s="123">
        <f>AVERAGE(EU7:EU14)</f>
        <v>8.1991375000000009</v>
      </c>
      <c r="EV19" s="31"/>
      <c r="EW19" s="183">
        <f>AVERAGE(EW7:EW14)</f>
        <v>1.3723387500000002</v>
      </c>
      <c r="EX19" s="122"/>
      <c r="EY19" s="122">
        <f>AVERAGE(EY7:EY14)</f>
        <v>1.1246112500000001</v>
      </c>
      <c r="EZ19" s="120"/>
      <c r="FA19" s="122">
        <f>AVERAGE(FA7:FA14)</f>
        <v>69.439628749999997</v>
      </c>
      <c r="FB19" s="122"/>
      <c r="FC19" s="122">
        <f>AVERAGE(FC7:FC14)</f>
        <v>28.776841249999997</v>
      </c>
      <c r="FD19" s="122"/>
      <c r="FE19" s="122">
        <f>AVERAGE(FE7:FE14)</f>
        <v>72.473707499999989</v>
      </c>
      <c r="FF19" s="122"/>
      <c r="FG19" s="122">
        <f>AVERAGE(FG7:FG14)</f>
        <v>8.2614437500000015</v>
      </c>
      <c r="FH19" s="120"/>
      <c r="FI19" s="122">
        <f>AVERAGE(FI7:FI14)</f>
        <v>0.6862125</v>
      </c>
      <c r="FJ19" s="122"/>
      <c r="FK19" s="122">
        <f>AVERAGE(FK7:FK14)</f>
        <v>6.9508099999999997</v>
      </c>
      <c r="FL19" s="122"/>
      <c r="FM19" s="122">
        <f>AVERAGE(FM7:FM14)</f>
        <v>5.6581712500000005</v>
      </c>
      <c r="FN19" s="122"/>
      <c r="FO19" s="123">
        <f>AVERAGE(FO7:FO14)</f>
        <v>8.7633937500000005</v>
      </c>
      <c r="FR19" s="74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s="2" customFormat="1" x14ac:dyDescent="0.25">
      <c r="A20" s="79" t="str">
        <f>'Language Index'!A775</f>
        <v>Target Company</v>
      </c>
      <c r="U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W20" s="70"/>
      <c r="AX20" s="70"/>
      <c r="AY20" s="70"/>
      <c r="AZ20" s="70"/>
      <c r="BA20" s="70"/>
      <c r="BB20" s="70"/>
      <c r="BC20" s="70"/>
      <c r="FR20" s="3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s="32" customFormat="1" x14ac:dyDescent="0.25">
      <c r="A21" s="126" t="str">
        <f>'Financial Statements'!C2</f>
        <v>NYSE:IBM</v>
      </c>
      <c r="C21" s="97" t="str">
        <f>_xll.ciqfunctions.udf.CIQ($A21, "IQ_COMPANY_NAME")</f>
        <v>International Business Machines Corporation</v>
      </c>
      <c r="E21" s="30">
        <f>_xll.ciqfunctions.udf.CIQ($A21,"IQ_PERIODDATE",IQ_FY,$I$5)</f>
        <v>45657</v>
      </c>
      <c r="F21" s="30"/>
      <c r="G21" s="30">
        <f>_xll.ciqfunctions.udf.CIQ($A21,"IQ_PERIODDATE",IQ_LTM,$I$5)</f>
        <v>45657</v>
      </c>
      <c r="I21" s="26">
        <f>_xll.ciqfunctions.udf.CIQ($A21, "IQ_LASTSALEPRICE",$I$5,Ccy,Conv)</f>
        <v>250.34</v>
      </c>
      <c r="J21" s="26"/>
      <c r="K21" s="26">
        <f>_xll.ciqfunctions.udf.CIQ($A21, "IQ_YEARHIGH",$I$5,Ccy,Conv)</f>
        <v>266.45</v>
      </c>
      <c r="L21" s="26"/>
      <c r="M21" s="26">
        <f>_xll.ciqfunctions.udf.CIQ($A21, "IQ_YEARLOW",$I$5,Ccy,Conv)</f>
        <v>162.62</v>
      </c>
      <c r="O21" s="98">
        <f>IF(ISERROR(I21/K21), "NA", I21/K21)</f>
        <v>0.93953837492963033</v>
      </c>
      <c r="P21" s="98"/>
      <c r="Q21" s="98">
        <f>IF(ISERROR(I21/M21), "NA", I21/M21)</f>
        <v>1.5394170458738163</v>
      </c>
      <c r="S21" s="18">
        <f>_xll.ciqfunctions.udf.CIQ($A21, "IQ_SHARESOUTSTANDING",$I$5)</f>
        <v>927.26432999999997</v>
      </c>
      <c r="U21" s="46">
        <f>IF(ISERROR(S21*I21), "NA", S21*I21)</f>
        <v>232131.3523722</v>
      </c>
      <c r="V21" s="46"/>
      <c r="W21" s="18">
        <f>_xll.ciqfunctions.udf.CIQ($A21, "IQ_CASH_ST_INVEST",IQ_FQ,$I$5,,"F",Ccy,Conv)</f>
        <v>14591</v>
      </c>
      <c r="X21" s="18"/>
      <c r="Y21" s="18">
        <f>_xll.ciqfunctions.udf.CIQ($A21, "IQ_TOTAL_DEBT",IQ_FQ,$I$5,,"F",Ccy,Conv)</f>
        <v>58396</v>
      </c>
      <c r="Z21" s="18"/>
      <c r="AA21" s="18">
        <f>_xll.ciqfunctions.udf.CIQ($A21, "IQ_PREF_EQUITY",IQ_FQ,$I$5,,"F",Ccy,Conv)</f>
        <v>0</v>
      </c>
      <c r="AB21" s="18"/>
      <c r="AC21" s="18">
        <f>_xll.ciqfunctions.udf.CIQ($A21, "IQ_MINORITY_INTEREST_TOTAL",IQ_FQ,$I$5,,"F",Ccy,Conv)</f>
        <v>86</v>
      </c>
      <c r="AD21" s="46"/>
      <c r="AE21" s="46">
        <f>IF(ISERROR(U21-W21+Y21+AA21+AC21), "NA",U21-W21+Y21+AA21+AC21)</f>
        <v>276022.3523722</v>
      </c>
      <c r="AF21" s="46"/>
      <c r="AG21" s="18">
        <f>_xll.ciqfunctions.udf.CIQ($A21, "IQ_TOTAL_REV", IQ_FY,$I$5,,,Ccy,Conv)</f>
        <v>62753</v>
      </c>
      <c r="AH21" s="18"/>
      <c r="AI21" s="18">
        <f>_xll.ciqfunctions.udf.CIQ($A21, "IQ_TOTAL_REV", IQ_LTM,$I$5,,,Ccy,Conv)</f>
        <v>62753</v>
      </c>
      <c r="AJ21" s="18"/>
      <c r="AK21" s="18">
        <f>_xll.ciqfunctions.udf.CIQ($A21, "IQ_REVENUE_EST", IQ_CY+ 1,$I$5,,,Ccy,Conv)</f>
        <v>64998.275540000002</v>
      </c>
      <c r="AL21" s="18"/>
      <c r="AM21" s="18">
        <f>_xll.ciqfunctions.udf.CIQ($A21, "IQ_REVENUE_EST", IQ_CY+ 2,$I$5,,,Ccy,Conv)</f>
        <v>68120.425650000005</v>
      </c>
      <c r="AN21" s="46"/>
      <c r="AO21" s="18">
        <f>_xll.ciqfunctions.udf.CIQ($A21, "IQ_EBITDA", IQ_FY,$I$5,,,Ccy,Conv)</f>
        <v>10442</v>
      </c>
      <c r="AP21" s="18"/>
      <c r="AQ21" s="18">
        <f>_xll.ciqfunctions.udf.CIQ($A21, "IQ_EBITDA", IQ_LTM,$I$5,,,Ccy,Conv)</f>
        <v>10442</v>
      </c>
      <c r="AR21" s="18"/>
      <c r="AS21" s="18">
        <f>_xll.ciqfunctions.udf.CIQ($A21, "IQ_EBITDA_EST", IQ_CY+ 1,$I$5,,,Ccy,Conv)</f>
        <v>17134.56122</v>
      </c>
      <c r="AT21" s="18"/>
      <c r="AU21" s="18">
        <f>_xll.ciqfunctions.udf.CIQ($A21, "IQ_EBITDA_EST", IQ_CY+ 2,$I$5,,,Ccy,Conv)</f>
        <v>18067.385180000001</v>
      </c>
      <c r="AV21" s="46"/>
      <c r="AW21" s="26">
        <f>_xll.ciqfunctions.udf.CIQ($A21, "IQ_DILUT_EPS_EXCL", IQ_FY,$I$5,,,Ccy,Conv)</f>
        <v>6.42</v>
      </c>
      <c r="AX21" s="26"/>
      <c r="AY21" s="26">
        <f>_xll.ciqfunctions.udf.CIQ($A21, "IQ_DILUT_EPS_EXCL", IQ_LTM,$I$5,,,Ccy,Conv)</f>
        <v>6.42</v>
      </c>
      <c r="AZ21" s="26"/>
      <c r="BA21" s="26">
        <f>_xll.ciqfunctions.udf.CIQ($A21, "IQ_EPS_EST", IQ_CY+ 1,$I$5,,,Ccy,Conv)</f>
        <v>10.71993</v>
      </c>
      <c r="BB21" s="26"/>
      <c r="BC21" s="26">
        <f>_xll.ciqfunctions.udf.CIQ($A21, "IQ_EPS_EST", IQ_CY+ 2,$I$5,,,Ccy,Conv)</f>
        <v>11.403309999999999</v>
      </c>
      <c r="BE21" s="42">
        <f>_xll.ciqfunctions.udf.CIQ($A21, "IQ_TEV_TOTAL_REV",IQ_LTM,$FR21)</f>
        <v>3.9912200000000002</v>
      </c>
      <c r="BF21" s="42"/>
      <c r="BG21" s="42">
        <f>_xll.ciqfunctions.udf.CIQ($A21, "IQ_TEV_TOTAL_REV",IQ_LTM,$I$5)</f>
        <v>4.3985500000000002</v>
      </c>
      <c r="BH21" s="46"/>
      <c r="BI21" s="99">
        <f>IF(ISERROR($AE21/AK21), "NA", $AE21/AK21)</f>
        <v>4.2466103920301022</v>
      </c>
      <c r="BJ21" s="99"/>
      <c r="BK21" s="99">
        <f>IF(ISERROR($AE21/AM21), "NA", $AE21/AM21)</f>
        <v>4.0519763307174808</v>
      </c>
      <c r="BL21" s="46"/>
      <c r="BM21" s="42">
        <f>_xll.ciqfunctions.udf.CIQ($A21, "IQ_TEV_EBITDA",IQ_LTM,$FR21)</f>
        <v>18.812639999999998</v>
      </c>
      <c r="BN21" s="42"/>
      <c r="BO21" s="42">
        <f>_xll.ciqfunctions.udf.CIQ($A21, "IQ_TEV_EBITDA",IQ_LTM,$I$5)</f>
        <v>23.489260000000002</v>
      </c>
      <c r="BP21" s="42"/>
      <c r="BQ21" s="42">
        <f>_xll.ciqfunctions.udf.CIQ($A21, "IQ_TEV_EBITDA_FWD",IQ_CY+1,$I$5)</f>
        <v>16.109100000000002</v>
      </c>
      <c r="BR21" s="42"/>
      <c r="BS21" s="42">
        <f>_xll.ciqfunctions.udf.CIQ($A21, "IQ_TEV_EBITDA_FWD",IQ_CY+2,$I$5)</f>
        <v>15.277380000000001</v>
      </c>
      <c r="BT21" s="46"/>
      <c r="BU21" s="42">
        <f>_xll.ciqfunctions.udf.CIQ($A21, "IQ_PE_EXCL",IQ_LTM,$FR21)</f>
        <v>32.173679999999997</v>
      </c>
      <c r="BV21" s="42"/>
      <c r="BW21" s="42">
        <f>_xll.ciqfunctions.udf.CIQ($A21, "IQ_PE_EXCL",IQ_LTM,$I$5)</f>
        <v>38.993780000000001</v>
      </c>
      <c r="BX21" s="42"/>
      <c r="BY21" s="42">
        <f>_xll.ciqfunctions.udf.CIQ($A21, "IQ_PE_EXCL_FWD",IQ_CY+1,$I$5)</f>
        <v>23.35276</v>
      </c>
      <c r="BZ21" s="42"/>
      <c r="CA21" s="42">
        <f>_xll.ciqfunctions.udf.CIQ($A21, "IQ_PE_EXCL_FWD",IQ_CY+2,$I$5)</f>
        <v>21.95327</v>
      </c>
      <c r="CB21" s="46"/>
      <c r="CC21" s="42">
        <f>_xll.ciqfunctions.udf.CIQ($A21, "IQ_PBV",IQ_LTM,$I$5,)</f>
        <v>8.4918700000000005</v>
      </c>
      <c r="CD21" s="42"/>
      <c r="CE21" s="42" t="str">
        <f>_xll.ciqfunctions.udf.CIQ($A21, "IQ_PTBV",IQ_LTM,$I$5,)</f>
        <v>NM</v>
      </c>
      <c r="CG21" s="18">
        <f>_xll.ciqfunctions.udf.CIQ($A21, "IQ_GROSS_MARGIN", IQ_FY- 2,$I$5,)</f>
        <v>54.002899999999997</v>
      </c>
      <c r="CH21" s="18"/>
      <c r="CI21" s="18">
        <f>_xll.ciqfunctions.udf.CIQ($A21, "IQ_GROSS_MARGIN", IQ_FY- 1,$I$5,)</f>
        <v>55.447699999999998</v>
      </c>
      <c r="CJ21" s="18"/>
      <c r="CK21" s="18">
        <f>_xll.ciqfunctions.udf.CIQ($A21, "IQ_GROSS_MARGIN", IQ_FY,$I$5,)</f>
        <v>56.653799999999997</v>
      </c>
      <c r="CL21" s="18"/>
      <c r="CM21" s="18">
        <f>_xll.ciqfunctions.udf.CIQ($A21, "IQ_GROSS_MARGIN", IQ_LTM,$I$5,)</f>
        <v>56.653799999999997</v>
      </c>
      <c r="CN21" s="46"/>
      <c r="CO21" s="18">
        <f>_xll.ciqfunctions.udf.CIQ($A21, "IQ_EBITDA_MARGIN", IQ_FY- 2,$I$5,)</f>
        <v>9.1342999999999996</v>
      </c>
      <c r="CP21" s="18"/>
      <c r="CQ21" s="18">
        <f>_xll.ciqfunctions.udf.CIQ($A21, "IQ_EBITDA_MARGIN", IQ_FY- 1,$I$5,)</f>
        <v>21.6602</v>
      </c>
      <c r="CR21" s="18"/>
      <c r="CS21" s="18">
        <f>_xll.ciqfunctions.udf.CIQ($A21, "IQ_EBITDA_MARGIN", IQ_FY,$I$5,)</f>
        <v>16.639800000000001</v>
      </c>
      <c r="CT21" s="18"/>
      <c r="CU21" s="18">
        <f>_xll.ciqfunctions.udf.CIQ($A21, "IQ_EBITDA_MARGIN", IQ_LTM,$I$5,)</f>
        <v>16.639800000000001</v>
      </c>
      <c r="CV21" s="46"/>
      <c r="CW21" s="18">
        <f>_xll.ciqfunctions.udf.CIQ($A21, "IQ_NI_MARGIN", IQ_FY- 2,$I$5,)</f>
        <v>2.7077</v>
      </c>
      <c r="CX21" s="18"/>
      <c r="CY21" s="18">
        <f>_xll.ciqfunctions.udf.CIQ($A21, "IQ_NI_MARGIN", IQ_FY- 1,$I$5,)</f>
        <v>12.1273</v>
      </c>
      <c r="CZ21" s="18"/>
      <c r="DA21" s="18">
        <f>_xll.ciqfunctions.udf.CIQ($A21, "IQ_NI_MARGIN", IQ_FY,$I$5,)</f>
        <v>9.5978999999999992</v>
      </c>
      <c r="DB21" s="18"/>
      <c r="DC21" s="18">
        <f>_xll.ciqfunctions.udf.CIQ($A21, "IQ_NI_MARGIN", IQ_LTM,$I$5,)</f>
        <v>9.5978999999999992</v>
      </c>
      <c r="DE21" s="18">
        <f>_xll.ciqfunctions.udf.CIQ($A21, "IQ_TOTAL_REV_5YR_ANN_CAGR",IQ_LTM,$I$5,)</f>
        <v>1.6881999999999999</v>
      </c>
      <c r="DF21" s="18"/>
      <c r="DG21" s="18">
        <f>_xll.ciqfunctions.udf.CIQ($A21, "IQ_TOTAL_REV_3YR_ANN_CAGR",IQ_LTM,$I$5,)</f>
        <v>3.0459999999999998</v>
      </c>
      <c r="DH21" s="18"/>
      <c r="DI21" s="18">
        <f>_xll.ciqfunctions.udf.CIQ($A21, "IQ_TOTAL_REV_1YR_ANN_GROWTH", IQ_FY,$I$5,)</f>
        <v>1.4435</v>
      </c>
      <c r="DJ21" s="18"/>
      <c r="DK21" s="18">
        <f>_xll.ciqfunctions.udf.CIQ($A21, "IQ_TOTAL_REV_1YR_ANN_GROWTH",IQ_LTM,$I$5,)</f>
        <v>1.4435</v>
      </c>
      <c r="DL21" s="46"/>
      <c r="DM21" s="18">
        <f>_xll.ciqfunctions.udf.CIQ($A21, "IQ_EBITDA_5YR_ANN_CAGR",IQ_LTM,$I$5,)</f>
        <v>-5.1447000000000003</v>
      </c>
      <c r="DN21" s="18"/>
      <c r="DO21" s="18">
        <f>_xll.ciqfunctions.udf.CIQ($A21, "IQ_EBITDA_3YR_ANN_CAGR",IQ_LTM,$I$5,)</f>
        <v>-4.5298999999999996</v>
      </c>
      <c r="DP21" s="18"/>
      <c r="DQ21" s="18">
        <f>_xll.ciqfunctions.udf.CIQ($A21, "IQ_EBITDA_1YR_ANN_GROWTH", IQ_FY,$I$5,)</f>
        <v>-22.068899999999999</v>
      </c>
      <c r="DR21" s="18"/>
      <c r="DS21" s="18">
        <f>_xll.ciqfunctions.udf.CIQ($A21, "IQ_EBITDA_1YR_ANN_GROWTH",IQ_LTM,$I$5,)</f>
        <v>-22.068899999999999</v>
      </c>
      <c r="DT21" s="46"/>
      <c r="DU21" s="18">
        <f>_xll.ciqfunctions.udf.CIQ($A21, "IQ_EPS_5YR_ANN_CAGR",IQ_LTM,$I$5,)</f>
        <v>-4.3051000000000004</v>
      </c>
      <c r="DV21" s="18"/>
      <c r="DW21" s="18">
        <f>_xll.ciqfunctions.udf.CIQ($A21, "IQ_EPS_3YR_ANN_CAGR",IQ_LTM,$I$5,)</f>
        <v>7.2092999999999998</v>
      </c>
      <c r="DX21" s="18"/>
      <c r="DY21" s="18">
        <f>_xll.ciqfunctions.udf.CIQ($A21, "IQ_EPS_1YR_ANN_GROWTH", IQ_FY,$I$5,)</f>
        <v>-21.227</v>
      </c>
      <c r="DZ21" s="18"/>
      <c r="EA21" s="18">
        <f>_xll.ciqfunctions.udf.CIQ($A21, "IQ_EPS_1YR_ANN_GROWTH", IQ_LTM,$I$5,)</f>
        <v>-21.227</v>
      </c>
      <c r="EC21" s="42">
        <f>_xll.ciqfunctions.udf.CIQ($A21, "IQ_TOTAL_DEBT_EBITDA",IQ_LTM,$I$5,)</f>
        <v>4.9694500000000001</v>
      </c>
      <c r="ED21" s="42"/>
      <c r="EE21" s="42">
        <f>_xll.ciqfunctions.udf.CIQ($A21, "IQ_NET_DEBT_EBITDA",IQ_LTM,$I$5,)</f>
        <v>3.72777</v>
      </c>
      <c r="EF21" s="18"/>
      <c r="EG21" s="102">
        <f>IF(ISERROR((Y21+AA21)/AQ21), "NA", (Y21+AA21)/AQ21)</f>
        <v>5.5924152461214325</v>
      </c>
      <c r="EH21" s="18"/>
      <c r="EI21" s="42">
        <f>_xll.ciqfunctions.udf.CIQ($A21, "IQ_EBITDA_INT",IQ_LTM,$I$5,)</f>
        <v>6.8639000000000001</v>
      </c>
      <c r="EJ21" s="42"/>
      <c r="EK21" s="42">
        <f>_xll.ciqfunctions.udf.CIQ($A21, "IQ_EBITDA_CAPEX_INT",IQ_LTM,$I$5,)</f>
        <v>6.2517500000000004</v>
      </c>
      <c r="EL21" s="45"/>
      <c r="EM21" s="18">
        <f>_xll.ciqfunctions.udf.CIQ($A21, "IQ_TOTAL_DEBT_EQUITY",IQ_FQ,$I$5,)</f>
        <v>213.17850000000001</v>
      </c>
      <c r="EN21" s="18"/>
      <c r="EO21" s="18">
        <f>_xll.ciqfunctions.udf.CIQ($A21, "IQ_TOTAL_DEBT_CAPITAL",IQ_FQ,$I$5,)</f>
        <v>68.069299999999998</v>
      </c>
      <c r="EQ21" s="18">
        <f>_xll.ciqfunctions.udf.CIQ($A21, "IQ_RETURN_EQUITY",IQ_LTM,$I$5)</f>
        <v>24.057099999999998</v>
      </c>
      <c r="ER21" s="18"/>
      <c r="ES21" s="18">
        <f>_xll.ciqfunctions.udf.CIQ($A21, "IQ_RETURN_ASSETS",IQ_LTM,$I$5)</f>
        <v>3.0628000000000002</v>
      </c>
      <c r="ET21" s="18"/>
      <c r="EU21" s="18">
        <f>_xll.ciqfunctions.udf.CIQ($A21, "IQ_RETURN_INVESTED_CAPITAL",IQ_LTM,$I$5)</f>
        <v>-0.14729999999999999</v>
      </c>
      <c r="EW21" s="42">
        <f>_xll.ciqfunctions.udf.CIQ($A21, "IQ_CURRENT_RATIO",IQ_FQ,$I$5,)</f>
        <v>1.04043</v>
      </c>
      <c r="EX21" s="42"/>
      <c r="EY21" s="42">
        <f>_xll.ciqfunctions.udf.CIQ($A21, "IQ_QUICK_RATIO",IQ_FQ,$I$5,)</f>
        <v>0.87517</v>
      </c>
      <c r="EZ21" s="45"/>
      <c r="FA21" s="18">
        <f>_xll.ciqfunctions.udf.CIQ($A21, "IQ_DAYS_SALES_OUT",IQ_LTM,$I$5,)</f>
        <v>44.112879999999997</v>
      </c>
      <c r="FB21" s="18"/>
      <c r="FC21" s="18">
        <f>_xll.ciqfunctions.udf.CIQ($A21, "IQ_DAYS_INVENTORY_OUT",IQ_LTM,$I$5,)</f>
        <v>16.70936</v>
      </c>
      <c r="FD21" s="18"/>
      <c r="FE21" s="18">
        <f>_xll.ciqfunctions.udf.CIQ($A21, "IQ_DAYS_PAYABLE_OUT",IQ_LTM,$I$5,)</f>
        <v>55.415689999999998</v>
      </c>
      <c r="FF21" s="18"/>
      <c r="FG21" s="18">
        <f>_xll.ciqfunctions.udf.CIQ($A21, "IQ_CASH_CONVERSION",IQ_LTM,$I$5,)</f>
        <v>5.4065500000000002</v>
      </c>
      <c r="FH21" s="45"/>
      <c r="FI21" s="42">
        <f>_xll.ciqfunctions.udf.CIQ($A21, "IQ_ASSET_TURNS",IQ_LTM,$I$5,)</f>
        <v>0.46071000000000001</v>
      </c>
      <c r="FJ21" s="42"/>
      <c r="FK21" s="42">
        <f>_xll.ciqfunctions.udf.CIQ($A21, "IQ_FIXED_ASSET_TURNS",IQ_LTM,$I$5,)</f>
        <v>7.1108200000000004</v>
      </c>
      <c r="FL21" s="42"/>
      <c r="FM21" s="42">
        <f>_xll.ciqfunctions.udf.CIQ($A21, "IQ_AR_TURNS",IQ_LTM,$I$5,)</f>
        <v>8.2968700000000002</v>
      </c>
      <c r="FN21" s="42"/>
      <c r="FO21" s="42">
        <f>_xll.ciqfunctions.udf.CIQ($A21, "IQ_INVENTORY_TURNS",IQ_LTM,$I$5,)</f>
        <v>21.903670000000002</v>
      </c>
      <c r="FP21" s="2"/>
      <c r="FQ21" s="2"/>
      <c r="FR21" s="100">
        <f>_xll.ciqfunctions.udf.CIQ($A21,"IQ_PERIODDATE",IQ_FY,$I$5)</f>
        <v>45657</v>
      </c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s="2" customFormat="1" x14ac:dyDescent="0.25">
      <c r="A22" s="40"/>
      <c r="B22" s="40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s="2" customFormat="1" x14ac:dyDescent="0.25">
      <c r="A23" s="33" t="str">
        <f>'Language Index'!A770</f>
        <v>Source: S&amp;P Capital IQ</v>
      </c>
      <c r="AG23" s="33"/>
      <c r="BE23" s="33"/>
      <c r="CC23" s="42"/>
      <c r="CE23" s="80"/>
      <c r="CG23" s="33"/>
      <c r="DE23" s="33"/>
      <c r="EC23" s="33"/>
      <c r="EW23" s="3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s="2" customFormat="1" ht="26.25" customHeight="1" x14ac:dyDescent="0.25">
      <c r="A24" s="247" t="str">
        <f>'Language Index'!A771</f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24" s="247"/>
      <c r="C24" s="247"/>
      <c r="D24" s="247"/>
      <c r="E24" s="247"/>
      <c r="F24" s="247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47"/>
      <c r="AC24" s="247"/>
      <c r="AD24" s="247"/>
      <c r="AE24" s="247"/>
      <c r="AG24" s="28"/>
      <c r="BE24" s="28"/>
      <c r="CC24" s="42"/>
      <c r="CE24" s="80"/>
      <c r="CG24" s="28"/>
      <c r="DE24" s="28"/>
      <c r="EC24" s="28"/>
      <c r="EW24" s="28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s="2" customFormat="1" x14ac:dyDescent="0.25">
      <c r="CC25" s="42"/>
      <c r="CE25" s="80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</sheetData>
  <mergeCells count="1">
    <mergeCell ref="A24:AE24"/>
  </mergeCells>
  <phoneticPr fontId="0" type="noConversion"/>
  <printOptions horizontalCentered="1"/>
  <pageMargins left="0" right="0" top="0.25" bottom="0.25" header="0.5" footer="0.25"/>
  <pageSetup scale="56" fitToWidth="7" orientation="landscape" r:id="rId1"/>
  <headerFooter alignWithMargins="0">
    <oddFooter>&amp;C&amp;"Times New Roman,Regular"&amp;11&amp;P of &amp;N</oddFooter>
  </headerFooter>
  <colBreaks count="6" manualBreakCount="6">
    <brk id="32" max="1048575" man="1"/>
    <brk id="56" max="1048575" man="1"/>
    <brk id="84" max="1048575" man="1"/>
    <brk id="108" max="1048575" man="1"/>
    <brk id="132" max="1048575" man="1"/>
    <brk id="152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62"/>
  <sheetViews>
    <sheetView showGridLines="0" zoomScale="85" zoomScaleNormal="85" zoomScaleSheetLayoutView="70" workbookViewId="0"/>
  </sheetViews>
  <sheetFormatPr defaultRowHeight="13.2" x14ac:dyDescent="0.25"/>
  <cols>
    <col min="1" max="1" width="10.6640625" customWidth="1"/>
    <col min="2" max="2" width="1.109375" customWidth="1"/>
    <col min="3" max="3" width="35.6640625" customWidth="1"/>
    <col min="4" max="4" width="11.33203125" customWidth="1"/>
    <col min="5" max="5" width="1.6640625" customWidth="1"/>
    <col min="6" max="6" width="11.6640625" customWidth="1"/>
    <col min="7" max="7" width="1.6640625" customWidth="1"/>
    <col min="8" max="8" width="11.6640625" customWidth="1"/>
    <col min="9" max="9" width="1.6640625" customWidth="1"/>
    <col min="10" max="10" width="10" bestFit="1" customWidth="1"/>
    <col min="11" max="11" width="1.6640625" customWidth="1"/>
    <col min="12" max="12" width="12.5546875" bestFit="1" customWidth="1"/>
    <col min="13" max="13" width="1.6640625" customWidth="1"/>
    <col min="14" max="14" width="11.44140625" bestFit="1" customWidth="1"/>
    <col min="15" max="15" width="1.6640625" customWidth="1"/>
    <col min="16" max="16" width="10.88671875" bestFit="1" customWidth="1"/>
    <col min="17" max="17" width="1.6640625" customWidth="1"/>
    <col min="18" max="18" width="10.88671875" bestFit="1" customWidth="1"/>
    <col min="19" max="19" width="1.6640625" customWidth="1"/>
    <col min="20" max="20" width="10" bestFit="1" customWidth="1"/>
    <col min="21" max="21" width="1.6640625" customWidth="1"/>
    <col min="22" max="22" width="10" bestFit="1" customWidth="1"/>
    <col min="23" max="23" width="1.6640625" customWidth="1"/>
    <col min="24" max="24" width="10" bestFit="1" customWidth="1"/>
    <col min="25" max="25" width="1.6640625" customWidth="1"/>
    <col min="26" max="26" width="9.88671875" bestFit="1" customWidth="1"/>
  </cols>
  <sheetData>
    <row r="1" spans="1:27" ht="32.1" customHeight="1" x14ac:dyDescent="0.5">
      <c r="A1" s="47" t="str">
        <f>'Language Index'!A807</f>
        <v>COMPARABLE COMPANY ANALYSIS</v>
      </c>
      <c r="B1" s="49"/>
      <c r="C1" s="178"/>
      <c r="D1" s="49"/>
      <c r="E1" s="49"/>
      <c r="F1" s="49"/>
      <c r="G1" s="49"/>
      <c r="H1" s="49"/>
      <c r="I1" s="49"/>
      <c r="J1" s="49"/>
      <c r="K1" s="49"/>
      <c r="L1" s="179"/>
      <c r="M1" s="49"/>
      <c r="N1" s="179"/>
      <c r="O1" s="49"/>
      <c r="P1" s="179"/>
      <c r="Q1" s="49"/>
      <c r="R1" s="179"/>
      <c r="S1" s="179"/>
      <c r="T1" s="179"/>
      <c r="U1" s="179"/>
      <c r="V1" s="179"/>
      <c r="W1" s="179"/>
      <c r="X1" s="179"/>
      <c r="Y1" s="179"/>
      <c r="Z1" s="179"/>
      <c r="AA1" s="2"/>
    </row>
    <row r="2" spans="1:27" ht="10.5" customHeight="1" x14ac:dyDescent="0.25">
      <c r="A2" s="176" t="str">
        <f>'Detailed Comps'!A3</f>
        <v>(In USD millions, except per share data)</v>
      </c>
      <c r="B2" s="2"/>
      <c r="C2" s="9"/>
      <c r="D2" s="2"/>
      <c r="E2" s="2"/>
      <c r="F2" s="2"/>
      <c r="G2" s="2"/>
      <c r="H2" s="2"/>
      <c r="I2" s="2"/>
      <c r="J2" s="2"/>
      <c r="K2" s="2"/>
      <c r="L2" s="130"/>
      <c r="M2" s="2"/>
      <c r="N2" s="130"/>
      <c r="O2" s="2"/>
      <c r="P2" s="130"/>
      <c r="Q2" s="2"/>
      <c r="R2" s="130"/>
      <c r="S2" s="130"/>
      <c r="T2" s="130"/>
      <c r="U2" s="130"/>
      <c r="V2" s="130"/>
      <c r="W2" s="130"/>
      <c r="X2" s="130"/>
      <c r="Y2" s="130"/>
      <c r="Z2" s="130"/>
      <c r="AA2" s="2"/>
    </row>
    <row r="3" spans="1:27" x14ac:dyDescent="0.25">
      <c r="A3" s="2"/>
      <c r="B3" s="2"/>
      <c r="C3" s="2"/>
      <c r="D3" s="83" t="str">
        <f>'Language Index'!A778</f>
        <v>Stock Price</v>
      </c>
      <c r="E3" s="2"/>
      <c r="F3" s="14" t="str">
        <f>'Language Index'!A836</f>
        <v>Current as % of 52-Week (%)</v>
      </c>
      <c r="G3" s="14"/>
      <c r="H3" s="14"/>
      <c r="I3" s="2"/>
      <c r="J3" s="83" t="str">
        <f>'Language Index'!A837</f>
        <v>Shares</v>
      </c>
      <c r="K3" s="2"/>
      <c r="L3" s="83" t="str">
        <f>'Language Index'!A839</f>
        <v>Market</v>
      </c>
      <c r="M3" s="2"/>
      <c r="N3" s="83" t="str">
        <f>'Language Index'!A841</f>
        <v>Enterprise</v>
      </c>
      <c r="O3" s="2"/>
      <c r="P3" s="14" t="str">
        <f>'Language Index'!A854</f>
        <v>Revenue</v>
      </c>
      <c r="Q3" s="14"/>
      <c r="R3" s="14"/>
      <c r="S3" s="2"/>
      <c r="T3" s="14" t="str">
        <f>'Language Index'!A105</f>
        <v>EBITDA</v>
      </c>
      <c r="U3" s="14"/>
      <c r="V3" s="14"/>
      <c r="W3" s="2"/>
      <c r="X3" s="14" t="str">
        <f>'Language Index'!A806</f>
        <v>EPS</v>
      </c>
      <c r="Y3" s="14"/>
      <c r="Z3" s="14"/>
      <c r="AA3" s="2"/>
    </row>
    <row r="4" spans="1:27" x14ac:dyDescent="0.25">
      <c r="A4" s="131" t="str">
        <f>'Language Index'!A8</f>
        <v>Ticker</v>
      </c>
      <c r="B4" s="2"/>
      <c r="C4" s="79" t="str">
        <f>'Language Index'!A835</f>
        <v>Trading Data and Size</v>
      </c>
      <c r="D4" s="177">
        <f>'Detailed Comps'!I5</f>
        <v>45748</v>
      </c>
      <c r="E4" s="2"/>
      <c r="F4" s="132" t="str">
        <f>'Language Index'!A780</f>
        <v>High</v>
      </c>
      <c r="G4" s="2"/>
      <c r="H4" s="132" t="str">
        <f>'Language Index'!A781</f>
        <v>Low</v>
      </c>
      <c r="I4" s="2"/>
      <c r="J4" s="132" t="str">
        <f>'Language Index'!A838</f>
        <v>Out.</v>
      </c>
      <c r="K4" s="2"/>
      <c r="L4" s="132" t="str">
        <f>'Language Index'!A840</f>
        <v>Cap</v>
      </c>
      <c r="M4" s="2"/>
      <c r="N4" s="132" t="str">
        <f>'Language Index'!A842</f>
        <v>Value</v>
      </c>
      <c r="O4" s="2"/>
      <c r="P4" s="132" t="str">
        <f>'Language Index'!A14</f>
        <v>LTM</v>
      </c>
      <c r="Q4" s="2"/>
      <c r="R4" s="132" t="str">
        <f>'Language Index'!A859</f>
        <v>CY+1</v>
      </c>
      <c r="S4" s="2"/>
      <c r="T4" s="132" t="str">
        <f>'Language Index'!A14</f>
        <v>LTM</v>
      </c>
      <c r="U4" s="2"/>
      <c r="V4" s="132" t="str">
        <f>'Language Index'!A859</f>
        <v>CY+1</v>
      </c>
      <c r="W4" s="2"/>
      <c r="X4" s="132" t="str">
        <f>'Language Index'!A14</f>
        <v>LTM</v>
      </c>
      <c r="Y4" s="2"/>
      <c r="Z4" s="132" t="str">
        <f>'Language Index'!A859</f>
        <v>CY+1</v>
      </c>
      <c r="AA4" s="2"/>
    </row>
    <row r="5" spans="1:27" x14ac:dyDescent="0.25">
      <c r="A5" s="2" t="str">
        <f>'Detailed Comps'!A7</f>
        <v>NYSE:ORCL</v>
      </c>
      <c r="B5" s="2"/>
      <c r="C5" s="2" t="str">
        <f>'Detailed Comps'!C7</f>
        <v>Oracle Corporation</v>
      </c>
      <c r="D5" s="133">
        <f>'Detailed Comps'!I7</f>
        <v>141.94</v>
      </c>
      <c r="E5" s="32"/>
      <c r="F5" s="46">
        <f>'Detailed Comps'!O7*100</f>
        <v>71.574843212567814</v>
      </c>
      <c r="G5" s="32"/>
      <c r="H5" s="46">
        <f>'Detailed Comps'!Q7*100</f>
        <v>125.85564816456818</v>
      </c>
      <c r="I5" s="32"/>
      <c r="J5" s="46">
        <f>'Detailed Comps'!S7</f>
        <v>2804.2339999999999</v>
      </c>
      <c r="K5" s="32"/>
      <c r="L5" s="46">
        <f>'Detailed Comps'!U7</f>
        <v>398032.97395999997</v>
      </c>
      <c r="M5" s="46"/>
      <c r="N5" s="46">
        <f>'Detailed Comps'!AE7</f>
        <v>489916.97395999997</v>
      </c>
      <c r="O5" s="46"/>
      <c r="P5" s="46">
        <f>'Detailed Comps'!AI7</f>
        <v>55783</v>
      </c>
      <c r="Q5" s="46"/>
      <c r="R5" s="46">
        <f>'Detailed Comps'!AK7</f>
        <v>60628.258699999998</v>
      </c>
      <c r="S5" s="46"/>
      <c r="T5" s="46">
        <f>'Detailed Comps'!AQ7</f>
        <v>22916</v>
      </c>
      <c r="U5" s="46"/>
      <c r="V5" s="46">
        <f>'Detailed Comps'!AS7</f>
        <v>31627.245200000001</v>
      </c>
      <c r="W5" s="32"/>
      <c r="X5" s="134">
        <f>'Detailed Comps'!AY7</f>
        <v>4.2587099999999998</v>
      </c>
      <c r="Y5" s="134"/>
      <c r="Z5" s="134">
        <f>'Detailed Comps'!BA7</f>
        <v>6.2076000000000002</v>
      </c>
      <c r="AA5" s="2"/>
    </row>
    <row r="6" spans="1:27" x14ac:dyDescent="0.25">
      <c r="A6" s="2" t="str">
        <f>'Detailed Comps'!A8</f>
        <v>NYSE:ACN</v>
      </c>
      <c r="B6" s="2"/>
      <c r="C6" s="2" t="str">
        <f>'Detailed Comps'!C8</f>
        <v>Accenture plc</v>
      </c>
      <c r="D6" s="133">
        <f>'Detailed Comps'!I8</f>
        <v>313.58</v>
      </c>
      <c r="E6" s="32"/>
      <c r="F6" s="46">
        <f>'Detailed Comps'!O8*100</f>
        <v>78.719718840215876</v>
      </c>
      <c r="G6" s="32"/>
      <c r="H6" s="46">
        <f>'Detailed Comps'!Q8*100</f>
        <v>112.51928666260002</v>
      </c>
      <c r="I6" s="32"/>
      <c r="J6" s="46">
        <f>'Detailed Comps'!S8</f>
        <v>626.02583000000004</v>
      </c>
      <c r="K6" s="32"/>
      <c r="L6" s="46">
        <f>'Detailed Comps'!U8</f>
        <v>196309.1797714</v>
      </c>
      <c r="M6" s="46"/>
      <c r="N6" s="46">
        <f>'Detailed Comps'!AE8</f>
        <v>196809.90477139998</v>
      </c>
      <c r="O6" s="46"/>
      <c r="P6" s="46">
        <f>'Detailed Comps'!AI8</f>
        <v>67221.493000000002</v>
      </c>
      <c r="Q6" s="46"/>
      <c r="R6" s="46">
        <f>'Detailed Comps'!AK8</f>
        <v>69450.625</v>
      </c>
      <c r="S6" s="46"/>
      <c r="T6" s="46">
        <f>'Detailed Comps'!AQ8</f>
        <v>11472.502</v>
      </c>
      <c r="U6" s="46"/>
      <c r="V6" s="46">
        <f>'Detailed Comps'!AS8</f>
        <v>13170.7644</v>
      </c>
      <c r="W6" s="32"/>
      <c r="X6" s="134">
        <f>'Detailed Comps'!AY8</f>
        <v>12.11768</v>
      </c>
      <c r="Y6" s="134"/>
      <c r="Z6" s="134">
        <f>'Detailed Comps'!BA8</f>
        <v>12.8513</v>
      </c>
      <c r="AA6" s="2"/>
    </row>
    <row r="7" spans="1:27" x14ac:dyDescent="0.25">
      <c r="A7" s="2" t="str">
        <f>'Detailed Comps'!A9</f>
        <v>NasdaqGS:CTSH</v>
      </c>
      <c r="B7" s="2"/>
      <c r="C7" s="2" t="str">
        <f>'Detailed Comps'!C9</f>
        <v>Cognizant Technology Solutions Corporation</v>
      </c>
      <c r="D7" s="133">
        <f>'Detailed Comps'!I9</f>
        <v>76.45</v>
      </c>
      <c r="E7" s="32"/>
      <c r="F7" s="46">
        <f>'Detailed Comps'!O9*100</f>
        <v>84.177493944065191</v>
      </c>
      <c r="G7" s="32"/>
      <c r="H7" s="46">
        <f>'Detailed Comps'!Q9*100</f>
        <v>119.8463709045305</v>
      </c>
      <c r="I7" s="32"/>
      <c r="J7" s="46">
        <f>'Detailed Comps'!S9</f>
        <v>494.61550999999997</v>
      </c>
      <c r="K7" s="32"/>
      <c r="L7" s="46">
        <f>'Detailed Comps'!U9</f>
        <v>37813.355739500003</v>
      </c>
      <c r="M7" s="46"/>
      <c r="N7" s="46">
        <f>'Detailed Comps'!AE9</f>
        <v>37073.355739500003</v>
      </c>
      <c r="O7" s="46"/>
      <c r="P7" s="46">
        <f>'Detailed Comps'!AI9</f>
        <v>19736</v>
      </c>
      <c r="Q7" s="46"/>
      <c r="R7" s="46">
        <f>'Detailed Comps'!AK9</f>
        <v>20616.660159999999</v>
      </c>
      <c r="S7" s="46"/>
      <c r="T7" s="46">
        <f>'Detailed Comps'!AQ9</f>
        <v>3519</v>
      </c>
      <c r="U7" s="46"/>
      <c r="V7" s="46">
        <f>'Detailed Comps'!AS9</f>
        <v>3820.9614099999999</v>
      </c>
      <c r="W7" s="32"/>
      <c r="X7" s="134">
        <f>'Detailed Comps'!AY9</f>
        <v>4.51</v>
      </c>
      <c r="Y7" s="134"/>
      <c r="Z7" s="134">
        <f>'Detailed Comps'!BA9</f>
        <v>5.0005899999999999</v>
      </c>
      <c r="AA7" s="2"/>
    </row>
    <row r="8" spans="1:27" x14ac:dyDescent="0.25">
      <c r="A8" s="2" t="str">
        <f>'Detailed Comps'!A10</f>
        <v>NYSE:CRM</v>
      </c>
      <c r="B8" s="2"/>
      <c r="C8" s="2" t="str">
        <f>'Detailed Comps'!C10</f>
        <v>Salesforce, Inc.</v>
      </c>
      <c r="D8" s="133">
        <f>'Detailed Comps'!I10</f>
        <v>270.2</v>
      </c>
      <c r="E8" s="32"/>
      <c r="F8" s="46">
        <f>'Detailed Comps'!O10*100</f>
        <v>73.224932249322492</v>
      </c>
      <c r="G8" s="32"/>
      <c r="H8" s="46">
        <f>'Detailed Comps'!Q10*100</f>
        <v>127.45283018867923</v>
      </c>
      <c r="I8" s="32"/>
      <c r="J8" s="46">
        <f>'Detailed Comps'!S10</f>
        <v>961</v>
      </c>
      <c r="K8" s="32"/>
      <c r="L8" s="46">
        <f>'Detailed Comps'!U10</f>
        <v>259662.19999999998</v>
      </c>
      <c r="M8" s="46"/>
      <c r="N8" s="46">
        <f>'Detailed Comps'!AE10</f>
        <v>257700.19999999998</v>
      </c>
      <c r="O8" s="46"/>
      <c r="P8" s="46">
        <f>'Detailed Comps'!AI10</f>
        <v>37895</v>
      </c>
      <c r="Q8" s="46"/>
      <c r="R8" s="46">
        <f>'Detailed Comps'!AK10</f>
        <v>40869.412519999998</v>
      </c>
      <c r="S8" s="46"/>
      <c r="T8" s="46">
        <f>'Detailed Comps'!AQ10</f>
        <v>11143</v>
      </c>
      <c r="U8" s="46"/>
      <c r="V8" s="46">
        <f>'Detailed Comps'!AS10</f>
        <v>16004.022499999999</v>
      </c>
      <c r="W8" s="32"/>
      <c r="X8" s="134">
        <f>'Detailed Comps'!AY10</f>
        <v>6.36</v>
      </c>
      <c r="Y8" s="134"/>
      <c r="Z8" s="134">
        <f>'Detailed Comps'!BA10</f>
        <v>11.1646</v>
      </c>
      <c r="AA8" s="2"/>
    </row>
    <row r="9" spans="1:27" x14ac:dyDescent="0.25">
      <c r="A9" s="2" t="str">
        <f>'Detailed Comps'!A11</f>
        <v>NYSE:HPE</v>
      </c>
      <c r="B9" s="2"/>
      <c r="C9" s="2" t="str">
        <f>'Detailed Comps'!C11</f>
        <v>Hewlett Packard Enterprise Company</v>
      </c>
      <c r="D9" s="133">
        <f>'Detailed Comps'!I11</f>
        <v>15.64</v>
      </c>
      <c r="E9" s="32"/>
      <c r="F9" s="46">
        <f>'Detailed Comps'!O11*100</f>
        <v>63.422546634225462</v>
      </c>
      <c r="G9" s="32"/>
      <c r="H9" s="46">
        <f>'Detailed Comps'!Q11*100</f>
        <v>106.83060109289617</v>
      </c>
      <c r="I9" s="32"/>
      <c r="J9" s="46">
        <f>'Detailed Comps'!S11</f>
        <v>1313.5782400000001</v>
      </c>
      <c r="K9" s="32"/>
      <c r="L9" s="46">
        <f>'Detailed Comps'!U11</f>
        <v>20544.363673600001</v>
      </c>
      <c r="M9" s="46"/>
      <c r="N9" s="46">
        <f>'Detailed Comps'!AE11</f>
        <v>25870.363673600001</v>
      </c>
      <c r="O9" s="46"/>
      <c r="P9" s="46">
        <f>'Detailed Comps'!AI11</f>
        <v>31226</v>
      </c>
      <c r="Q9" s="46"/>
      <c r="R9" s="46">
        <f>'Detailed Comps'!AK11</f>
        <v>33105.2788</v>
      </c>
      <c r="S9" s="46"/>
      <c r="T9" s="46">
        <f>'Detailed Comps'!AQ11</f>
        <v>5057</v>
      </c>
      <c r="U9" s="46"/>
      <c r="V9" s="46">
        <f>'Detailed Comps'!AS11</f>
        <v>5271.65</v>
      </c>
      <c r="W9" s="32"/>
      <c r="X9" s="134">
        <f>'Detailed Comps'!AY11</f>
        <v>2.0763500000000001</v>
      </c>
      <c r="Y9" s="134"/>
      <c r="Z9" s="134">
        <f>'Detailed Comps'!BA11</f>
        <v>1.8052999999999999</v>
      </c>
      <c r="AA9" s="2"/>
    </row>
    <row r="10" spans="1:27" x14ac:dyDescent="0.25">
      <c r="A10" s="2" t="str">
        <f>'Detailed Comps'!A12</f>
        <v>NasdaqGS:MSFT</v>
      </c>
      <c r="B10" s="2"/>
      <c r="C10" s="2" t="str">
        <f>'Detailed Comps'!C12</f>
        <v>Microsoft Corporation</v>
      </c>
      <c r="D10" s="133">
        <f>'Detailed Comps'!I12</f>
        <v>382.19</v>
      </c>
      <c r="E10" s="32"/>
      <c r="F10" s="46">
        <f>'Detailed Comps'!O12*100</f>
        <v>81.603501654745386</v>
      </c>
      <c r="G10" s="32"/>
      <c r="H10" s="46">
        <f>'Detailed Comps'!Q12*100</f>
        <v>104.07090730857205</v>
      </c>
      <c r="I10" s="32"/>
      <c r="J10" s="46">
        <f>'Detailed Comps'!S12</f>
        <v>7433.9822400000003</v>
      </c>
      <c r="K10" s="32"/>
      <c r="L10" s="46">
        <f>'Detailed Comps'!U12</f>
        <v>2841193.6723056003</v>
      </c>
      <c r="M10" s="46"/>
      <c r="N10" s="46">
        <f>'Detailed Comps'!AE12</f>
        <v>2872547.6723056003</v>
      </c>
      <c r="O10" s="46"/>
      <c r="P10" s="46">
        <f>'Detailed Comps'!AI12</f>
        <v>261802</v>
      </c>
      <c r="Q10" s="46"/>
      <c r="R10" s="46">
        <f>'Detailed Comps'!AK12</f>
        <v>293083.728</v>
      </c>
      <c r="S10" s="46"/>
      <c r="T10" s="46">
        <f>'Detailed Comps'!AQ12</f>
        <v>142041</v>
      </c>
      <c r="U10" s="46"/>
      <c r="V10" s="46">
        <f>'Detailed Comps'!AS12</f>
        <v>160959.61499999999</v>
      </c>
      <c r="W10" s="32"/>
      <c r="X10" s="134">
        <f>'Detailed Comps'!AY12</f>
        <v>12.40985</v>
      </c>
      <c r="Y10" s="134"/>
      <c r="Z10" s="134">
        <f>'Detailed Comps'!BA12</f>
        <v>13.809100000000001</v>
      </c>
      <c r="AA10" s="2"/>
    </row>
    <row r="11" spans="1:27" x14ac:dyDescent="0.25">
      <c r="A11" s="2" t="str">
        <f>'Detailed Comps'!A13</f>
        <v>NYSE:DXC</v>
      </c>
      <c r="B11" s="2"/>
      <c r="C11" s="2" t="str">
        <f>'Detailed Comps'!C13</f>
        <v>DXC Technology Company</v>
      </c>
      <c r="D11" s="133">
        <f>'Detailed Comps'!I13</f>
        <v>17.34</v>
      </c>
      <c r="E11" s="32"/>
      <c r="F11" s="46">
        <f>'Detailed Comps'!O13*100</f>
        <v>69.834877164720098</v>
      </c>
      <c r="G11" s="32"/>
      <c r="H11" s="46">
        <f>'Detailed Comps'!Q13*100</f>
        <v>117.28102806898883</v>
      </c>
      <c r="I11" s="32"/>
      <c r="J11" s="46">
        <f>'Detailed Comps'!S13</f>
        <v>181.04856000000001</v>
      </c>
      <c r="K11" s="32"/>
      <c r="L11" s="46">
        <f>'Detailed Comps'!U13</f>
        <v>3139.3820304000001</v>
      </c>
      <c r="M11" s="46"/>
      <c r="N11" s="46">
        <f>'Detailed Comps'!AE13</f>
        <v>6179.3820304000001</v>
      </c>
      <c r="O11" s="46"/>
      <c r="P11" s="46">
        <f>'Detailed Comps'!AI13</f>
        <v>13088</v>
      </c>
      <c r="Q11" s="46"/>
      <c r="R11" s="46">
        <f>'Detailed Comps'!AK13</f>
        <v>12509.837</v>
      </c>
      <c r="S11" s="46"/>
      <c r="T11" s="46">
        <f>'Detailed Comps'!AQ13</f>
        <v>1395</v>
      </c>
      <c r="U11" s="46"/>
      <c r="V11" s="46">
        <f>'Detailed Comps'!AS13</f>
        <v>1942.2666999999999</v>
      </c>
      <c r="W11" s="32"/>
      <c r="X11" s="134">
        <f>'Detailed Comps'!AY13</f>
        <v>-0.41505999999999998</v>
      </c>
      <c r="Y11" s="134"/>
      <c r="Z11" s="134">
        <f>'Detailed Comps'!BA13</f>
        <v>3.3740999999999999</v>
      </c>
      <c r="AA11" s="2"/>
    </row>
    <row r="12" spans="1:27" x14ac:dyDescent="0.25">
      <c r="A12" s="2" t="str">
        <f>'Detailed Comps'!A14</f>
        <v>NasdaqGS:HON</v>
      </c>
      <c r="B12" s="2"/>
      <c r="C12" s="2" t="str">
        <f>'Detailed Comps'!C14</f>
        <v>Honeywell International Inc.</v>
      </c>
      <c r="D12" s="133">
        <f>'Detailed Comps'!I14</f>
        <v>213.45</v>
      </c>
      <c r="E12" s="32"/>
      <c r="F12" s="46">
        <f>'Detailed Comps'!O14*100</f>
        <v>87.922725213164725</v>
      </c>
      <c r="G12" s="32"/>
      <c r="H12" s="46">
        <f>'Detailed Comps'!Q14*100</f>
        <v>112.49011857707509</v>
      </c>
      <c r="I12" s="32"/>
      <c r="J12" s="46">
        <f>'Detailed Comps'!S14</f>
        <v>648.76774999999998</v>
      </c>
      <c r="K12" s="32"/>
      <c r="L12" s="46">
        <f>'Detailed Comps'!U14</f>
        <v>138479.4762375</v>
      </c>
      <c r="M12" s="46"/>
      <c r="N12" s="46">
        <f>'Detailed Comps'!AE14</f>
        <v>160293.4762375</v>
      </c>
      <c r="O12" s="46"/>
      <c r="P12" s="46">
        <f>'Detailed Comps'!AI14</f>
        <v>38498</v>
      </c>
      <c r="Q12" s="46"/>
      <c r="R12" s="46">
        <f>'Detailed Comps'!AK14</f>
        <v>40422.724309999998</v>
      </c>
      <c r="S12" s="46"/>
      <c r="T12" s="46">
        <f>'Detailed Comps'!AQ14</f>
        <v>9536</v>
      </c>
      <c r="U12" s="46"/>
      <c r="V12" s="46">
        <f>'Detailed Comps'!AS14</f>
        <v>10449.22839</v>
      </c>
      <c r="W12" s="32"/>
      <c r="X12" s="134">
        <f>'Detailed Comps'!AY14</f>
        <v>8.7100000000000009</v>
      </c>
      <c r="Y12" s="134"/>
      <c r="Z12" s="134">
        <f>'Detailed Comps'!BA14</f>
        <v>10.34618</v>
      </c>
      <c r="AA12" s="2"/>
    </row>
    <row r="13" spans="1:27" x14ac:dyDescent="0.25">
      <c r="A13" s="2"/>
      <c r="B13" s="2"/>
      <c r="C13" s="2"/>
      <c r="D13" s="133"/>
      <c r="E13" s="32"/>
      <c r="F13" s="46"/>
      <c r="G13" s="32"/>
      <c r="H13" s="32"/>
      <c r="I13" s="32"/>
      <c r="J13" s="32"/>
      <c r="K13" s="32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32"/>
      <c r="X13" s="134"/>
      <c r="Y13" s="134"/>
      <c r="Z13" s="134"/>
      <c r="AA13" s="2"/>
    </row>
    <row r="14" spans="1:27" x14ac:dyDescent="0.25">
      <c r="A14" s="2"/>
      <c r="B14" s="2"/>
      <c r="C14" s="135" t="str">
        <f>'Language Index'!A831</f>
        <v>Max</v>
      </c>
      <c r="D14" s="137">
        <f>+MAX(D5:D12)</f>
        <v>382.19</v>
      </c>
      <c r="E14" s="138"/>
      <c r="F14" s="139">
        <f>+MAX(F5:F12)</f>
        <v>87.922725213164725</v>
      </c>
      <c r="G14" s="138"/>
      <c r="H14" s="139">
        <f>+MAX(H5:H12)</f>
        <v>127.45283018867923</v>
      </c>
      <c r="I14" s="138"/>
      <c r="J14" s="139">
        <f>+MAX(J5:J12)</f>
        <v>7433.9822400000003</v>
      </c>
      <c r="K14" s="138"/>
      <c r="L14" s="139">
        <f>+MAX(L5:L12)</f>
        <v>2841193.6723056003</v>
      </c>
      <c r="M14" s="139"/>
      <c r="N14" s="139">
        <f>+MAX(N5:N12)</f>
        <v>2872547.6723056003</v>
      </c>
      <c r="O14" s="139"/>
      <c r="P14" s="139">
        <f>+MAX(P5:P12)</f>
        <v>261802</v>
      </c>
      <c r="Q14" s="139"/>
      <c r="R14" s="139">
        <f>+MAX(R5:R12)</f>
        <v>293083.728</v>
      </c>
      <c r="S14" s="139"/>
      <c r="T14" s="139">
        <f>+MAX(T5:T12)</f>
        <v>142041</v>
      </c>
      <c r="U14" s="139"/>
      <c r="V14" s="139">
        <f>+MAX(V5:V12)</f>
        <v>160959.61499999999</v>
      </c>
      <c r="W14" s="138"/>
      <c r="X14" s="140">
        <f>+MAX(X5:X12)</f>
        <v>12.40985</v>
      </c>
      <c r="Y14" s="140"/>
      <c r="Z14" s="141">
        <f>+MAX(Z5:Z12)</f>
        <v>13.809100000000001</v>
      </c>
      <c r="AA14" s="2"/>
    </row>
    <row r="15" spans="1:27" x14ac:dyDescent="0.25">
      <c r="A15" s="2"/>
      <c r="B15" s="2"/>
      <c r="C15" s="142" t="str">
        <f>'Language Index'!A832</f>
        <v>Median</v>
      </c>
      <c r="D15" s="144">
        <f>MEDIAN(D5:D12)</f>
        <v>177.69499999999999</v>
      </c>
      <c r="E15" s="145"/>
      <c r="F15" s="146">
        <f>MEDIAN(F5:F12)</f>
        <v>75.972325544769177</v>
      </c>
      <c r="G15" s="145"/>
      <c r="H15" s="146">
        <f>MEDIAN(H5:H12)</f>
        <v>114.90015736579443</v>
      </c>
      <c r="I15" s="145"/>
      <c r="J15" s="146">
        <f>MEDIAN(J5:J12)</f>
        <v>804.88387499999999</v>
      </c>
      <c r="K15" s="145"/>
      <c r="L15" s="146">
        <f>MEDIAN(L5:L12)</f>
        <v>167394.32800445001</v>
      </c>
      <c r="M15" s="146"/>
      <c r="N15" s="146">
        <f>MEDIAN(N5:N12)</f>
        <v>178551.69050445</v>
      </c>
      <c r="O15" s="146"/>
      <c r="P15" s="146">
        <f>MEDIAN(P5:P12)</f>
        <v>38196.5</v>
      </c>
      <c r="Q15" s="146"/>
      <c r="R15" s="146">
        <f>MEDIAN(R5:R12)</f>
        <v>40646.068415000002</v>
      </c>
      <c r="S15" s="146"/>
      <c r="T15" s="146">
        <f>MEDIAN(T5:T12)</f>
        <v>10339.5</v>
      </c>
      <c r="U15" s="146"/>
      <c r="V15" s="146">
        <f>MEDIAN(V5:V12)</f>
        <v>11809.996395</v>
      </c>
      <c r="W15" s="145"/>
      <c r="X15" s="147">
        <f>MEDIAN(X5:X12)</f>
        <v>5.4350000000000005</v>
      </c>
      <c r="Y15" s="147"/>
      <c r="Z15" s="148">
        <f>MEDIAN(Z5:Z12)</f>
        <v>8.2768899999999999</v>
      </c>
      <c r="AA15" s="2"/>
    </row>
    <row r="16" spans="1:27" x14ac:dyDescent="0.25">
      <c r="A16" s="2"/>
      <c r="B16" s="2"/>
      <c r="C16" s="142" t="str">
        <f>'Language Index'!A833</f>
        <v>Min</v>
      </c>
      <c r="D16" s="144">
        <f>+MIN(D5:D12)</f>
        <v>15.64</v>
      </c>
      <c r="E16" s="145"/>
      <c r="F16" s="146">
        <f>+MIN(F5:F12)</f>
        <v>63.422546634225462</v>
      </c>
      <c r="G16" s="145"/>
      <c r="H16" s="146">
        <f>+MIN(H5:H12)</f>
        <v>104.07090730857205</v>
      </c>
      <c r="I16" s="145"/>
      <c r="J16" s="146">
        <f>+MIN(J5:J12)</f>
        <v>181.04856000000001</v>
      </c>
      <c r="K16" s="145"/>
      <c r="L16" s="146">
        <f>+MIN(L5:L12)</f>
        <v>3139.3820304000001</v>
      </c>
      <c r="M16" s="146"/>
      <c r="N16" s="146">
        <f>+MIN(N5:N12)</f>
        <v>6179.3820304000001</v>
      </c>
      <c r="O16" s="146"/>
      <c r="P16" s="146">
        <f>+MIN(P5:P12)</f>
        <v>13088</v>
      </c>
      <c r="Q16" s="146"/>
      <c r="R16" s="146">
        <f>+MIN(R5:R12)</f>
        <v>12509.837</v>
      </c>
      <c r="S16" s="146"/>
      <c r="T16" s="146">
        <f>+MIN(T5:T12)</f>
        <v>1395</v>
      </c>
      <c r="U16" s="146"/>
      <c r="V16" s="146">
        <f>+MIN(V5:V12)</f>
        <v>1942.2666999999999</v>
      </c>
      <c r="W16" s="145"/>
      <c r="X16" s="147">
        <f>+MIN(X5:X12)</f>
        <v>-0.41505999999999998</v>
      </c>
      <c r="Y16" s="147"/>
      <c r="Z16" s="148">
        <f>+MIN(Z5:Z12)</f>
        <v>1.8052999999999999</v>
      </c>
      <c r="AA16" s="2"/>
    </row>
    <row r="17" spans="1:27" x14ac:dyDescent="0.25">
      <c r="A17" s="2"/>
      <c r="B17" s="2"/>
      <c r="C17" s="149" t="str">
        <f>'Language Index'!A834</f>
        <v>Mean</v>
      </c>
      <c r="D17" s="150">
        <f>AVERAGE(D5:D12)</f>
        <v>178.84875</v>
      </c>
      <c r="E17" s="151"/>
      <c r="F17" s="152">
        <f>AVERAGE(F5:F12)</f>
        <v>76.310079864128383</v>
      </c>
      <c r="G17" s="151"/>
      <c r="H17" s="152">
        <f>AVERAGE(H5:H12)</f>
        <v>115.79334887098875</v>
      </c>
      <c r="I17" s="151"/>
      <c r="J17" s="152">
        <f>AVERAGE(J5:J12)</f>
        <v>1807.9065162500001</v>
      </c>
      <c r="K17" s="151"/>
      <c r="L17" s="152">
        <f>AVERAGE(L5:L12)</f>
        <v>486896.82546475</v>
      </c>
      <c r="M17" s="152"/>
      <c r="N17" s="152">
        <f>AVERAGE(N5:N12)</f>
        <v>505798.91608975007</v>
      </c>
      <c r="O17" s="152"/>
      <c r="P17" s="152">
        <f>AVERAGE(P5:P12)</f>
        <v>65656.186625000002</v>
      </c>
      <c r="Q17" s="152"/>
      <c r="R17" s="152">
        <f>AVERAGE(R5:R12)</f>
        <v>71335.815561249998</v>
      </c>
      <c r="S17" s="152"/>
      <c r="T17" s="152">
        <f>AVERAGE(T5:T12)</f>
        <v>25884.937750000001</v>
      </c>
      <c r="U17" s="152"/>
      <c r="V17" s="152">
        <f>AVERAGE(V5:V12)</f>
        <v>30405.719200000003</v>
      </c>
      <c r="W17" s="151"/>
      <c r="X17" s="153">
        <f>AVERAGE(X5:X12)</f>
        <v>6.2534412500000007</v>
      </c>
      <c r="Y17" s="153"/>
      <c r="Z17" s="154">
        <f>AVERAGE(Z5:Z12)</f>
        <v>8.0698462500000012</v>
      </c>
      <c r="AA17" s="2"/>
    </row>
    <row r="18" spans="1:27" x14ac:dyDescent="0.25">
      <c r="A18" s="2"/>
      <c r="B18" s="2"/>
      <c r="C18" s="2"/>
      <c r="D18" s="133"/>
      <c r="E18" s="32"/>
      <c r="F18" s="32"/>
      <c r="G18" s="32"/>
      <c r="H18" s="32"/>
      <c r="I18" s="32"/>
      <c r="J18" s="32"/>
      <c r="K18" s="32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32"/>
      <c r="X18" s="134"/>
      <c r="Y18" s="134"/>
      <c r="Z18" s="134"/>
      <c r="AA18" s="2"/>
    </row>
    <row r="19" spans="1:27" x14ac:dyDescent="0.25">
      <c r="A19" s="185" t="str">
        <f>'Detailed Comps'!A21</f>
        <v>NYSE:IBM</v>
      </c>
      <c r="B19" s="186"/>
      <c r="C19" s="186" t="str">
        <f>'Detailed Comps'!C21</f>
        <v>International Business Machines Corporation</v>
      </c>
      <c r="D19" s="187">
        <f>'Detailed Comps'!I21</f>
        <v>250.34</v>
      </c>
      <c r="E19" s="188"/>
      <c r="F19" s="189">
        <f>'Detailed Comps'!O21*100</f>
        <v>93.953837492963032</v>
      </c>
      <c r="G19" s="188"/>
      <c r="H19" s="189">
        <f>'Detailed Comps'!Q21*100</f>
        <v>153.94170458738162</v>
      </c>
      <c r="I19" s="188"/>
      <c r="J19" s="189">
        <f>'Detailed Comps'!S21</f>
        <v>927.26432999999997</v>
      </c>
      <c r="K19" s="188"/>
      <c r="L19" s="189">
        <f>'Detailed Comps'!U21</f>
        <v>232131.3523722</v>
      </c>
      <c r="M19" s="189"/>
      <c r="N19" s="189">
        <f>'Detailed Comps'!AE21</f>
        <v>276022.3523722</v>
      </c>
      <c r="O19" s="189"/>
      <c r="P19" s="189">
        <f>'Detailed Comps'!AI21</f>
        <v>62753</v>
      </c>
      <c r="Q19" s="189"/>
      <c r="R19" s="189">
        <f>'Detailed Comps'!AK21</f>
        <v>64998.275540000002</v>
      </c>
      <c r="S19" s="189"/>
      <c r="T19" s="189">
        <f>'Detailed Comps'!AQ21</f>
        <v>10442</v>
      </c>
      <c r="U19" s="189"/>
      <c r="V19" s="189">
        <f>'Detailed Comps'!AS21</f>
        <v>17134.56122</v>
      </c>
      <c r="W19" s="188"/>
      <c r="X19" s="190">
        <f>'Detailed Comps'!AY21</f>
        <v>6.42</v>
      </c>
      <c r="Y19" s="190"/>
      <c r="Z19" s="191">
        <f>'Detailed Comps'!BA21</f>
        <v>10.71993</v>
      </c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83" t="str">
        <f>'Language Index'!A808</f>
        <v>Total Debt/</v>
      </c>
      <c r="E22" s="2"/>
      <c r="F22" s="83" t="str">
        <f>'Language Index'!A810</f>
        <v>Net Debt/</v>
      </c>
      <c r="G22" s="155"/>
      <c r="H22" s="155" t="str">
        <f>'Language Index'!A812</f>
        <v>EBITDA/</v>
      </c>
      <c r="I22" s="2"/>
      <c r="J22" s="155" t="str">
        <f>'Language Index'!A844</f>
        <v>(EBITDA-Capex)</v>
      </c>
      <c r="K22" s="2"/>
      <c r="L22" s="83" t="str">
        <f>'Language Index'!A808</f>
        <v>Total Debt/</v>
      </c>
      <c r="M22" s="2"/>
      <c r="N22" s="83" t="str">
        <f>'Language Index'!A808</f>
        <v>Total Debt/</v>
      </c>
      <c r="O22" s="2"/>
      <c r="P22" s="14" t="str">
        <f>'Language Index'!A848</f>
        <v>TEV/Revenue</v>
      </c>
      <c r="Q22" s="14"/>
      <c r="R22" s="14"/>
      <c r="S22" s="2"/>
      <c r="T22" s="14" t="str">
        <f>'Language Index'!A794</f>
        <v>TEV/EBITDA</v>
      </c>
      <c r="U22" s="14"/>
      <c r="V22" s="14"/>
      <c r="W22" s="2"/>
      <c r="X22" s="14" t="str">
        <f>'Language Index'!A719</f>
        <v>P/E</v>
      </c>
      <c r="Y22" s="14"/>
      <c r="Z22" s="14"/>
      <c r="AA22" s="2"/>
    </row>
    <row r="23" spans="1:27" x14ac:dyDescent="0.25">
      <c r="A23" s="131" t="str">
        <f>'Language Index'!A8</f>
        <v>Ticker</v>
      </c>
      <c r="B23" s="2"/>
      <c r="C23" s="79" t="str">
        <f>'Language Index'!A843</f>
        <v>Leverage and Trading Multiples</v>
      </c>
      <c r="D23" s="132" t="str">
        <f>'Language Index'!A809</f>
        <v>LTM EBITDA</v>
      </c>
      <c r="E23" s="2"/>
      <c r="F23" s="132" t="str">
        <f>'Language Index'!A809</f>
        <v>LTM EBITDA</v>
      </c>
      <c r="G23" s="2"/>
      <c r="H23" s="132" t="str">
        <f>'Language Index'!A813</f>
        <v>Interest</v>
      </c>
      <c r="I23" s="2"/>
      <c r="J23" s="132" t="str">
        <f>'Language Index'!A845</f>
        <v>/Interest</v>
      </c>
      <c r="K23" s="2"/>
      <c r="L23" s="132" t="str">
        <f>'Language Index'!A846</f>
        <v>Tot. Equity (%)</v>
      </c>
      <c r="M23" s="2"/>
      <c r="N23" s="132" t="str">
        <f>'Language Index'!A847</f>
        <v>Total Cap (%)</v>
      </c>
      <c r="O23" s="2"/>
      <c r="P23" s="132" t="str">
        <f>+P4</f>
        <v>LTM</v>
      </c>
      <c r="Q23" s="2"/>
      <c r="R23" s="132" t="str">
        <f>+R4</f>
        <v>CY+1</v>
      </c>
      <c r="S23" s="2"/>
      <c r="T23" s="132" t="str">
        <f>+T4</f>
        <v>LTM</v>
      </c>
      <c r="U23" s="2"/>
      <c r="V23" s="132" t="str">
        <f>+V4</f>
        <v>CY+1</v>
      </c>
      <c r="W23" s="2"/>
      <c r="X23" s="132" t="str">
        <f>+X4</f>
        <v>LTM</v>
      </c>
      <c r="Y23" s="2"/>
      <c r="Z23" s="132" t="str">
        <f>+Z4</f>
        <v>CY+1</v>
      </c>
      <c r="AA23" s="2"/>
    </row>
    <row r="24" spans="1:27" x14ac:dyDescent="0.25">
      <c r="A24" s="2" t="str">
        <f t="shared" ref="A24:A31" si="0">A5</f>
        <v>NYSE:ORCL</v>
      </c>
      <c r="B24" s="2"/>
      <c r="C24" s="2" t="str">
        <f t="shared" ref="C24:C31" si="1">C5</f>
        <v>Oracle Corporation</v>
      </c>
      <c r="D24" s="99">
        <f>'Detailed Comps'!EC7</f>
        <v>4.52712</v>
      </c>
      <c r="E24" s="99"/>
      <c r="F24" s="99">
        <f>'Detailed Comps'!EE7</f>
        <v>3.7880699999999998</v>
      </c>
      <c r="G24" s="99"/>
      <c r="H24" s="99">
        <f>'Detailed Comps'!EI7</f>
        <v>6.9338699999999998</v>
      </c>
      <c r="I24" s="99"/>
      <c r="J24" s="99">
        <f>'Detailed Comps'!EK7</f>
        <v>2.6403099999999999</v>
      </c>
      <c r="K24" s="32"/>
      <c r="L24" s="46">
        <f>'Detailed Comps'!EM7</f>
        <v>632.50099999999998</v>
      </c>
      <c r="M24" s="32"/>
      <c r="N24" s="46">
        <f>'Detailed Comps'!EO7</f>
        <v>86.348100000000002</v>
      </c>
      <c r="O24" s="32"/>
      <c r="P24" s="227">
        <f>'Detailed Comps'!BG7</f>
        <v>8.7825500000000005</v>
      </c>
      <c r="Q24" s="227"/>
      <c r="R24" s="227">
        <f>'Detailed Comps'!BI7</f>
        <v>8.0806703749187498</v>
      </c>
      <c r="S24" s="224"/>
      <c r="T24" s="227">
        <f>'Detailed Comps'!BO7</f>
        <v>20.315020000000001</v>
      </c>
      <c r="U24" s="227"/>
      <c r="V24" s="227">
        <f>'Detailed Comps'!BQ7</f>
        <v>15.490349999999999</v>
      </c>
      <c r="W24" s="224"/>
      <c r="X24" s="227">
        <f>'Detailed Comps'!BW7</f>
        <v>33.329320000000003</v>
      </c>
      <c r="Y24" s="227"/>
      <c r="Z24" s="227">
        <f>'Detailed Comps'!BY7</f>
        <v>22.86552</v>
      </c>
      <c r="AA24" s="2"/>
    </row>
    <row r="25" spans="1:27" x14ac:dyDescent="0.25">
      <c r="A25" s="2" t="str">
        <f t="shared" si="0"/>
        <v>NYSE:ACN</v>
      </c>
      <c r="B25" s="2"/>
      <c r="C25" s="2" t="str">
        <f t="shared" si="1"/>
        <v>Accenture plc</v>
      </c>
      <c r="D25" s="46">
        <f>'Detailed Comps'!EC8</f>
        <v>0.64968999999999999</v>
      </c>
      <c r="E25" s="46"/>
      <c r="F25" s="46" t="str">
        <f>'Detailed Comps'!EE8</f>
        <v>NM</v>
      </c>
      <c r="G25" s="46"/>
      <c r="H25" s="46">
        <f>'Detailed Comps'!EI8</f>
        <v>96.263480000000001</v>
      </c>
      <c r="I25" s="46"/>
      <c r="J25" s="46">
        <f>'Detailed Comps'!EK8</f>
        <v>91.13646</v>
      </c>
      <c r="K25" s="32"/>
      <c r="L25" s="46">
        <f>'Detailed Comps'!EM8</f>
        <v>26.7057</v>
      </c>
      <c r="M25" s="32"/>
      <c r="N25" s="46">
        <f>'Detailed Comps'!EO8</f>
        <v>21.077000000000002</v>
      </c>
      <c r="O25" s="32"/>
      <c r="P25" s="221">
        <f>'Detailed Comps'!BG8</f>
        <v>2.9277799999999998</v>
      </c>
      <c r="Q25" s="221"/>
      <c r="R25" s="221">
        <f>'Detailed Comps'!BI8</f>
        <v>2.8338104195808169</v>
      </c>
      <c r="S25" s="224"/>
      <c r="T25" s="221">
        <f>'Detailed Comps'!BO8</f>
        <v>15.863530000000001</v>
      </c>
      <c r="U25" s="221"/>
      <c r="V25" s="221">
        <f>'Detailed Comps'!BQ8</f>
        <v>14.94294</v>
      </c>
      <c r="W25" s="221"/>
      <c r="X25" s="221">
        <f>'Detailed Comps'!BW8</f>
        <v>25.877880000000001</v>
      </c>
      <c r="Y25" s="221"/>
      <c r="Z25" s="221">
        <f>'Detailed Comps'!BY8</f>
        <v>24.400639999999999</v>
      </c>
      <c r="AA25" s="2"/>
    </row>
    <row r="26" spans="1:27" x14ac:dyDescent="0.25">
      <c r="A26" s="2" t="str">
        <f t="shared" si="0"/>
        <v>NasdaqGS:CTSH</v>
      </c>
      <c r="B26" s="2"/>
      <c r="C26" s="2" t="str">
        <f t="shared" si="1"/>
        <v>Cognizant Technology Solutions Corporation</v>
      </c>
      <c r="D26" s="46">
        <f>'Detailed Comps'!EC9</f>
        <v>0.40122999999999998</v>
      </c>
      <c r="E26" s="46"/>
      <c r="F26" s="46" t="str">
        <f>'Detailed Comps'!EE9</f>
        <v>NM</v>
      </c>
      <c r="G26" s="46"/>
      <c r="H26" s="46">
        <f>'Detailed Comps'!EI9</f>
        <v>69.370369999999994</v>
      </c>
      <c r="I26" s="46"/>
      <c r="J26" s="46">
        <f>'Detailed Comps'!EK9</f>
        <v>63.870370000000001</v>
      </c>
      <c r="K26" s="32"/>
      <c r="L26" s="46">
        <f>'Detailed Comps'!EM9</f>
        <v>10.431699999999999</v>
      </c>
      <c r="M26" s="32"/>
      <c r="N26" s="46">
        <f>'Detailed Comps'!EO9</f>
        <v>9.4461999999999993</v>
      </c>
      <c r="O26" s="32"/>
      <c r="P26" s="221">
        <f>'Detailed Comps'!BG9</f>
        <v>1.87846</v>
      </c>
      <c r="Q26" s="221"/>
      <c r="R26" s="221">
        <f>'Detailed Comps'!BI9</f>
        <v>1.7982231579598391</v>
      </c>
      <c r="S26" s="224"/>
      <c r="T26" s="221">
        <f>'Detailed Comps'!BO9</f>
        <v>9.85731</v>
      </c>
      <c r="U26" s="221"/>
      <c r="V26" s="221">
        <f>'Detailed Comps'!BQ9</f>
        <v>9.7026299999999992</v>
      </c>
      <c r="W26" s="221"/>
      <c r="X26" s="221">
        <f>'Detailed Comps'!BW9</f>
        <v>16.951219999999999</v>
      </c>
      <c r="Y26" s="221"/>
      <c r="Z26" s="221">
        <f>'Detailed Comps'!BY9</f>
        <v>15.2882</v>
      </c>
      <c r="AA26" s="2"/>
    </row>
    <row r="27" spans="1:27" x14ac:dyDescent="0.25">
      <c r="A27" s="2" t="str">
        <f t="shared" si="0"/>
        <v>NYSE:CRM</v>
      </c>
      <c r="B27" s="2"/>
      <c r="C27" s="2" t="str">
        <f t="shared" si="1"/>
        <v>Salesforce, Inc.</v>
      </c>
      <c r="D27" s="46">
        <f>'Detailed Comps'!EC10</f>
        <v>1.0205500000000001</v>
      </c>
      <c r="E27" s="46"/>
      <c r="F27" s="46" t="str">
        <f>'Detailed Comps'!EE10</f>
        <v>NM</v>
      </c>
      <c r="G27" s="46"/>
      <c r="H27" s="46">
        <f>'Detailed Comps'!EI10</f>
        <v>39.42333</v>
      </c>
      <c r="I27" s="46"/>
      <c r="J27" s="46">
        <f>'Detailed Comps'!EK10</f>
        <v>37.229999999999997</v>
      </c>
      <c r="K27" s="32"/>
      <c r="L27" s="46">
        <f>'Detailed Comps'!EM10</f>
        <v>19.730899999999998</v>
      </c>
      <c r="M27" s="32"/>
      <c r="N27" s="46">
        <f>'Detailed Comps'!EO10</f>
        <v>16.479299999999999</v>
      </c>
      <c r="O27" s="32"/>
      <c r="P27" s="221">
        <f>'Detailed Comps'!BG10</f>
        <v>6.80037</v>
      </c>
      <c r="Q27" s="221"/>
      <c r="R27" s="221">
        <f>'Detailed Comps'!BI10</f>
        <v>6.3054539840495849</v>
      </c>
      <c r="S27" s="224"/>
      <c r="T27" s="221">
        <f>'Detailed Comps'!BO10</f>
        <v>21.78914</v>
      </c>
      <c r="U27" s="221"/>
      <c r="V27" s="221">
        <f>'Detailed Comps'!BQ10</f>
        <v>16.102209999999999</v>
      </c>
      <c r="W27" s="221"/>
      <c r="X27" s="221">
        <f>'Detailed Comps'!BW10</f>
        <v>42.484279999999998</v>
      </c>
      <c r="Y27" s="221"/>
      <c r="Z27" s="221">
        <f>'Detailed Comps'!BY10</f>
        <v>24.20149</v>
      </c>
      <c r="AA27" s="2"/>
    </row>
    <row r="28" spans="1:27" x14ac:dyDescent="0.25">
      <c r="A28" s="2" t="str">
        <f t="shared" si="0"/>
        <v>NYSE:HPE</v>
      </c>
      <c r="B28" s="2"/>
      <c r="C28" s="2" t="str">
        <f t="shared" si="1"/>
        <v>Hewlett Packard Enterprise Company</v>
      </c>
      <c r="D28" s="46">
        <f>'Detailed Comps'!EC11</f>
        <v>3.3875199999999999</v>
      </c>
      <c r="E28" s="46"/>
      <c r="F28" s="46">
        <f>'Detailed Comps'!EE11</f>
        <v>0.99583999999999995</v>
      </c>
      <c r="G28" s="46"/>
      <c r="H28" s="46">
        <f>'Detailed Comps'!EI11</f>
        <v>10.537850000000001</v>
      </c>
      <c r="I28" s="46"/>
      <c r="J28" s="46">
        <f>'Detailed Comps'!EK11</f>
        <v>6.0776899999999996</v>
      </c>
      <c r="K28" s="32"/>
      <c r="L28" s="46">
        <f>'Detailed Comps'!EM11</f>
        <v>70.880399999999995</v>
      </c>
      <c r="M28" s="32"/>
      <c r="N28" s="46">
        <f>'Detailed Comps'!EO11</f>
        <v>41.479500000000002</v>
      </c>
      <c r="O28" s="32"/>
      <c r="P28" s="221">
        <f>'Detailed Comps'!BG11</f>
        <v>0.82848999999999995</v>
      </c>
      <c r="Q28" s="221"/>
      <c r="R28" s="221">
        <f>'Detailed Comps'!BI11</f>
        <v>0.78145735699407559</v>
      </c>
      <c r="S28" s="224"/>
      <c r="T28" s="221">
        <f>'Detailed Comps'!BO11</f>
        <v>4.7837199999999998</v>
      </c>
      <c r="U28" s="221"/>
      <c r="V28" s="221">
        <f>'Detailed Comps'!BQ11</f>
        <v>4.9074499999999999</v>
      </c>
      <c r="W28" s="221"/>
      <c r="X28" s="221">
        <f>'Detailed Comps'!BW11</f>
        <v>7.5324400000000002</v>
      </c>
      <c r="Y28" s="221"/>
      <c r="Z28" s="221">
        <f>'Detailed Comps'!BY11</f>
        <v>8.6633800000000001</v>
      </c>
      <c r="AA28" s="2"/>
    </row>
    <row r="29" spans="1:27" x14ac:dyDescent="0.25">
      <c r="A29" s="2" t="str">
        <f t="shared" si="0"/>
        <v>NasdaqGS:MSFT</v>
      </c>
      <c r="B29" s="2"/>
      <c r="C29" s="2" t="str">
        <f t="shared" si="1"/>
        <v>Microsoft Corporation</v>
      </c>
      <c r="D29" s="46">
        <f>'Detailed Comps'!EC12</f>
        <v>0.70265</v>
      </c>
      <c r="E29" s="46"/>
      <c r="F29" s="46">
        <f>'Detailed Comps'!EE12</f>
        <v>0.21407999999999999</v>
      </c>
      <c r="G29" s="46"/>
      <c r="H29" s="46">
        <f>'Detailed Comps'!EI12</f>
        <v>53.805289999999999</v>
      </c>
      <c r="I29" s="46"/>
      <c r="J29" s="46">
        <f>'Detailed Comps'!EK12</f>
        <v>33.396769999999997</v>
      </c>
      <c r="K29" s="32"/>
      <c r="L29" s="46">
        <f>'Detailed Comps'!EM12</f>
        <v>33.997500000000002</v>
      </c>
      <c r="M29" s="32"/>
      <c r="N29" s="46">
        <f>'Detailed Comps'!EO12</f>
        <v>25.371700000000001</v>
      </c>
      <c r="O29" s="32"/>
      <c r="P29" s="221">
        <f>'Detailed Comps'!BG12</f>
        <v>10.97221</v>
      </c>
      <c r="Q29" s="221"/>
      <c r="R29" s="221">
        <f>'Detailed Comps'!BI12</f>
        <v>9.8011161926587764</v>
      </c>
      <c r="S29" s="224"/>
      <c r="T29" s="221">
        <f>'Detailed Comps'!BO12</f>
        <v>20.00423</v>
      </c>
      <c r="U29" s="221"/>
      <c r="V29" s="221">
        <f>'Detailed Comps'!BQ12</f>
        <v>17.84639</v>
      </c>
      <c r="W29" s="221"/>
      <c r="X29" s="221">
        <f>'Detailed Comps'!BW12</f>
        <v>30.797319999999999</v>
      </c>
      <c r="Y29" s="221"/>
      <c r="Z29" s="221">
        <f>'Detailed Comps'!BY12</f>
        <v>27.676680000000001</v>
      </c>
      <c r="AA29" s="2"/>
    </row>
    <row r="30" spans="1:27" x14ac:dyDescent="0.25">
      <c r="A30" s="2" t="str">
        <f t="shared" si="0"/>
        <v>NYSE:DXC</v>
      </c>
      <c r="B30" s="2"/>
      <c r="C30" s="2" t="str">
        <f t="shared" si="1"/>
        <v>DXC Technology Company</v>
      </c>
      <c r="D30" s="46">
        <f>'Detailed Comps'!EC13</f>
        <v>2.53864</v>
      </c>
      <c r="E30" s="46"/>
      <c r="F30" s="46">
        <f>'Detailed Comps'!EE13</f>
        <v>1.56684</v>
      </c>
      <c r="G30" s="46"/>
      <c r="H30" s="46">
        <f>'Detailed Comps'!EI13</f>
        <v>6.2650199999999998</v>
      </c>
      <c r="I30" s="46"/>
      <c r="J30" s="46">
        <f>'Detailed Comps'!EK13</f>
        <v>5.5265000000000004</v>
      </c>
      <c r="K30" s="32"/>
      <c r="L30" s="46">
        <f>'Detailed Comps'!EM13</f>
        <v>138.40710000000001</v>
      </c>
      <c r="M30" s="32"/>
      <c r="N30" s="46">
        <f>'Detailed Comps'!EO13</f>
        <v>58.054900000000004</v>
      </c>
      <c r="O30" s="32"/>
      <c r="P30" s="221">
        <f>'Detailed Comps'!BG13</f>
        <v>0.47214</v>
      </c>
      <c r="Q30" s="221"/>
      <c r="R30" s="221">
        <f>'Detailed Comps'!BI13</f>
        <v>0.49396183422693679</v>
      </c>
      <c r="S30" s="224"/>
      <c r="T30" s="221">
        <f>'Detailed Comps'!BO13</f>
        <v>3.4852699999999999</v>
      </c>
      <c r="U30" s="221"/>
      <c r="V30" s="221">
        <f>'Detailed Comps'!BQ13</f>
        <v>3.18153</v>
      </c>
      <c r="W30" s="221"/>
      <c r="X30" s="221" t="str">
        <f>'Detailed Comps'!BW13</f>
        <v>NM</v>
      </c>
      <c r="Y30" s="221"/>
      <c r="Z30" s="221">
        <f>'Detailed Comps'!BY13</f>
        <v>5.1391499999999999</v>
      </c>
      <c r="AA30" s="2"/>
    </row>
    <row r="31" spans="1:27" x14ac:dyDescent="0.25">
      <c r="A31" s="2" t="str">
        <f t="shared" si="0"/>
        <v>NasdaqGS:HON</v>
      </c>
      <c r="B31" s="2"/>
      <c r="C31" s="2" t="str">
        <f t="shared" si="1"/>
        <v>Honeywell International Inc.</v>
      </c>
      <c r="D31" s="46">
        <f>'Detailed Comps'!EC14</f>
        <v>3.28424</v>
      </c>
      <c r="E31" s="46"/>
      <c r="F31" s="46">
        <f>'Detailed Comps'!EE14</f>
        <v>2.1679599999999999</v>
      </c>
      <c r="G31" s="46"/>
      <c r="H31" s="46">
        <f>'Detailed Comps'!EI14</f>
        <v>9.2741000000000007</v>
      </c>
      <c r="I31" s="46"/>
      <c r="J31" s="46">
        <f>'Detailed Comps'!EK14</f>
        <v>8.1739099999999993</v>
      </c>
      <c r="K31" s="32"/>
      <c r="L31" s="46">
        <f>'Detailed Comps'!EM14</f>
        <v>168.18010000000001</v>
      </c>
      <c r="M31" s="32"/>
      <c r="N31" s="46">
        <f>'Detailed Comps'!EO14</f>
        <v>62.711599999999997</v>
      </c>
      <c r="O31" s="32"/>
      <c r="P31" s="221">
        <f>'Detailed Comps'!BG14</f>
        <v>4.1636800000000003</v>
      </c>
      <c r="Q31" s="221"/>
      <c r="R31" s="221">
        <f>'Detailed Comps'!BI14</f>
        <v>3.9654298163631121</v>
      </c>
      <c r="S31" s="224"/>
      <c r="T31" s="221">
        <f>'Detailed Comps'!BO14</f>
        <v>16.228960000000001</v>
      </c>
      <c r="U31" s="221"/>
      <c r="V31" s="221">
        <f>'Detailed Comps'!BQ14</f>
        <v>15.34022</v>
      </c>
      <c r="W31" s="221"/>
      <c r="X31" s="221">
        <f>'Detailed Comps'!BW14</f>
        <v>24.506309999999999</v>
      </c>
      <c r="Y31" s="221"/>
      <c r="Z31" s="221">
        <f>'Detailed Comps'!BY14</f>
        <v>20.630800000000001</v>
      </c>
      <c r="AA31" s="2"/>
    </row>
    <row r="32" spans="1:27" x14ac:dyDescent="0.25">
      <c r="A32" s="2"/>
      <c r="B32" s="2"/>
      <c r="C32" s="2"/>
      <c r="D32" s="99"/>
      <c r="E32" s="99"/>
      <c r="F32" s="99"/>
      <c r="G32" s="99"/>
      <c r="H32" s="99"/>
      <c r="I32" s="99"/>
      <c r="J32" s="99"/>
      <c r="K32" s="32"/>
      <c r="L32" s="156"/>
      <c r="M32" s="32"/>
      <c r="N32" s="156"/>
      <c r="O32" s="32"/>
      <c r="P32" s="99"/>
      <c r="Q32" s="99"/>
      <c r="R32" s="99"/>
      <c r="S32" s="32"/>
      <c r="T32" s="99"/>
      <c r="U32" s="99"/>
      <c r="V32" s="99"/>
      <c r="W32" s="32"/>
      <c r="X32" s="99"/>
      <c r="Y32" s="99"/>
      <c r="Z32" s="99"/>
      <c r="AA32" s="2"/>
    </row>
    <row r="33" spans="1:27" x14ac:dyDescent="0.25">
      <c r="A33" s="2"/>
      <c r="B33" s="2"/>
      <c r="C33" s="135" t="str">
        <f>C14</f>
        <v>Max</v>
      </c>
      <c r="D33" s="157">
        <f>+MAX(D24:D31)</f>
        <v>4.52712</v>
      </c>
      <c r="E33" s="157"/>
      <c r="F33" s="157">
        <f>+MAX(F24:F31)</f>
        <v>3.7880699999999998</v>
      </c>
      <c r="G33" s="157"/>
      <c r="H33" s="157">
        <f>+MAX(H24:H31)</f>
        <v>96.263480000000001</v>
      </c>
      <c r="I33" s="157"/>
      <c r="J33" s="157">
        <f>+MAX(J24:J31)</f>
        <v>91.13646</v>
      </c>
      <c r="K33" s="138"/>
      <c r="L33" s="139">
        <f>+MAX(L24:L31)</f>
        <v>632.50099999999998</v>
      </c>
      <c r="M33" s="138"/>
      <c r="N33" s="139">
        <f>+MAX(N24:N31)</f>
        <v>86.348100000000002</v>
      </c>
      <c r="O33" s="138"/>
      <c r="P33" s="157">
        <f>+MAX(P24:P31)</f>
        <v>10.97221</v>
      </c>
      <c r="Q33" s="157"/>
      <c r="R33" s="157">
        <f>+MAX(R24:R31)</f>
        <v>9.8011161926587764</v>
      </c>
      <c r="S33" s="138"/>
      <c r="T33" s="157">
        <f>+MAX(T24:T31)</f>
        <v>21.78914</v>
      </c>
      <c r="U33" s="157"/>
      <c r="V33" s="157">
        <f>+MAX(V24:V31)</f>
        <v>17.84639</v>
      </c>
      <c r="W33" s="138"/>
      <c r="X33" s="157">
        <f>+MAX(X24:X31)</f>
        <v>42.484279999999998</v>
      </c>
      <c r="Y33" s="157"/>
      <c r="Z33" s="158">
        <f>+MAX(Z24:Z31)</f>
        <v>27.676680000000001</v>
      </c>
      <c r="AA33" s="2"/>
    </row>
    <row r="34" spans="1:27" x14ac:dyDescent="0.25">
      <c r="A34" s="2"/>
      <c r="B34" s="2"/>
      <c r="C34" s="142" t="str">
        <f>C15</f>
        <v>Median</v>
      </c>
      <c r="D34" s="159">
        <f>MEDIAN(D24:D31)</f>
        <v>1.779595</v>
      </c>
      <c r="E34" s="159"/>
      <c r="F34" s="159">
        <f>MEDIAN(F24:F31)</f>
        <v>1.56684</v>
      </c>
      <c r="G34" s="159"/>
      <c r="H34" s="159">
        <f>MEDIAN(H24:H31)</f>
        <v>24.980589999999999</v>
      </c>
      <c r="I34" s="159"/>
      <c r="J34" s="159">
        <f>MEDIAN(J24:J31)</f>
        <v>20.785339999999998</v>
      </c>
      <c r="K34" s="145"/>
      <c r="L34" s="146">
        <f>MEDIAN(L24:L31)</f>
        <v>52.438949999999998</v>
      </c>
      <c r="M34" s="145"/>
      <c r="N34" s="146">
        <f>MEDIAN(N24:N31)</f>
        <v>33.425600000000003</v>
      </c>
      <c r="O34" s="145"/>
      <c r="P34" s="159">
        <f>MEDIAN(P24:P31)</f>
        <v>3.5457299999999998</v>
      </c>
      <c r="Q34" s="159"/>
      <c r="R34" s="159">
        <f>MEDIAN(R24:R31)</f>
        <v>3.3996201179719643</v>
      </c>
      <c r="S34" s="159"/>
      <c r="T34" s="159">
        <f>MEDIAN(T24:T31)</f>
        <v>16.046244999999999</v>
      </c>
      <c r="U34" s="159"/>
      <c r="V34" s="159">
        <f>MEDIAN(V24:V31)</f>
        <v>15.141580000000001</v>
      </c>
      <c r="W34" s="159"/>
      <c r="X34" s="159">
        <f>MEDIAN(X24:X31)</f>
        <v>25.877880000000001</v>
      </c>
      <c r="Y34" s="159"/>
      <c r="Z34" s="160">
        <f>MEDIAN(Z24:Z31)</f>
        <v>21.748159999999999</v>
      </c>
      <c r="AA34" s="2"/>
    </row>
    <row r="35" spans="1:27" x14ac:dyDescent="0.25">
      <c r="A35" s="2"/>
      <c r="B35" s="2"/>
      <c r="C35" s="142" t="str">
        <f>C16</f>
        <v>Min</v>
      </c>
      <c r="D35" s="159">
        <f>+MIN(D24:D31)</f>
        <v>0.40122999999999998</v>
      </c>
      <c r="E35" s="159"/>
      <c r="F35" s="159">
        <f>+MIN(F24:F31)</f>
        <v>0.21407999999999999</v>
      </c>
      <c r="G35" s="159"/>
      <c r="H35" s="159">
        <f>+MIN(H24:H31)</f>
        <v>6.2650199999999998</v>
      </c>
      <c r="I35" s="159"/>
      <c r="J35" s="159">
        <f>+MIN(J24:J31)</f>
        <v>2.6403099999999999</v>
      </c>
      <c r="K35" s="145"/>
      <c r="L35" s="146">
        <f>+MIN(L24:L31)</f>
        <v>10.431699999999999</v>
      </c>
      <c r="M35" s="145"/>
      <c r="N35" s="146">
        <f>+MIN(N24:N31)</f>
        <v>9.4461999999999993</v>
      </c>
      <c r="O35" s="145"/>
      <c r="P35" s="159">
        <f>+MIN(P24:P31)</f>
        <v>0.47214</v>
      </c>
      <c r="Q35" s="159"/>
      <c r="R35" s="159">
        <f>+MIN(R24:R31)</f>
        <v>0.49396183422693679</v>
      </c>
      <c r="S35" s="159"/>
      <c r="T35" s="159">
        <f>+MIN(T24:T31)</f>
        <v>3.4852699999999999</v>
      </c>
      <c r="U35" s="159"/>
      <c r="V35" s="159">
        <f>+MIN(V24:V31)</f>
        <v>3.18153</v>
      </c>
      <c r="W35" s="159"/>
      <c r="X35" s="159">
        <f>+MIN(X24:X31)</f>
        <v>7.5324400000000002</v>
      </c>
      <c r="Y35" s="159"/>
      <c r="Z35" s="160">
        <f>+MIN(Z24:Z31)</f>
        <v>5.1391499999999999</v>
      </c>
      <c r="AA35" s="2"/>
    </row>
    <row r="36" spans="1:27" x14ac:dyDescent="0.25">
      <c r="A36" s="2"/>
      <c r="B36" s="2"/>
      <c r="C36" s="149" t="str">
        <f>C17</f>
        <v>Mean</v>
      </c>
      <c r="D36" s="161">
        <f>AVERAGE(D24:D31)</f>
        <v>2.063955</v>
      </c>
      <c r="E36" s="161"/>
      <c r="F36" s="161">
        <f>AVERAGE(F24:F31)</f>
        <v>1.7465579999999998</v>
      </c>
      <c r="G36" s="161"/>
      <c r="H36" s="161">
        <f>AVERAGE(H24:H31)</f>
        <v>36.484163749999993</v>
      </c>
      <c r="I36" s="161"/>
      <c r="J36" s="161">
        <f>AVERAGE(J24:J31)</f>
        <v>31.006501249999999</v>
      </c>
      <c r="K36" s="151"/>
      <c r="L36" s="152">
        <f>AVERAGE(L24:L31)</f>
        <v>137.60429999999999</v>
      </c>
      <c r="M36" s="151"/>
      <c r="N36" s="152">
        <f>AVERAGE(N24:N31)</f>
        <v>40.1210375</v>
      </c>
      <c r="O36" s="151"/>
      <c r="P36" s="161">
        <f>AVERAGE(P24:P31)</f>
        <v>4.6032099999999998</v>
      </c>
      <c r="Q36" s="161"/>
      <c r="R36" s="161">
        <f>AVERAGE(R24:R31)</f>
        <v>4.2575153920939863</v>
      </c>
      <c r="S36" s="161"/>
      <c r="T36" s="161">
        <f>AVERAGE(T24:T31)</f>
        <v>14.040897500000002</v>
      </c>
      <c r="U36" s="161"/>
      <c r="V36" s="161">
        <f>AVERAGE(V24:V31)</f>
        <v>12.189214999999999</v>
      </c>
      <c r="W36" s="161"/>
      <c r="X36" s="161">
        <f>AVERAGE(X24:X31)</f>
        <v>25.925538571428572</v>
      </c>
      <c r="Y36" s="161"/>
      <c r="Z36" s="162">
        <f>AVERAGE(Z24:Z31)</f>
        <v>18.6082325</v>
      </c>
      <c r="AA36" s="2"/>
    </row>
    <row r="37" spans="1:27" x14ac:dyDescent="0.25">
      <c r="A37" s="2"/>
      <c r="B37" s="2"/>
      <c r="C37" s="2"/>
      <c r="D37" s="99"/>
      <c r="E37" s="99"/>
      <c r="F37" s="99"/>
      <c r="G37" s="99"/>
      <c r="H37" s="99"/>
      <c r="I37" s="99"/>
      <c r="J37" s="99"/>
      <c r="K37" s="32"/>
      <c r="L37" s="156"/>
      <c r="M37" s="32"/>
      <c r="N37" s="156"/>
      <c r="O37" s="32"/>
      <c r="P37" s="99"/>
      <c r="Q37" s="99"/>
      <c r="R37" s="99"/>
      <c r="S37" s="32"/>
      <c r="T37" s="99"/>
      <c r="U37" s="99"/>
      <c r="V37" s="99"/>
      <c r="W37" s="32"/>
      <c r="X37" s="99"/>
      <c r="Y37" s="99"/>
      <c r="Z37" s="99"/>
      <c r="AA37" s="2"/>
    </row>
    <row r="38" spans="1:27" x14ac:dyDescent="0.25">
      <c r="A38" s="185" t="str">
        <f>A19</f>
        <v>NYSE:IBM</v>
      </c>
      <c r="B38" s="186"/>
      <c r="C38" s="186" t="str">
        <f>C19</f>
        <v>International Business Machines Corporation</v>
      </c>
      <c r="D38" s="192">
        <f>'Detailed Comps'!EC21</f>
        <v>4.9694500000000001</v>
      </c>
      <c r="E38" s="192"/>
      <c r="F38" s="192">
        <f>'Detailed Comps'!EE21</f>
        <v>3.72777</v>
      </c>
      <c r="G38" s="192"/>
      <c r="H38" s="192">
        <f>'Detailed Comps'!EI21</f>
        <v>6.8639000000000001</v>
      </c>
      <c r="I38" s="192"/>
      <c r="J38" s="192">
        <f>'Detailed Comps'!EK21</f>
        <v>6.2517500000000004</v>
      </c>
      <c r="K38" s="188"/>
      <c r="L38" s="189">
        <f>'Detailed Comps'!EM21</f>
        <v>213.17850000000001</v>
      </c>
      <c r="M38" s="188"/>
      <c r="N38" s="189">
        <f>'Detailed Comps'!EO21</f>
        <v>68.069299999999998</v>
      </c>
      <c r="O38" s="188"/>
      <c r="P38" s="192">
        <f>'Detailed Comps'!BG21</f>
        <v>4.3985500000000002</v>
      </c>
      <c r="Q38" s="192"/>
      <c r="R38" s="192">
        <f>'Detailed Comps'!BI21</f>
        <v>4.2466103920301022</v>
      </c>
      <c r="S38" s="188"/>
      <c r="T38" s="192">
        <f>'Detailed Comps'!BO21</f>
        <v>23.489260000000002</v>
      </c>
      <c r="U38" s="192"/>
      <c r="V38" s="192">
        <f>'Detailed Comps'!BQ21</f>
        <v>16.109100000000002</v>
      </c>
      <c r="W38" s="188"/>
      <c r="X38" s="192">
        <f>'Detailed Comps'!BW21</f>
        <v>38.993780000000001</v>
      </c>
      <c r="Y38" s="192"/>
      <c r="Z38" s="193">
        <f>'Detailed Comps'!BY21</f>
        <v>23.35276</v>
      </c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14" t="str">
        <f>'Language Index'!A850</f>
        <v>3-Year Historical CAGR (%)</v>
      </c>
      <c r="E41" s="14"/>
      <c r="F41" s="14"/>
      <c r="G41" s="14"/>
      <c r="H41" s="14"/>
      <c r="I41" s="2"/>
      <c r="J41" s="14" t="str">
        <f>'Language Index'!A851</f>
        <v>LTM Margins (%)</v>
      </c>
      <c r="K41" s="14"/>
      <c r="L41" s="14"/>
      <c r="M41" s="2"/>
      <c r="N41" s="14" t="str">
        <f>'Language Index'!A852</f>
        <v>Liquidity Ratios</v>
      </c>
      <c r="O41" s="14"/>
      <c r="P41" s="14"/>
      <c r="Q41" s="2"/>
      <c r="R41" s="14" t="str">
        <f>'Language Index'!A853</f>
        <v>LTM Activity</v>
      </c>
      <c r="S41" s="14"/>
      <c r="T41" s="14"/>
      <c r="U41" s="14"/>
      <c r="V41" s="14"/>
      <c r="W41" s="2"/>
      <c r="X41" s="14" t="str">
        <f>'Language Index'!A818</f>
        <v>LTM Profitability (%)</v>
      </c>
      <c r="Y41" s="14"/>
      <c r="Z41" s="14"/>
      <c r="AA41" s="2"/>
    </row>
    <row r="42" spans="1:27" x14ac:dyDescent="0.25">
      <c r="A42" s="131" t="str">
        <f>'Language Index'!A8</f>
        <v>Ticker</v>
      </c>
      <c r="B42" s="2"/>
      <c r="C42" s="79" t="str">
        <f>'Language Index'!A849</f>
        <v>Operating Statistics</v>
      </c>
      <c r="D42" s="132" t="str">
        <f>'Language Index'!A854</f>
        <v>Revenue</v>
      </c>
      <c r="E42" s="2"/>
      <c r="F42" s="132" t="str">
        <f>'Language Index'!A105</f>
        <v>EBITDA</v>
      </c>
      <c r="G42" s="2"/>
      <c r="H42" s="132" t="str">
        <f>'Language Index'!A806</f>
        <v>EPS</v>
      </c>
      <c r="I42" s="2"/>
      <c r="J42" s="132" t="str">
        <f>'Language Index'!A105</f>
        <v>EBITDA</v>
      </c>
      <c r="K42" s="2"/>
      <c r="L42" s="132" t="str">
        <f>'Language Index'!A213</f>
        <v>Net Income</v>
      </c>
      <c r="M42" s="2"/>
      <c r="N42" s="132" t="str">
        <f>'Language Index'!A823</f>
        <v>Quick</v>
      </c>
      <c r="O42" s="2"/>
      <c r="P42" s="132" t="str">
        <f>'Language Index'!A27</f>
        <v>Current</v>
      </c>
      <c r="Q42" s="2"/>
      <c r="R42" s="132" t="str">
        <f>'Language Index'!A855</f>
        <v>DSO</v>
      </c>
      <c r="S42" s="2"/>
      <c r="T42" s="132" t="str">
        <f>'Language Index'!A856</f>
        <v>DPO</v>
      </c>
      <c r="U42" s="2"/>
      <c r="V42" s="132" t="str">
        <f>'Language Index'!A857</f>
        <v>DIO</v>
      </c>
      <c r="W42" s="2"/>
      <c r="X42" s="132" t="str">
        <f>'Language Index'!A819</f>
        <v>ROE</v>
      </c>
      <c r="Y42" s="2"/>
      <c r="Z42" s="132" t="str">
        <f>'Language Index'!A821</f>
        <v>ROIC</v>
      </c>
      <c r="AA42" s="2"/>
    </row>
    <row r="43" spans="1:27" x14ac:dyDescent="0.25">
      <c r="A43" s="2" t="str">
        <f t="shared" ref="A43:A50" si="2">A24</f>
        <v>NYSE:ORCL</v>
      </c>
      <c r="B43" s="2"/>
      <c r="C43" s="2" t="str">
        <f t="shared" ref="C43:C50" si="3">C24</f>
        <v>Oracle Corporation</v>
      </c>
      <c r="D43" s="46">
        <f>'Detailed Comps'!DG7</f>
        <v>10.0732</v>
      </c>
      <c r="E43" s="29"/>
      <c r="F43" s="46">
        <f>'Detailed Comps'!DO7</f>
        <v>7.5923999999999996</v>
      </c>
      <c r="G43" s="29"/>
      <c r="H43" s="46">
        <f>'Detailed Comps'!DW7</f>
        <v>16.933800000000002</v>
      </c>
      <c r="I43" s="2"/>
      <c r="J43" s="101">
        <f>'Detailed Comps'!CU7</f>
        <v>41.080599999999997</v>
      </c>
      <c r="K43" s="29"/>
      <c r="L43" s="101">
        <f>'Detailed Comps'!DC7</f>
        <v>21.7987</v>
      </c>
      <c r="M43" s="2"/>
      <c r="N43" s="99">
        <f>'Detailed Comps'!EY7</f>
        <v>0.87343999999999999</v>
      </c>
      <c r="O43" s="163"/>
      <c r="P43" s="99">
        <f>'Detailed Comps'!EW7</f>
        <v>1.01664</v>
      </c>
      <c r="Q43" s="2"/>
      <c r="R43" s="164">
        <f>'Detailed Comps'!FA7</f>
        <v>50.212319999999998</v>
      </c>
      <c r="S43" s="164"/>
      <c r="T43" s="164">
        <f>'Detailed Comps'!FE7</f>
        <v>46.230899999999998</v>
      </c>
      <c r="U43" s="164"/>
      <c r="V43" s="164">
        <f>'Detailed Comps'!FC7</f>
        <v>0</v>
      </c>
      <c r="W43" s="2"/>
      <c r="X43" s="46">
        <f>'Detailed Comps'!EQ7</f>
        <v>103.7409</v>
      </c>
      <c r="Y43" s="29"/>
      <c r="Z43" s="46">
        <f>'Detailed Comps'!EU7</f>
        <v>6.9973000000000001</v>
      </c>
      <c r="AA43" s="2"/>
    </row>
    <row r="44" spans="1:27" x14ac:dyDescent="0.25">
      <c r="A44" s="2" t="str">
        <f t="shared" si="2"/>
        <v>NYSE:ACN</v>
      </c>
      <c r="B44" s="2"/>
      <c r="C44" s="2" t="str">
        <f t="shared" si="3"/>
        <v>Accenture plc</v>
      </c>
      <c r="D44" s="46">
        <f>'Detailed Comps'!DG8</f>
        <v>5.8411999999999997</v>
      </c>
      <c r="E44" s="29"/>
      <c r="F44" s="46">
        <f>'Detailed Comps'!DO8</f>
        <v>6.4481000000000002</v>
      </c>
      <c r="G44" s="29"/>
      <c r="H44" s="46">
        <f>'Detailed Comps'!DW8</f>
        <v>6.8869999999999996</v>
      </c>
      <c r="I44" s="165"/>
      <c r="J44" s="101">
        <f>'Detailed Comps'!CU8</f>
        <v>17.066700000000001</v>
      </c>
      <c r="K44" s="165"/>
      <c r="L44" s="101">
        <f>'Detailed Comps'!DC8</f>
        <v>11.43</v>
      </c>
      <c r="M44" s="2"/>
      <c r="N44" s="166">
        <f>'Detailed Comps'!EY8</f>
        <v>1.32962</v>
      </c>
      <c r="O44" s="2"/>
      <c r="P44" s="164">
        <f>'Detailed Comps'!EW8</f>
        <v>1.47736</v>
      </c>
      <c r="Q44" s="2"/>
      <c r="R44" s="164">
        <f>'Detailed Comps'!FA8</f>
        <v>74.284440000000004</v>
      </c>
      <c r="S44" s="164"/>
      <c r="T44" s="164">
        <f>'Detailed Comps'!FE8</f>
        <v>19.3888</v>
      </c>
      <c r="U44" s="164"/>
      <c r="V44" s="164">
        <f>'Detailed Comps'!FC8</f>
        <v>0</v>
      </c>
      <c r="W44" s="2"/>
      <c r="X44" s="46">
        <f>'Detailed Comps'!EQ8</f>
        <v>26.965399999999999</v>
      </c>
      <c r="Y44" s="29"/>
      <c r="Z44" s="46">
        <f>'Detailed Comps'!EU8</f>
        <v>12.149800000000001</v>
      </c>
      <c r="AA44" s="2"/>
    </row>
    <row r="45" spans="1:27" x14ac:dyDescent="0.25">
      <c r="A45" s="2" t="str">
        <f t="shared" si="2"/>
        <v>NasdaqGS:CTSH</v>
      </c>
      <c r="B45" s="2"/>
      <c r="C45" s="2" t="str">
        <f t="shared" si="3"/>
        <v>Cognizant Technology Solutions Corporation</v>
      </c>
      <c r="D45" s="46">
        <f>'Detailed Comps'!DG9</f>
        <v>2.1663000000000001</v>
      </c>
      <c r="E45" s="29"/>
      <c r="F45" s="46">
        <f>'Detailed Comps'!DO9</f>
        <v>1.4826999999999999</v>
      </c>
      <c r="G45" s="29"/>
      <c r="H45" s="46">
        <f>'Detailed Comps'!DW9</f>
        <v>3.6511</v>
      </c>
      <c r="I45" s="165"/>
      <c r="J45" s="101">
        <f>'Detailed Comps'!CU9</f>
        <v>17.830300000000001</v>
      </c>
      <c r="K45" s="165"/>
      <c r="L45" s="101">
        <f>'Detailed Comps'!DC9</f>
        <v>11.3498</v>
      </c>
      <c r="M45" s="2"/>
      <c r="N45" s="166">
        <f>'Detailed Comps'!EY9</f>
        <v>1.7578800000000001</v>
      </c>
      <c r="O45" s="2"/>
      <c r="P45" s="164">
        <f>'Detailed Comps'!EW9</f>
        <v>2.0931700000000002</v>
      </c>
      <c r="Q45" s="2"/>
      <c r="R45" s="164">
        <f>'Detailed Comps'!FA9</f>
        <v>73.325900000000004</v>
      </c>
      <c r="S45" s="164"/>
      <c r="T45" s="164">
        <f>'Detailed Comps'!FE9</f>
        <v>9.5606500000000008</v>
      </c>
      <c r="U45" s="164"/>
      <c r="V45" s="164">
        <f>'Detailed Comps'!FC9</f>
        <v>0</v>
      </c>
      <c r="W45" s="2"/>
      <c r="X45" s="46">
        <f>'Detailed Comps'!EQ9</f>
        <v>16.211300000000001</v>
      </c>
      <c r="Y45" s="29"/>
      <c r="Z45" s="46">
        <f>'Detailed Comps'!EU9</f>
        <v>10.7622</v>
      </c>
      <c r="AA45" s="2"/>
    </row>
    <row r="46" spans="1:27" x14ac:dyDescent="0.25">
      <c r="A46" s="2" t="str">
        <f t="shared" si="2"/>
        <v>NYSE:CRM</v>
      </c>
      <c r="B46" s="2"/>
      <c r="C46" s="2" t="str">
        <f t="shared" si="3"/>
        <v>Salesforce, Inc.</v>
      </c>
      <c r="D46" s="46">
        <f>'Detailed Comps'!DG10</f>
        <v>12.6736</v>
      </c>
      <c r="E46" s="29"/>
      <c r="F46" s="46">
        <f>'Detailed Comps'!DO10</f>
        <v>42.56</v>
      </c>
      <c r="G46" s="29"/>
      <c r="H46" s="46">
        <f>'Detailed Comps'!DW10</f>
        <v>62.579300000000003</v>
      </c>
      <c r="I46" s="165"/>
      <c r="J46" s="101">
        <f>'Detailed Comps'!CU10</f>
        <v>29.404900000000001</v>
      </c>
      <c r="K46" s="165"/>
      <c r="L46" s="101">
        <f>'Detailed Comps'!DC10</f>
        <v>16.353000000000002</v>
      </c>
      <c r="M46" s="2"/>
      <c r="N46" s="166">
        <f>'Detailed Comps'!EY10</f>
        <v>0.92840999999999996</v>
      </c>
      <c r="O46" s="2"/>
      <c r="P46" s="164">
        <f>'Detailed Comps'!EW10</f>
        <v>1.0624400000000001</v>
      </c>
      <c r="Q46" s="2"/>
      <c r="R46" s="164">
        <f>'Detailed Comps'!FA10</f>
        <v>112.8034</v>
      </c>
      <c r="S46" s="164"/>
      <c r="T46" s="164">
        <f>'Detailed Comps'!FE10</f>
        <v>134.19573</v>
      </c>
      <c r="U46" s="164"/>
      <c r="V46" s="164">
        <f>'Detailed Comps'!FC10</f>
        <v>0</v>
      </c>
      <c r="W46" s="2"/>
      <c r="X46" s="46">
        <f>'Detailed Comps'!EQ10</f>
        <v>10.2583</v>
      </c>
      <c r="Y46" s="29"/>
      <c r="Z46" s="46">
        <f>'Detailed Comps'!EU10</f>
        <v>6.3639000000000001</v>
      </c>
      <c r="AA46" s="2"/>
    </row>
    <row r="47" spans="1:27" x14ac:dyDescent="0.25">
      <c r="A47" s="2" t="str">
        <f t="shared" si="2"/>
        <v>NYSE:HPE</v>
      </c>
      <c r="B47" s="2"/>
      <c r="C47" s="2" t="str">
        <f t="shared" si="3"/>
        <v>Hewlett Packard Enterprise Company</v>
      </c>
      <c r="D47" s="46">
        <f>'Detailed Comps'!DG11</f>
        <v>3.8106</v>
      </c>
      <c r="E47" s="29"/>
      <c r="F47" s="46">
        <f>'Detailed Comps'!DO11</f>
        <v>1.5357000000000001</v>
      </c>
      <c r="G47" s="29"/>
      <c r="H47" s="46">
        <f>'Detailed Comps'!DW11</f>
        <v>-9.4344999999999999</v>
      </c>
      <c r="I47" s="165"/>
      <c r="J47" s="101">
        <f>'Detailed Comps'!CU11</f>
        <v>16.194800000000001</v>
      </c>
      <c r="K47" s="165"/>
      <c r="L47" s="101">
        <f>'Detailed Comps'!DC11</f>
        <v>9.0276999999999994</v>
      </c>
      <c r="M47" s="2"/>
      <c r="N47" s="166">
        <f>'Detailed Comps'!EY11</f>
        <v>0.82926</v>
      </c>
      <c r="O47" s="2"/>
      <c r="P47" s="164">
        <f>'Detailed Comps'!EW11</f>
        <v>1.3255699999999999</v>
      </c>
      <c r="Q47" s="2"/>
      <c r="R47" s="164">
        <f>'Detailed Comps'!FA11</f>
        <v>43.346110000000003</v>
      </c>
      <c r="S47" s="164"/>
      <c r="T47" s="164">
        <f>'Detailed Comps'!FE11</f>
        <v>146.89189999999999</v>
      </c>
      <c r="U47" s="164"/>
      <c r="V47" s="164">
        <f>'Detailed Comps'!FC11</f>
        <v>127.55831999999999</v>
      </c>
      <c r="W47" s="2"/>
      <c r="X47" s="46">
        <f>'Detailed Comps'!EQ11</f>
        <v>12.059799999999999</v>
      </c>
      <c r="Y47" s="29"/>
      <c r="Z47" s="46">
        <f>'Detailed Comps'!EU11</f>
        <v>5.4555999999999996</v>
      </c>
      <c r="AA47" s="2"/>
    </row>
    <row r="48" spans="1:27" x14ac:dyDescent="0.25">
      <c r="A48" s="2" t="str">
        <f t="shared" si="2"/>
        <v>NasdaqGS:MSFT</v>
      </c>
      <c r="B48" s="2"/>
      <c r="C48" s="2" t="str">
        <f t="shared" si="3"/>
        <v>Microsoft Corporation</v>
      </c>
      <c r="D48" s="46">
        <f>'Detailed Comps'!DG12</f>
        <v>12.2905</v>
      </c>
      <c r="E48" s="29"/>
      <c r="F48" s="46">
        <f>'Detailed Comps'!DO12</f>
        <v>16.072199999999999</v>
      </c>
      <c r="G48" s="29"/>
      <c r="H48" s="46">
        <f>'Detailed Comps'!DW12</f>
        <v>9.7441999999999993</v>
      </c>
      <c r="I48" s="165"/>
      <c r="J48" s="101">
        <f>'Detailed Comps'!CU12</f>
        <v>54.255099999999999</v>
      </c>
      <c r="K48" s="165"/>
      <c r="L48" s="101">
        <f>'Detailed Comps'!DC12</f>
        <v>35.427500000000002</v>
      </c>
      <c r="M48" s="2"/>
      <c r="N48" s="166">
        <f>'Detailed Comps'!EY12</f>
        <v>1.20445</v>
      </c>
      <c r="O48" s="2"/>
      <c r="P48" s="164">
        <f>'Detailed Comps'!EW12</f>
        <v>1.3508199999999999</v>
      </c>
      <c r="Q48" s="2"/>
      <c r="R48" s="164">
        <f>'Detailed Comps'!FA12</f>
        <v>63.622149999999998</v>
      </c>
      <c r="S48" s="164"/>
      <c r="T48" s="164">
        <f>'Detailed Comps'!FE12</f>
        <v>92.911659999999998</v>
      </c>
      <c r="U48" s="164"/>
      <c r="V48" s="164">
        <f>'Detailed Comps'!FC12</f>
        <v>5.7670599999999999</v>
      </c>
      <c r="W48" s="2"/>
      <c r="X48" s="46">
        <f>'Detailed Comps'!EQ12</f>
        <v>34.290700000000001</v>
      </c>
      <c r="Y48" s="29"/>
      <c r="Z48" s="46">
        <f>'Detailed Comps'!EU12</f>
        <v>18.500299999999999</v>
      </c>
      <c r="AA48" s="2"/>
    </row>
    <row r="49" spans="1:27" x14ac:dyDescent="0.25">
      <c r="A49" s="2" t="str">
        <f t="shared" si="2"/>
        <v>NYSE:DXC</v>
      </c>
      <c r="B49" s="2"/>
      <c r="C49" s="2" t="str">
        <f t="shared" si="3"/>
        <v>DXC Technology Company</v>
      </c>
      <c r="D49" s="46">
        <f>'Detailed Comps'!DG13</f>
        <v>-7.6955999999999998</v>
      </c>
      <c r="E49" s="29"/>
      <c r="F49" s="46">
        <f>'Detailed Comps'!DO13</f>
        <v>-9.2576999999999998</v>
      </c>
      <c r="G49" s="29"/>
      <c r="H49" s="46" t="str">
        <f>'Detailed Comps'!DW13</f>
        <v>NM</v>
      </c>
      <c r="I49" s="165"/>
      <c r="J49" s="101">
        <f>'Detailed Comps'!CU13</f>
        <v>10.6586</v>
      </c>
      <c r="K49" s="165"/>
      <c r="L49" s="101">
        <f>'Detailed Comps'!DC13</f>
        <v>-0.57299999999999995</v>
      </c>
      <c r="M49" s="2"/>
      <c r="N49" s="166">
        <f>'Detailed Comps'!EY13</f>
        <v>1.1832100000000001</v>
      </c>
      <c r="O49" s="2"/>
      <c r="P49" s="164">
        <f>'Detailed Comps'!EW13</f>
        <v>1.3397600000000001</v>
      </c>
      <c r="Q49" s="2"/>
      <c r="R49" s="164">
        <f>'Detailed Comps'!FA13</f>
        <v>64.961340000000007</v>
      </c>
      <c r="S49" s="164"/>
      <c r="T49" s="164">
        <f>'Detailed Comps'!FE13</f>
        <v>26.360779999999998</v>
      </c>
      <c r="U49" s="164"/>
      <c r="V49" s="164">
        <f>'Detailed Comps'!FC13</f>
        <v>0</v>
      </c>
      <c r="W49" s="2"/>
      <c r="X49" s="46">
        <f>'Detailed Comps'!EQ13</f>
        <v>-1.8735999999999999</v>
      </c>
      <c r="Y49" s="29"/>
      <c r="Z49" s="46">
        <f>'Detailed Comps'!EU13</f>
        <v>-0.90920000000000001</v>
      </c>
      <c r="AA49" s="2"/>
    </row>
    <row r="50" spans="1:27" x14ac:dyDescent="0.25">
      <c r="A50" s="2" t="str">
        <f t="shared" si="2"/>
        <v>NasdaqGS:HON</v>
      </c>
      <c r="B50" s="2"/>
      <c r="C50" s="2" t="str">
        <f t="shared" si="3"/>
        <v>Honeywell International Inc.</v>
      </c>
      <c r="D50" s="46">
        <f>'Detailed Comps'!DG14</f>
        <v>3.831</v>
      </c>
      <c r="E50" s="29"/>
      <c r="F50" s="46">
        <f>'Detailed Comps'!DO14</f>
        <v>3.1214</v>
      </c>
      <c r="G50" s="29"/>
      <c r="H50" s="46">
        <f>'Detailed Comps'!DW14</f>
        <v>3.2635999999999998</v>
      </c>
      <c r="I50" s="165"/>
      <c r="J50" s="101">
        <f>'Detailed Comps'!CU14</f>
        <v>24.770099999999999</v>
      </c>
      <c r="K50" s="165"/>
      <c r="L50" s="101">
        <f>'Detailed Comps'!DC14</f>
        <v>14.818899999999999</v>
      </c>
      <c r="M50" s="2"/>
      <c r="N50" s="166">
        <f>'Detailed Comps'!EY14</f>
        <v>0.89061999999999997</v>
      </c>
      <c r="O50" s="2"/>
      <c r="P50" s="164">
        <f>'Detailed Comps'!EW14</f>
        <v>1.3129500000000001</v>
      </c>
      <c r="Q50" s="2"/>
      <c r="R50" s="164">
        <f>'Detailed Comps'!FA14</f>
        <v>72.961370000000002</v>
      </c>
      <c r="S50" s="164"/>
      <c r="T50" s="164">
        <f>'Detailed Comps'!FE14</f>
        <v>104.24924</v>
      </c>
      <c r="U50" s="164"/>
      <c r="V50" s="164">
        <f>'Detailed Comps'!FC14</f>
        <v>96.889349999999993</v>
      </c>
      <c r="W50" s="2"/>
      <c r="X50" s="46">
        <f>'Detailed Comps'!EQ14</f>
        <v>32.2453</v>
      </c>
      <c r="Y50" s="29"/>
      <c r="Z50" s="46">
        <f>'Detailed Comps'!EU14</f>
        <v>6.2732000000000001</v>
      </c>
      <c r="AA50" s="2"/>
    </row>
    <row r="51" spans="1:27" x14ac:dyDescent="0.25">
      <c r="A51" s="2"/>
      <c r="B51" s="2"/>
      <c r="C51" s="2"/>
      <c r="D51" s="156"/>
      <c r="E51" s="2"/>
      <c r="F51" s="156"/>
      <c r="G51" s="2"/>
      <c r="H51" s="156"/>
      <c r="I51" s="2"/>
      <c r="J51" s="156"/>
      <c r="K51" s="2"/>
      <c r="L51" s="156"/>
      <c r="M51" s="2"/>
      <c r="N51" s="2"/>
      <c r="O51" s="2"/>
      <c r="P51" s="2"/>
      <c r="Q51" s="2"/>
      <c r="R51" s="164"/>
      <c r="S51" s="164"/>
      <c r="T51" s="164"/>
      <c r="U51" s="164"/>
      <c r="V51" s="164"/>
      <c r="W51" s="2"/>
      <c r="X51" s="156"/>
      <c r="Y51" s="2"/>
      <c r="Z51" s="156"/>
      <c r="AA51" s="2"/>
    </row>
    <row r="52" spans="1:27" x14ac:dyDescent="0.25">
      <c r="A52" s="2"/>
      <c r="B52" s="2"/>
      <c r="C52" s="135" t="str">
        <f>C33</f>
        <v>Max</v>
      </c>
      <c r="D52" s="139">
        <f>+MAX(D43:D50)</f>
        <v>12.6736</v>
      </c>
      <c r="E52" s="139"/>
      <c r="F52" s="139">
        <f>+MAX(F43:F50)</f>
        <v>42.56</v>
      </c>
      <c r="G52" s="139"/>
      <c r="H52" s="139">
        <f>+MAX(H43:H50)</f>
        <v>62.579300000000003</v>
      </c>
      <c r="I52" s="136"/>
      <c r="J52" s="139">
        <f>+MAX(J43:J50)</f>
        <v>54.255099999999999</v>
      </c>
      <c r="K52" s="167"/>
      <c r="L52" s="139">
        <f>+MAX(L43:L50)</f>
        <v>35.427500000000002</v>
      </c>
      <c r="M52" s="136"/>
      <c r="N52" s="157">
        <f>+MAX(N43:N50)</f>
        <v>1.7578800000000001</v>
      </c>
      <c r="O52" s="157"/>
      <c r="P52" s="157">
        <f>+MAX(P43:P50)</f>
        <v>2.0931700000000002</v>
      </c>
      <c r="Q52" s="136"/>
      <c r="R52" s="168">
        <f>+MAX(R43:R50)</f>
        <v>112.8034</v>
      </c>
      <c r="S52" s="168"/>
      <c r="T52" s="168">
        <f>+MAX(T43:T50)</f>
        <v>146.89189999999999</v>
      </c>
      <c r="U52" s="168"/>
      <c r="V52" s="168">
        <f>+MAX(V43:V50)</f>
        <v>127.55831999999999</v>
      </c>
      <c r="W52" s="136"/>
      <c r="X52" s="139">
        <f>+MAX(X43:X50)</f>
        <v>103.7409</v>
      </c>
      <c r="Y52" s="167"/>
      <c r="Z52" s="169">
        <f>+MAX(Z43:Z50)</f>
        <v>18.500299999999999</v>
      </c>
      <c r="AA52" s="2"/>
    </row>
    <row r="53" spans="1:27" x14ac:dyDescent="0.25">
      <c r="A53" s="2"/>
      <c r="B53" s="2"/>
      <c r="C53" s="142" t="str">
        <f>C34</f>
        <v>Median</v>
      </c>
      <c r="D53" s="146">
        <f>MEDIAN(D43:D50)</f>
        <v>4.8361000000000001</v>
      </c>
      <c r="E53" s="146"/>
      <c r="F53" s="146">
        <f>MEDIAN(F43:F50)</f>
        <v>4.7847499999999998</v>
      </c>
      <c r="G53" s="146"/>
      <c r="H53" s="146">
        <f>MEDIAN(H43:H50)</f>
        <v>6.8869999999999996</v>
      </c>
      <c r="I53" s="143"/>
      <c r="J53" s="146">
        <f>MEDIAN(J43:J50)</f>
        <v>21.3002</v>
      </c>
      <c r="K53" s="170"/>
      <c r="L53" s="146">
        <f>MEDIAN(L43:L50)</f>
        <v>13.12445</v>
      </c>
      <c r="M53" s="143"/>
      <c r="N53" s="159">
        <f>MEDIAN(N43:N50)</f>
        <v>1.0558100000000001</v>
      </c>
      <c r="O53" s="159"/>
      <c r="P53" s="159">
        <f>MEDIAN(P43:P50)</f>
        <v>1.332665</v>
      </c>
      <c r="Q53" s="143"/>
      <c r="R53" s="171">
        <f>MEDIAN(R43:R50)</f>
        <v>68.961354999999998</v>
      </c>
      <c r="S53" s="171"/>
      <c r="T53" s="171">
        <f>MEDIAN(T43:T50)</f>
        <v>69.571280000000002</v>
      </c>
      <c r="U53" s="171"/>
      <c r="V53" s="171">
        <f>MEDIAN(V43:V50)</f>
        <v>0</v>
      </c>
      <c r="W53" s="143"/>
      <c r="X53" s="146">
        <f>MEDIAN(X43:X50)</f>
        <v>21.588349999999998</v>
      </c>
      <c r="Y53" s="170"/>
      <c r="Z53" s="172">
        <f>MEDIAN(Z43:Z50)</f>
        <v>6.6806000000000001</v>
      </c>
      <c r="AA53" s="2"/>
    </row>
    <row r="54" spans="1:27" x14ac:dyDescent="0.25">
      <c r="A54" s="2"/>
      <c r="B54" s="2"/>
      <c r="C54" s="142" t="str">
        <f>C35</f>
        <v>Min</v>
      </c>
      <c r="D54" s="146">
        <f>+MIN(D43:D50)</f>
        <v>-7.6955999999999998</v>
      </c>
      <c r="E54" s="146"/>
      <c r="F54" s="146">
        <f t="shared" ref="F54:Z54" si="4">+MIN(F43:F50)</f>
        <v>-9.2576999999999998</v>
      </c>
      <c r="G54" s="146"/>
      <c r="H54" s="146">
        <f t="shared" si="4"/>
        <v>-9.4344999999999999</v>
      </c>
      <c r="I54" s="146"/>
      <c r="J54" s="146">
        <f t="shared" si="4"/>
        <v>10.6586</v>
      </c>
      <c r="K54" s="146"/>
      <c r="L54" s="146">
        <f t="shared" si="4"/>
        <v>-0.57299999999999995</v>
      </c>
      <c r="M54" s="146"/>
      <c r="N54" s="159">
        <f t="shared" si="4"/>
        <v>0.82926</v>
      </c>
      <c r="O54" s="146"/>
      <c r="P54" s="159">
        <f t="shared" si="4"/>
        <v>1.01664</v>
      </c>
      <c r="Q54" s="146"/>
      <c r="R54" s="171">
        <f t="shared" si="4"/>
        <v>43.346110000000003</v>
      </c>
      <c r="S54" s="146"/>
      <c r="T54" s="171">
        <f t="shared" si="4"/>
        <v>9.5606500000000008</v>
      </c>
      <c r="U54" s="146"/>
      <c r="V54" s="171">
        <f t="shared" si="4"/>
        <v>0</v>
      </c>
      <c r="W54" s="146"/>
      <c r="X54" s="146">
        <f t="shared" si="4"/>
        <v>-1.8735999999999999</v>
      </c>
      <c r="Y54" s="146"/>
      <c r="Z54" s="172">
        <f t="shared" si="4"/>
        <v>-0.90920000000000001</v>
      </c>
      <c r="AA54" s="2"/>
    </row>
    <row r="55" spans="1:27" x14ac:dyDescent="0.25">
      <c r="A55" s="2"/>
      <c r="B55" s="2"/>
      <c r="C55" s="149" t="str">
        <f>C36</f>
        <v>Mean</v>
      </c>
      <c r="D55" s="152">
        <f>AVERAGE(D43:D50)</f>
        <v>5.3738500000000009</v>
      </c>
      <c r="E55" s="152"/>
      <c r="F55" s="152">
        <f t="shared" ref="F55:Z55" si="5">AVERAGE(F43:F50)</f>
        <v>8.69435</v>
      </c>
      <c r="G55" s="152"/>
      <c r="H55" s="152">
        <f t="shared" si="5"/>
        <v>13.374928571428573</v>
      </c>
      <c r="I55" s="152"/>
      <c r="J55" s="152">
        <f t="shared" si="5"/>
        <v>26.4076375</v>
      </c>
      <c r="K55" s="152"/>
      <c r="L55" s="152">
        <f t="shared" si="5"/>
        <v>14.954075000000003</v>
      </c>
      <c r="M55" s="152"/>
      <c r="N55" s="161">
        <f t="shared" si="5"/>
        <v>1.1246112500000001</v>
      </c>
      <c r="O55" s="152"/>
      <c r="P55" s="161">
        <f t="shared" si="5"/>
        <v>1.3723387500000002</v>
      </c>
      <c r="Q55" s="152"/>
      <c r="R55" s="173">
        <f t="shared" si="5"/>
        <v>69.439628749999997</v>
      </c>
      <c r="S55" s="152"/>
      <c r="T55" s="173">
        <f t="shared" si="5"/>
        <v>72.473707499999989</v>
      </c>
      <c r="U55" s="152"/>
      <c r="V55" s="173">
        <f t="shared" si="5"/>
        <v>28.776841249999997</v>
      </c>
      <c r="W55" s="152"/>
      <c r="X55" s="152">
        <f t="shared" si="5"/>
        <v>29.237262499999993</v>
      </c>
      <c r="Y55" s="152"/>
      <c r="Z55" s="174">
        <f t="shared" si="5"/>
        <v>8.1991375000000009</v>
      </c>
      <c r="AA55" s="2"/>
    </row>
    <row r="56" spans="1:27" x14ac:dyDescent="0.25">
      <c r="A56" s="2"/>
      <c r="B56" s="2"/>
      <c r="C56" s="2"/>
      <c r="D56" s="156"/>
      <c r="E56" s="2"/>
      <c r="F56" s="156"/>
      <c r="G56" s="2"/>
      <c r="H56" s="156"/>
      <c r="I56" s="2"/>
      <c r="J56" s="156"/>
      <c r="K56" s="2"/>
      <c r="L56" s="156"/>
      <c r="M56" s="2"/>
      <c r="N56" s="2"/>
      <c r="O56" s="2"/>
      <c r="P56" s="2"/>
      <c r="Q56" s="2"/>
      <c r="R56" s="164"/>
      <c r="S56" s="164"/>
      <c r="T56" s="164"/>
      <c r="U56" s="164"/>
      <c r="V56" s="164"/>
      <c r="W56" s="2"/>
      <c r="X56" s="156"/>
      <c r="Y56" s="2"/>
      <c r="Z56" s="156"/>
      <c r="AA56" s="2"/>
    </row>
    <row r="57" spans="1:27" x14ac:dyDescent="0.25">
      <c r="A57" s="185" t="str">
        <f>A38</f>
        <v>NYSE:IBM</v>
      </c>
      <c r="B57" s="186"/>
      <c r="C57" s="186" t="str">
        <f>C38</f>
        <v>International Business Machines Corporation</v>
      </c>
      <c r="D57" s="189">
        <f>'Detailed Comps'!DG21</f>
        <v>3.0459999999999998</v>
      </c>
      <c r="E57" s="189"/>
      <c r="F57" s="189">
        <f>'Detailed Comps'!DO21</f>
        <v>-4.5298999999999996</v>
      </c>
      <c r="G57" s="189"/>
      <c r="H57" s="189">
        <f>'Detailed Comps'!DW21</f>
        <v>7.2092999999999998</v>
      </c>
      <c r="I57" s="186"/>
      <c r="J57" s="189">
        <f>'Detailed Comps'!CU21</f>
        <v>16.639800000000001</v>
      </c>
      <c r="K57" s="194"/>
      <c r="L57" s="189">
        <f>'Detailed Comps'!DC21</f>
        <v>9.5978999999999992</v>
      </c>
      <c r="M57" s="186"/>
      <c r="N57" s="192">
        <f>'Detailed Comps'!EY21</f>
        <v>0.87517</v>
      </c>
      <c r="O57" s="192"/>
      <c r="P57" s="192">
        <f>'Detailed Comps'!EW21</f>
        <v>1.04043</v>
      </c>
      <c r="Q57" s="186"/>
      <c r="R57" s="195">
        <f>'Detailed Comps'!FA21</f>
        <v>44.112879999999997</v>
      </c>
      <c r="S57" s="195"/>
      <c r="T57" s="195">
        <f>'Detailed Comps'!FE21</f>
        <v>55.415689999999998</v>
      </c>
      <c r="U57" s="195"/>
      <c r="V57" s="195">
        <f>'Detailed Comps'!FC21</f>
        <v>16.70936</v>
      </c>
      <c r="W57" s="186"/>
      <c r="X57" s="189">
        <f>'Detailed Comps'!EQ21</f>
        <v>24.057099999999998</v>
      </c>
      <c r="Y57" s="194"/>
      <c r="Z57" s="196">
        <f>'Detailed Comps'!EU21</f>
        <v>-0.14729999999999999</v>
      </c>
      <c r="AA57" s="2"/>
    </row>
    <row r="58" spans="1:27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2"/>
    </row>
    <row r="59" spans="1:27" x14ac:dyDescent="0.25">
      <c r="A59" s="175"/>
      <c r="B59" s="175"/>
      <c r="C59" s="17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33" t="str">
        <f>'Language Index'!A770</f>
        <v>Source: S&amp;P Capital IQ</v>
      </c>
      <c r="B60" s="2"/>
      <c r="C60" s="2"/>
      <c r="D60" s="2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6.25" customHeight="1" x14ac:dyDescent="0.25">
      <c r="A61" s="247" t="str">
        <f>'Language Index'!A771</f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</sheetData>
  <mergeCells count="1">
    <mergeCell ref="A61:Z61"/>
  </mergeCells>
  <phoneticPr fontId="0" type="noConversion"/>
  <pageMargins left="0.25" right="0.25" top="0.25" bottom="0.25" header="0.5" footer="0.5"/>
  <pageSetup scale="68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Y874"/>
  <sheetViews>
    <sheetView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9.109375" defaultRowHeight="13.8" x14ac:dyDescent="0.25"/>
  <cols>
    <col min="1" max="11" width="50.109375" style="201" customWidth="1"/>
    <col min="12" max="14" width="9.109375" style="201"/>
    <col min="15" max="15" width="20.6640625" customWidth="1"/>
    <col min="17" max="21" width="9.109375" style="201"/>
    <col min="23" max="52" width="9.109375" style="201"/>
    <col min="54" max="80" width="9.109375" style="201"/>
    <col min="82" max="102" width="9.109375" style="201"/>
    <col min="103" max="103" width="9.109375" style="206"/>
    <col min="104" max="16384" width="9.109375" style="201"/>
  </cols>
  <sheetData>
    <row r="1" spans="1:103" x14ac:dyDescent="0.25">
      <c r="B1"/>
      <c r="C1"/>
      <c r="D1"/>
      <c r="E1"/>
      <c r="F1"/>
      <c r="G1"/>
      <c r="H1"/>
      <c r="I1"/>
      <c r="J1"/>
      <c r="BB1"/>
    </row>
    <row r="2" spans="1:103" x14ac:dyDescent="0.25">
      <c r="B2"/>
      <c r="C2"/>
      <c r="D2"/>
      <c r="E2"/>
      <c r="F2"/>
      <c r="G2"/>
      <c r="H2"/>
      <c r="I2"/>
      <c r="J2"/>
      <c r="BB2"/>
    </row>
    <row r="3" spans="1:103" x14ac:dyDescent="0.25">
      <c r="B3"/>
      <c r="C3"/>
      <c r="D3"/>
      <c r="E3"/>
      <c r="F3"/>
      <c r="G3"/>
      <c r="H3"/>
      <c r="I3"/>
      <c r="J3"/>
      <c r="BB3"/>
    </row>
    <row r="4" spans="1:103" x14ac:dyDescent="0.25">
      <c r="A4" s="201">
        <v>1</v>
      </c>
      <c r="BB4"/>
    </row>
    <row r="5" spans="1:103" x14ac:dyDescent="0.25">
      <c r="A5" s="206">
        <f>COUNTA($B$7:$CV$7)</f>
        <v>10</v>
      </c>
      <c r="BB5"/>
    </row>
    <row r="6" spans="1:103" x14ac:dyDescent="0.25">
      <c r="A6" s="209" t="str">
        <f>INDEX($B$7:$CV$7,$A$4)</f>
        <v>English</v>
      </c>
      <c r="BB6"/>
    </row>
    <row r="7" spans="1:103" x14ac:dyDescent="0.25">
      <c r="B7" s="199" t="s">
        <v>827</v>
      </c>
      <c r="C7" s="200" t="s">
        <v>828</v>
      </c>
      <c r="D7" s="200" t="s">
        <v>829</v>
      </c>
      <c r="E7" s="200" t="s">
        <v>830</v>
      </c>
      <c r="F7" s="200" t="s">
        <v>831</v>
      </c>
      <c r="G7" s="200" t="s">
        <v>832</v>
      </c>
      <c r="H7" s="200" t="s">
        <v>833</v>
      </c>
      <c r="I7" s="200" t="s">
        <v>834</v>
      </c>
      <c r="J7" s="200" t="s">
        <v>835</v>
      </c>
      <c r="K7" s="200" t="s">
        <v>836</v>
      </c>
      <c r="BB7"/>
    </row>
    <row r="8" spans="1:103" x14ac:dyDescent="0.25">
      <c r="A8" s="208" t="str">
        <f>INDEX($B8:$CV8,$A$4)</f>
        <v>Ticker</v>
      </c>
      <c r="B8" s="202" t="s">
        <v>250</v>
      </c>
      <c r="C8" s="201" t="s">
        <v>5726</v>
      </c>
      <c r="D8" s="201" t="s">
        <v>5727</v>
      </c>
      <c r="E8" s="201" t="s">
        <v>5728</v>
      </c>
      <c r="F8" s="201" t="s">
        <v>250</v>
      </c>
      <c r="G8" s="201" t="s">
        <v>250</v>
      </c>
      <c r="H8" s="201" t="s">
        <v>5729</v>
      </c>
      <c r="I8" s="201" t="s">
        <v>5730</v>
      </c>
      <c r="J8" s="201" t="s">
        <v>5731</v>
      </c>
      <c r="K8" s="201" t="s">
        <v>5732</v>
      </c>
      <c r="BB8"/>
      <c r="CY8" s="207" t="str">
        <f t="array" ref="CY8:CY107">TRANSPOSE($B$7:$CV$7)</f>
        <v>English</v>
      </c>
    </row>
    <row r="9" spans="1:103" x14ac:dyDescent="0.25">
      <c r="A9" s="208" t="str">
        <f t="shared" ref="A9:A72" si="0">INDEX($B9:$CV9,$A$4)</f>
        <v>Time Period</v>
      </c>
      <c r="B9" s="203" t="s">
        <v>52</v>
      </c>
      <c r="C9" s="229" t="s">
        <v>845</v>
      </c>
      <c r="D9" s="229" t="s">
        <v>846</v>
      </c>
      <c r="E9" s="229" t="s">
        <v>847</v>
      </c>
      <c r="F9" s="231" t="s">
        <v>851</v>
      </c>
      <c r="G9" s="231" t="s">
        <v>852</v>
      </c>
      <c r="H9" s="230" t="s">
        <v>848</v>
      </c>
      <c r="I9" s="229" t="s">
        <v>849</v>
      </c>
      <c r="J9" s="229" t="s">
        <v>850</v>
      </c>
      <c r="K9" s="231" t="s">
        <v>853</v>
      </c>
      <c r="BB9"/>
      <c r="CY9" s="207" t="str">
        <v>Chinese Simplified</v>
      </c>
    </row>
    <row r="10" spans="1:103" ht="14.4" x14ac:dyDescent="0.3">
      <c r="A10" s="208" t="str">
        <f t="shared" si="0"/>
        <v>Most Recent on the:</v>
      </c>
      <c r="B10" s="203" t="s">
        <v>417</v>
      </c>
      <c r="C10" s="234" t="s">
        <v>5733</v>
      </c>
      <c r="D10" s="234" t="s">
        <v>5733</v>
      </c>
      <c r="E10" s="234" t="s">
        <v>5734</v>
      </c>
      <c r="F10" s="234" t="s">
        <v>5735</v>
      </c>
      <c r="G10" s="234" t="s">
        <v>5736</v>
      </c>
      <c r="H10" s="234" t="s">
        <v>5737</v>
      </c>
      <c r="I10" s="234" t="s">
        <v>5738</v>
      </c>
      <c r="J10" s="234" t="s">
        <v>5739</v>
      </c>
      <c r="K10" s="234" t="s">
        <v>5740</v>
      </c>
      <c r="BB10"/>
      <c r="CY10" s="207" t="str">
        <v>Chinese Traditional</v>
      </c>
    </row>
    <row r="11" spans="1:103" x14ac:dyDescent="0.25">
      <c r="A11" s="208" t="str">
        <f t="shared" si="0"/>
        <v>Date</v>
      </c>
      <c r="B11" s="201" t="s">
        <v>56</v>
      </c>
      <c r="C11" s="198" t="s">
        <v>4647</v>
      </c>
      <c r="D11" s="198" t="s">
        <v>4647</v>
      </c>
      <c r="E11" s="198" t="s">
        <v>56</v>
      </c>
      <c r="F11" s="198" t="s">
        <v>5741</v>
      </c>
      <c r="G11" s="198" t="s">
        <v>5742</v>
      </c>
      <c r="H11" s="198" t="s">
        <v>5743</v>
      </c>
      <c r="I11" s="198" t="s">
        <v>5744</v>
      </c>
      <c r="J11" s="198" t="s">
        <v>5745</v>
      </c>
      <c r="K11" s="198" t="s">
        <v>5746</v>
      </c>
      <c r="BB11"/>
      <c r="CY11" s="207" t="str">
        <v>French</v>
      </c>
    </row>
    <row r="12" spans="1:103" x14ac:dyDescent="0.25">
      <c r="A12" s="208" t="str">
        <f t="shared" si="0"/>
        <v>Currency</v>
      </c>
      <c r="B12" s="201" t="s">
        <v>55</v>
      </c>
      <c r="C12" s="198" t="s">
        <v>5747</v>
      </c>
      <c r="D12" s="198" t="s">
        <v>5748</v>
      </c>
      <c r="E12" s="198" t="s">
        <v>5749</v>
      </c>
      <c r="F12" s="198" t="s">
        <v>5750</v>
      </c>
      <c r="G12" s="198" t="s">
        <v>5751</v>
      </c>
      <c r="H12" s="198" t="s">
        <v>5752</v>
      </c>
      <c r="I12" s="198" t="s">
        <v>5753</v>
      </c>
      <c r="J12" s="198" t="s">
        <v>5754</v>
      </c>
      <c r="K12" s="198" t="s">
        <v>5755</v>
      </c>
      <c r="BB12"/>
      <c r="CY12" s="207" t="str">
        <v>German</v>
      </c>
    </row>
    <row r="13" spans="1:103" x14ac:dyDescent="0.25">
      <c r="A13" s="208" t="str">
        <f t="shared" si="0"/>
        <v>Conversion</v>
      </c>
      <c r="B13" s="201" t="s">
        <v>54</v>
      </c>
      <c r="C13" s="201" t="s">
        <v>5756</v>
      </c>
      <c r="D13" s="201" t="s">
        <v>5757</v>
      </c>
      <c r="E13" s="201" t="s">
        <v>54</v>
      </c>
      <c r="F13" s="201" t="s">
        <v>5758</v>
      </c>
      <c r="G13" s="201" t="s">
        <v>5759</v>
      </c>
      <c r="H13" s="201" t="s">
        <v>5760</v>
      </c>
      <c r="I13" s="201" t="s">
        <v>5761</v>
      </c>
      <c r="J13" s="201" t="s">
        <v>5762</v>
      </c>
      <c r="K13" s="201" t="s">
        <v>5763</v>
      </c>
      <c r="BB13"/>
      <c r="CY13" s="207" t="str">
        <v>Italian</v>
      </c>
    </row>
    <row r="14" spans="1:103" x14ac:dyDescent="0.25">
      <c r="A14" s="208" t="str">
        <f t="shared" si="0"/>
        <v>LTM</v>
      </c>
      <c r="B14" s="201" t="s">
        <v>344</v>
      </c>
      <c r="C14" s="198" t="s">
        <v>862</v>
      </c>
      <c r="D14" s="198" t="s">
        <v>863</v>
      </c>
      <c r="E14" s="198" t="s">
        <v>5850</v>
      </c>
      <c r="F14" s="198" t="s">
        <v>5851</v>
      </c>
      <c r="G14" s="198" t="s">
        <v>869</v>
      </c>
      <c r="H14" s="198" t="s">
        <v>344</v>
      </c>
      <c r="I14" s="198" t="s">
        <v>5852</v>
      </c>
      <c r="J14" s="198" t="s">
        <v>5853</v>
      </c>
      <c r="K14" s="198" t="s">
        <v>5854</v>
      </c>
      <c r="BB14"/>
      <c r="CY14" s="207" t="str">
        <v>Japanese</v>
      </c>
    </row>
    <row r="15" spans="1:103" x14ac:dyDescent="0.25">
      <c r="A15" s="208" t="str">
        <f t="shared" si="0"/>
        <v>Per Share Items</v>
      </c>
      <c r="B15" s="201" t="s">
        <v>676</v>
      </c>
      <c r="C15" s="229" t="s">
        <v>5564</v>
      </c>
      <c r="D15" s="229" t="s">
        <v>5565</v>
      </c>
      <c r="E15" s="229" t="s">
        <v>5566</v>
      </c>
      <c r="F15" s="231" t="s">
        <v>5570</v>
      </c>
      <c r="G15" s="231" t="s">
        <v>5571</v>
      </c>
      <c r="H15" s="230" t="s">
        <v>5567</v>
      </c>
      <c r="I15" s="229" t="s">
        <v>5568</v>
      </c>
      <c r="J15" s="229" t="s">
        <v>5569</v>
      </c>
      <c r="K15" s="231" t="s">
        <v>5572</v>
      </c>
      <c r="BB15"/>
      <c r="CY15" s="207" t="str">
        <v>Russian</v>
      </c>
    </row>
    <row r="16" spans="1:103" x14ac:dyDescent="0.25">
      <c r="A16" s="208" t="str">
        <f t="shared" si="0"/>
        <v>Fiscal Year</v>
      </c>
      <c r="B16" s="201" t="s">
        <v>418</v>
      </c>
      <c r="C16" s="201" t="s">
        <v>5855</v>
      </c>
      <c r="D16" s="201" t="s">
        <v>5856</v>
      </c>
      <c r="E16" s="201" t="s">
        <v>4916</v>
      </c>
      <c r="F16" s="201" t="s">
        <v>4919</v>
      </c>
      <c r="G16" s="201" t="s">
        <v>5857</v>
      </c>
      <c r="H16" s="201" t="s">
        <v>5858</v>
      </c>
      <c r="I16" s="201" t="s">
        <v>5859</v>
      </c>
      <c r="J16" s="201" t="s">
        <v>5860</v>
      </c>
      <c r="K16" s="201" t="s">
        <v>5861</v>
      </c>
      <c r="BB16"/>
      <c r="CY16" s="207" t="str">
        <v>Spanish</v>
      </c>
    </row>
    <row r="17" spans="1:103" x14ac:dyDescent="0.25">
      <c r="A17" s="208" t="str">
        <f t="shared" si="0"/>
        <v>Fiscal Quarter</v>
      </c>
      <c r="B17" s="201" t="s">
        <v>419</v>
      </c>
      <c r="C17" s="229" t="s">
        <v>854</v>
      </c>
      <c r="D17" s="229" t="s">
        <v>855</v>
      </c>
      <c r="E17" s="229" t="s">
        <v>856</v>
      </c>
      <c r="F17" s="231" t="s">
        <v>859</v>
      </c>
      <c r="G17" s="231" t="s">
        <v>860</v>
      </c>
      <c r="H17" s="230" t="s">
        <v>857</v>
      </c>
      <c r="I17" s="229" t="s">
        <v>858</v>
      </c>
      <c r="J17" s="229" t="s">
        <v>856</v>
      </c>
      <c r="K17" s="231" t="s">
        <v>861</v>
      </c>
      <c r="BB17"/>
      <c r="CY17" s="207" t="str">
        <v>Korean</v>
      </c>
    </row>
    <row r="18" spans="1:103" x14ac:dyDescent="0.25">
      <c r="A18" s="208" t="str">
        <f t="shared" si="0"/>
        <v>Year to Date</v>
      </c>
      <c r="B18" s="201" t="s">
        <v>420</v>
      </c>
      <c r="C18" s="201" t="s">
        <v>5862</v>
      </c>
      <c r="D18" s="201" t="s">
        <v>5862</v>
      </c>
      <c r="E18" s="201" t="s">
        <v>5863</v>
      </c>
      <c r="F18" s="201" t="s">
        <v>5864</v>
      </c>
      <c r="G18" s="201" t="s">
        <v>5865</v>
      </c>
      <c r="H18" s="201" t="s">
        <v>5866</v>
      </c>
      <c r="I18" s="201" t="s">
        <v>5867</v>
      </c>
      <c r="J18" s="201" t="s">
        <v>5868</v>
      </c>
      <c r="K18" s="201" t="s">
        <v>5869</v>
      </c>
      <c r="BB18"/>
      <c r="CY18" s="207">
        <v>0</v>
      </c>
    </row>
    <row r="19" spans="1:103" x14ac:dyDescent="0.25">
      <c r="A19" s="208" t="str">
        <f t="shared" si="0"/>
        <v>Last Twelve Months</v>
      </c>
      <c r="B19" s="201" t="s">
        <v>421</v>
      </c>
      <c r="C19" s="229" t="s">
        <v>862</v>
      </c>
      <c r="D19" s="229" t="s">
        <v>863</v>
      </c>
      <c r="E19" s="229" t="s">
        <v>864</v>
      </c>
      <c r="F19" s="231" t="s">
        <v>868</v>
      </c>
      <c r="G19" s="231" t="s">
        <v>869</v>
      </c>
      <c r="H19" s="230" t="s">
        <v>865</v>
      </c>
      <c r="I19" s="229" t="s">
        <v>866</v>
      </c>
      <c r="J19" s="229" t="s">
        <v>867</v>
      </c>
      <c r="K19" s="231" t="s">
        <v>870</v>
      </c>
      <c r="BB19"/>
      <c r="CY19" s="207">
        <v>0</v>
      </c>
    </row>
    <row r="20" spans="1:103" x14ac:dyDescent="0.25">
      <c r="A20" s="208" t="str">
        <f t="shared" si="0"/>
        <v>Calendar Year</v>
      </c>
      <c r="B20" s="201" t="s">
        <v>422</v>
      </c>
      <c r="C20" s="201" t="s">
        <v>5870</v>
      </c>
      <c r="D20" s="201" t="s">
        <v>5871</v>
      </c>
      <c r="E20" s="201" t="s">
        <v>5872</v>
      </c>
      <c r="F20" s="201" t="s">
        <v>5873</v>
      </c>
      <c r="G20" s="201" t="s">
        <v>5874</v>
      </c>
      <c r="H20" s="201" t="s">
        <v>5875</v>
      </c>
      <c r="I20" s="201" t="s">
        <v>5876</v>
      </c>
      <c r="J20" s="201" t="s">
        <v>5877</v>
      </c>
      <c r="K20" s="201" t="s">
        <v>5878</v>
      </c>
      <c r="BB20"/>
      <c r="CY20" s="207">
        <v>0</v>
      </c>
    </row>
    <row r="21" spans="1:103" x14ac:dyDescent="0.25">
      <c r="A21" s="208" t="str">
        <f t="shared" si="0"/>
        <v>Calendar Quarter</v>
      </c>
      <c r="B21" s="201" t="s">
        <v>423</v>
      </c>
      <c r="C21" s="229" t="s">
        <v>871</v>
      </c>
      <c r="D21" s="229" t="s">
        <v>872</v>
      </c>
      <c r="E21" s="229" t="s">
        <v>873</v>
      </c>
      <c r="F21" s="231" t="s">
        <v>889</v>
      </c>
      <c r="G21" s="231" t="s">
        <v>890</v>
      </c>
      <c r="H21" s="230" t="s">
        <v>880</v>
      </c>
      <c r="I21" s="229" t="s">
        <v>881</v>
      </c>
      <c r="J21" s="229" t="s">
        <v>882</v>
      </c>
      <c r="K21" s="231" t="s">
        <v>895</v>
      </c>
      <c r="BB21"/>
      <c r="CY21" s="207">
        <v>0</v>
      </c>
    </row>
    <row r="22" spans="1:103" x14ac:dyDescent="0.25">
      <c r="A22" s="208" t="str">
        <f t="shared" si="0"/>
        <v>Fiscal Half</v>
      </c>
      <c r="B22" s="201" t="s">
        <v>671</v>
      </c>
      <c r="C22" s="229" t="s">
        <v>874</v>
      </c>
      <c r="D22" s="229" t="s">
        <v>875</v>
      </c>
      <c r="E22" s="229" t="s">
        <v>876</v>
      </c>
      <c r="F22" s="231" t="s">
        <v>891</v>
      </c>
      <c r="G22" s="231" t="s">
        <v>892</v>
      </c>
      <c r="H22" s="230" t="s">
        <v>883</v>
      </c>
      <c r="I22" s="229" t="s">
        <v>884</v>
      </c>
      <c r="J22" s="229" t="s">
        <v>885</v>
      </c>
      <c r="K22" s="231" t="s">
        <v>896</v>
      </c>
      <c r="BB22"/>
      <c r="CY22" s="207">
        <v>0</v>
      </c>
    </row>
    <row r="23" spans="1:103" x14ac:dyDescent="0.25">
      <c r="A23" s="208" t="str">
        <f t="shared" si="0"/>
        <v>Calendar Half</v>
      </c>
      <c r="B23" s="201" t="s">
        <v>672</v>
      </c>
      <c r="C23" s="229" t="s">
        <v>877</v>
      </c>
      <c r="D23" s="229" t="s">
        <v>878</v>
      </c>
      <c r="E23" s="229" t="s">
        <v>879</v>
      </c>
      <c r="F23" s="231" t="s">
        <v>893</v>
      </c>
      <c r="G23" s="231" t="s">
        <v>894</v>
      </c>
      <c r="H23" s="230" t="s">
        <v>886</v>
      </c>
      <c r="I23" s="229" t="s">
        <v>887</v>
      </c>
      <c r="J23" s="229" t="s">
        <v>888</v>
      </c>
      <c r="K23" s="231" t="s">
        <v>897</v>
      </c>
      <c r="BB23"/>
      <c r="CY23" s="207">
        <v>0</v>
      </c>
    </row>
    <row r="24" spans="1:103" x14ac:dyDescent="0.25">
      <c r="A24" s="208" t="str">
        <f t="shared" si="0"/>
        <v>Right</v>
      </c>
      <c r="B24" s="201" t="s">
        <v>415</v>
      </c>
      <c r="C24" s="201" t="s">
        <v>5879</v>
      </c>
      <c r="D24" s="201" t="s">
        <v>5880</v>
      </c>
      <c r="E24" s="201" t="s">
        <v>5881</v>
      </c>
      <c r="F24" s="201" t="s">
        <v>5882</v>
      </c>
      <c r="G24" s="201" t="s">
        <v>5883</v>
      </c>
      <c r="H24" s="201" t="s">
        <v>5884</v>
      </c>
      <c r="I24" s="201" t="s">
        <v>5885</v>
      </c>
      <c r="J24" s="201" t="s">
        <v>5886</v>
      </c>
      <c r="K24" s="201" t="s">
        <v>5887</v>
      </c>
      <c r="BB24"/>
      <c r="CY24" s="207">
        <v>0</v>
      </c>
    </row>
    <row r="25" spans="1:103" x14ac:dyDescent="0.25">
      <c r="A25" s="208" t="str">
        <f t="shared" si="0"/>
        <v>Left</v>
      </c>
      <c r="B25" s="201" t="s">
        <v>416</v>
      </c>
      <c r="C25" s="201" t="s">
        <v>5888</v>
      </c>
      <c r="D25" s="201" t="s">
        <v>5889</v>
      </c>
      <c r="E25" s="201" t="s">
        <v>5890</v>
      </c>
      <c r="F25" s="201" t="s">
        <v>5891</v>
      </c>
      <c r="G25" s="201" t="s">
        <v>5892</v>
      </c>
      <c r="H25" s="201" t="s">
        <v>5893</v>
      </c>
      <c r="I25" s="201" t="s">
        <v>5894</v>
      </c>
      <c r="J25" s="201" t="s">
        <v>5895</v>
      </c>
      <c r="K25" s="201" t="s">
        <v>5896</v>
      </c>
      <c r="BB25"/>
      <c r="CY25" s="207">
        <v>0</v>
      </c>
    </row>
    <row r="26" spans="1:103" x14ac:dyDescent="0.25">
      <c r="A26" s="208" t="str">
        <f t="shared" si="0"/>
        <v>Historical</v>
      </c>
      <c r="B26" s="201" t="s">
        <v>673</v>
      </c>
      <c r="C26" s="201" t="s">
        <v>5773</v>
      </c>
      <c r="D26" s="201" t="s">
        <v>5774</v>
      </c>
      <c r="E26" s="201" t="s">
        <v>5775</v>
      </c>
      <c r="F26" s="201" t="s">
        <v>5776</v>
      </c>
      <c r="G26" s="201" t="s">
        <v>5777</v>
      </c>
      <c r="H26" s="201" t="s">
        <v>5778</v>
      </c>
      <c r="I26" s="201" t="s">
        <v>5779</v>
      </c>
      <c r="J26" s="201" t="s">
        <v>5780</v>
      </c>
      <c r="K26" s="201" t="s">
        <v>5781</v>
      </c>
      <c r="BB26"/>
      <c r="CY26" s="207">
        <v>0</v>
      </c>
    </row>
    <row r="27" spans="1:103" x14ac:dyDescent="0.25">
      <c r="A27" s="208" t="str">
        <f t="shared" si="0"/>
        <v>Current</v>
      </c>
      <c r="B27" s="201" t="s">
        <v>330</v>
      </c>
      <c r="C27" s="201" t="s">
        <v>5897</v>
      </c>
      <c r="D27" s="201" t="s">
        <v>5898</v>
      </c>
      <c r="E27" s="201" t="s">
        <v>5899</v>
      </c>
      <c r="F27" s="201" t="s">
        <v>5900</v>
      </c>
      <c r="G27" s="201" t="s">
        <v>5901</v>
      </c>
      <c r="H27" s="201" t="s">
        <v>5902</v>
      </c>
      <c r="I27" s="201" t="s">
        <v>5903</v>
      </c>
      <c r="J27" s="201" t="s">
        <v>5904</v>
      </c>
      <c r="K27" s="201" t="s">
        <v>5905</v>
      </c>
      <c r="BB27"/>
      <c r="CY27" s="207">
        <v>0</v>
      </c>
    </row>
    <row r="28" spans="1:103" x14ac:dyDescent="0.25">
      <c r="A28" s="208" t="str">
        <f t="shared" si="0"/>
        <v>Income Statement</v>
      </c>
      <c r="B28" s="201" t="s">
        <v>837</v>
      </c>
      <c r="C28" t="s">
        <v>5764</v>
      </c>
      <c r="D28" t="s">
        <v>5765</v>
      </c>
      <c r="E28" t="s">
        <v>5766</v>
      </c>
      <c r="F28" t="s">
        <v>5767</v>
      </c>
      <c r="G28" t="s">
        <v>5768</v>
      </c>
      <c r="H28" t="s">
        <v>5769</v>
      </c>
      <c r="I28" t="s">
        <v>5770</v>
      </c>
      <c r="J28" t="s">
        <v>5771</v>
      </c>
      <c r="K28" t="s">
        <v>5772</v>
      </c>
      <c r="BB28"/>
      <c r="CY28" s="207">
        <v>0</v>
      </c>
    </row>
    <row r="29" spans="1:103" x14ac:dyDescent="0.25">
      <c r="A29" s="208" t="str">
        <f t="shared" si="0"/>
        <v>Cash Flow Statement</v>
      </c>
      <c r="B29" s="201" t="s">
        <v>838</v>
      </c>
      <c r="C29" s="198" t="s">
        <v>5906</v>
      </c>
      <c r="D29" s="198" t="s">
        <v>5907</v>
      </c>
      <c r="E29" s="198" t="s">
        <v>5908</v>
      </c>
      <c r="F29" s="198" t="s">
        <v>5909</v>
      </c>
      <c r="G29" s="198" t="s">
        <v>5910</v>
      </c>
      <c r="H29" s="198" t="s">
        <v>5911</v>
      </c>
      <c r="I29" s="198" t="s">
        <v>5912</v>
      </c>
      <c r="J29" s="198" t="s">
        <v>5913</v>
      </c>
      <c r="K29" s="198" t="s">
        <v>5914</v>
      </c>
      <c r="BB29"/>
      <c r="CY29" s="207">
        <v>0</v>
      </c>
    </row>
    <row r="30" spans="1:103" x14ac:dyDescent="0.25">
      <c r="A30" s="208" t="str">
        <f t="shared" si="0"/>
        <v>Balance Sheet</v>
      </c>
      <c r="B30" s="201" t="s">
        <v>839</v>
      </c>
      <c r="C30" s="198" t="s">
        <v>5915</v>
      </c>
      <c r="D30" s="198" t="s">
        <v>5916</v>
      </c>
      <c r="E30" s="198" t="s">
        <v>5917</v>
      </c>
      <c r="F30" s="198" t="s">
        <v>5918</v>
      </c>
      <c r="G30" s="198" t="s">
        <v>5919</v>
      </c>
      <c r="H30" s="198" t="s">
        <v>5920</v>
      </c>
      <c r="I30" s="198" t="s">
        <v>5921</v>
      </c>
      <c r="J30" s="198" t="s">
        <v>5922</v>
      </c>
      <c r="K30" s="198" t="s">
        <v>5923</v>
      </c>
      <c r="BB30"/>
      <c r="CY30" s="207">
        <v>0</v>
      </c>
    </row>
    <row r="31" spans="1:103" x14ac:dyDescent="0.25">
      <c r="A31" s="208" t="str">
        <f t="shared" si="0"/>
        <v>Ended</v>
      </c>
      <c r="B31" s="204" t="s">
        <v>841</v>
      </c>
      <c r="C31" s="229" t="s">
        <v>898</v>
      </c>
      <c r="D31" s="229" t="s">
        <v>898</v>
      </c>
      <c r="E31" s="229" t="s">
        <v>899</v>
      </c>
      <c r="F31" s="231" t="s">
        <v>903</v>
      </c>
      <c r="G31" s="231" t="s">
        <v>904</v>
      </c>
      <c r="H31" s="230" t="s">
        <v>900</v>
      </c>
      <c r="I31" s="229" t="s">
        <v>901</v>
      </c>
      <c r="J31" s="229" t="s">
        <v>902</v>
      </c>
      <c r="K31" s="231" t="s">
        <v>905</v>
      </c>
      <c r="BB31"/>
      <c r="CY31" s="207">
        <v>0</v>
      </c>
    </row>
    <row r="32" spans="1:103" x14ac:dyDescent="0.25">
      <c r="A32" s="208" t="str">
        <f t="shared" si="0"/>
        <v>In Millions</v>
      </c>
      <c r="B32" s="201" t="s">
        <v>840</v>
      </c>
      <c r="C32" s="198" t="s">
        <v>5782</v>
      </c>
      <c r="D32" s="198" t="s">
        <v>5783</v>
      </c>
      <c r="E32" s="198" t="s">
        <v>5784</v>
      </c>
      <c r="F32" s="198" t="s">
        <v>5785</v>
      </c>
      <c r="G32" s="198" t="s">
        <v>5786</v>
      </c>
      <c r="H32" s="198" t="s">
        <v>5782</v>
      </c>
      <c r="I32" s="198" t="s">
        <v>5787</v>
      </c>
      <c r="J32" s="198" t="s">
        <v>5788</v>
      </c>
      <c r="K32" s="198" t="s">
        <v>5789</v>
      </c>
      <c r="BB32"/>
      <c r="CY32" s="207">
        <v>0</v>
      </c>
    </row>
    <row r="33" spans="1:103" x14ac:dyDescent="0.25">
      <c r="A33" s="208" t="str">
        <f t="shared" si="0"/>
        <v>Revenues</v>
      </c>
      <c r="B33" s="201" t="s">
        <v>92</v>
      </c>
      <c r="C33" s="201" t="s">
        <v>5790</v>
      </c>
      <c r="D33" s="201" t="s">
        <v>5790</v>
      </c>
      <c r="E33" s="201" t="s">
        <v>5791</v>
      </c>
      <c r="F33" s="201" t="s">
        <v>5792</v>
      </c>
      <c r="G33" s="201" t="s">
        <v>5793</v>
      </c>
      <c r="H33" s="201" t="s">
        <v>5794</v>
      </c>
      <c r="I33" s="201" t="s">
        <v>5795</v>
      </c>
      <c r="J33" s="201" t="s">
        <v>5796</v>
      </c>
      <c r="K33" s="201" t="s">
        <v>5797</v>
      </c>
      <c r="BB33"/>
      <c r="CY33" s="207">
        <v>0</v>
      </c>
    </row>
    <row r="34" spans="1:103" x14ac:dyDescent="0.25">
      <c r="A34" s="208" t="str">
        <f t="shared" si="0"/>
        <v>Finance Div. Revenues</v>
      </c>
      <c r="B34" s="201" t="s">
        <v>193</v>
      </c>
      <c r="C34" s="201" t="s">
        <v>5924</v>
      </c>
      <c r="D34" s="201" t="s">
        <v>5925</v>
      </c>
      <c r="E34" s="201" t="s">
        <v>5926</v>
      </c>
      <c r="F34" s="201" t="s">
        <v>5936</v>
      </c>
      <c r="G34" s="201" t="s">
        <v>5937</v>
      </c>
      <c r="H34" s="201" t="s">
        <v>5930</v>
      </c>
      <c r="I34" s="201" t="s">
        <v>5931</v>
      </c>
      <c r="J34" s="201" t="s">
        <v>5932</v>
      </c>
      <c r="K34" s="201" t="s">
        <v>5940</v>
      </c>
      <c r="BB34"/>
      <c r="CY34" s="207">
        <v>0</v>
      </c>
    </row>
    <row r="35" spans="1:103" x14ac:dyDescent="0.25">
      <c r="A35" s="208" t="str">
        <f t="shared" si="0"/>
        <v>Insurance Div. Revenues</v>
      </c>
      <c r="B35" s="201" t="s">
        <v>194</v>
      </c>
      <c r="C35" s="201" t="s">
        <v>5927</v>
      </c>
      <c r="D35" s="201" t="s">
        <v>5928</v>
      </c>
      <c r="E35" s="201" t="s">
        <v>5929</v>
      </c>
      <c r="F35" s="201" t="s">
        <v>5938</v>
      </c>
      <c r="G35" s="201" t="s">
        <v>5939</v>
      </c>
      <c r="H35" s="201" t="s">
        <v>5933</v>
      </c>
      <c r="I35" s="201" t="s">
        <v>5934</v>
      </c>
      <c r="J35" s="201" t="s">
        <v>5935</v>
      </c>
      <c r="K35" s="201" t="s">
        <v>5941</v>
      </c>
      <c r="BB35"/>
      <c r="CY35" s="207">
        <v>0</v>
      </c>
    </row>
    <row r="36" spans="1:103" x14ac:dyDescent="0.25">
      <c r="A36" s="208" t="str">
        <f t="shared" si="0"/>
        <v>Gain/(Loss) on Sale Of Assets (Rev)</v>
      </c>
      <c r="B36" s="201" t="s">
        <v>405</v>
      </c>
      <c r="C36" s="229" t="s">
        <v>906</v>
      </c>
      <c r="D36" s="229" t="s">
        <v>907</v>
      </c>
      <c r="E36" s="229" t="s">
        <v>908</v>
      </c>
      <c r="F36" s="231" t="s">
        <v>918</v>
      </c>
      <c r="G36" s="231" t="s">
        <v>919</v>
      </c>
      <c r="H36" s="205" t="s">
        <v>912</v>
      </c>
      <c r="I36" s="229" t="s">
        <v>913</v>
      </c>
      <c r="J36" s="229" t="s">
        <v>914</v>
      </c>
      <c r="K36" s="231" t="s">
        <v>922</v>
      </c>
      <c r="BB36"/>
      <c r="CY36" s="207">
        <v>0</v>
      </c>
    </row>
    <row r="37" spans="1:103" x14ac:dyDescent="0.25">
      <c r="A37" s="208" t="str">
        <f t="shared" si="0"/>
        <v>Gain/(Loss) on Sale Of Invest.(Rev)</v>
      </c>
      <c r="B37" s="201" t="s">
        <v>406</v>
      </c>
      <c r="C37" s="229" t="s">
        <v>909</v>
      </c>
      <c r="D37" s="229" t="s">
        <v>910</v>
      </c>
      <c r="E37" s="229" t="s">
        <v>911</v>
      </c>
      <c r="F37" s="231" t="s">
        <v>920</v>
      </c>
      <c r="G37" s="231" t="s">
        <v>921</v>
      </c>
      <c r="H37" s="205" t="s">
        <v>915</v>
      </c>
      <c r="I37" s="229" t="s">
        <v>916</v>
      </c>
      <c r="J37" s="198" t="s">
        <v>917</v>
      </c>
      <c r="K37" s="231" t="s">
        <v>923</v>
      </c>
      <c r="BB37"/>
      <c r="CY37" s="207">
        <v>0</v>
      </c>
    </row>
    <row r="38" spans="1:103" x14ac:dyDescent="0.25">
      <c r="A38" s="208" t="str">
        <f t="shared" si="0"/>
        <v>Interest And Invest. Income (Rev)</v>
      </c>
      <c r="B38" s="201" t="s">
        <v>195</v>
      </c>
      <c r="C38" s="201" t="s">
        <v>5942</v>
      </c>
      <c r="D38" s="201" t="s">
        <v>5943</v>
      </c>
      <c r="E38" s="201" t="s">
        <v>5944</v>
      </c>
      <c r="F38" s="201" t="s">
        <v>5948</v>
      </c>
      <c r="G38" s="201" t="s">
        <v>5949</v>
      </c>
      <c r="H38" s="201" t="s">
        <v>5945</v>
      </c>
      <c r="I38" s="201" t="s">
        <v>5946</v>
      </c>
      <c r="J38" s="201" t="s">
        <v>5947</v>
      </c>
      <c r="K38" s="201" t="s">
        <v>5950</v>
      </c>
      <c r="BB38"/>
      <c r="CY38" s="207">
        <v>0</v>
      </c>
    </row>
    <row r="39" spans="1:103" x14ac:dyDescent="0.25">
      <c r="A39" s="208" t="str">
        <f t="shared" si="0"/>
        <v>Other Revenues</v>
      </c>
      <c r="B39" s="201" t="s">
        <v>159</v>
      </c>
      <c r="C39" s="201" t="s">
        <v>5798</v>
      </c>
      <c r="D39" s="201" t="s">
        <v>5798</v>
      </c>
      <c r="E39" s="201" t="s">
        <v>5799</v>
      </c>
      <c r="F39" s="201" t="s">
        <v>5800</v>
      </c>
      <c r="G39" s="201" t="s">
        <v>5801</v>
      </c>
      <c r="H39" s="201" t="s">
        <v>5802</v>
      </c>
      <c r="I39" s="201" t="s">
        <v>5803</v>
      </c>
      <c r="J39" s="201" t="s">
        <v>5804</v>
      </c>
      <c r="K39" s="201" t="s">
        <v>5805</v>
      </c>
      <c r="BB39"/>
      <c r="CY39" s="207">
        <v>0</v>
      </c>
    </row>
    <row r="40" spans="1:103" x14ac:dyDescent="0.25">
      <c r="A40" s="208" t="str">
        <f t="shared" si="0"/>
        <v>Total Revenues</v>
      </c>
      <c r="B40" s="201" t="s">
        <v>93</v>
      </c>
      <c r="C40" t="s">
        <v>5806</v>
      </c>
      <c r="D40" t="s">
        <v>5807</v>
      </c>
      <c r="E40" t="s">
        <v>5808</v>
      </c>
      <c r="F40" t="s">
        <v>5809</v>
      </c>
      <c r="G40" t="s">
        <v>5810</v>
      </c>
      <c r="H40" t="s">
        <v>5811</v>
      </c>
      <c r="I40" t="s">
        <v>5812</v>
      </c>
      <c r="J40" t="s">
        <v>5813</v>
      </c>
      <c r="K40" t="s">
        <v>5814</v>
      </c>
      <c r="BB40"/>
      <c r="CY40" s="207">
        <v>0</v>
      </c>
    </row>
    <row r="41" spans="1:103" x14ac:dyDescent="0.25">
      <c r="A41" s="208" t="str">
        <f t="shared" si="0"/>
        <v>Cost Of Goods Sold</v>
      </c>
      <c r="B41" s="201" t="s">
        <v>160</v>
      </c>
      <c r="C41" s="201" t="s">
        <v>5815</v>
      </c>
      <c r="D41" s="201" t="s">
        <v>5816</v>
      </c>
      <c r="E41" s="201" t="s">
        <v>5817</v>
      </c>
      <c r="F41" s="201" t="s">
        <v>5818</v>
      </c>
      <c r="G41" s="201" t="s">
        <v>5819</v>
      </c>
      <c r="H41" s="201" t="s">
        <v>5820</v>
      </c>
      <c r="I41" s="201" t="s">
        <v>5821</v>
      </c>
      <c r="J41" s="201" t="s">
        <v>5822</v>
      </c>
      <c r="K41" s="201" t="s">
        <v>5823</v>
      </c>
      <c r="BB41"/>
      <c r="CY41" s="207">
        <v>0</v>
      </c>
    </row>
    <row r="42" spans="1:103" x14ac:dyDescent="0.25">
      <c r="A42" s="208" t="str">
        <f t="shared" si="0"/>
        <v>Finance Div. Operating Exp.</v>
      </c>
      <c r="B42" s="201" t="s">
        <v>196</v>
      </c>
      <c r="C42" s="201" t="s">
        <v>5951</v>
      </c>
      <c r="D42" s="201" t="s">
        <v>5952</v>
      </c>
      <c r="E42" s="201" t="s">
        <v>5953</v>
      </c>
      <c r="F42" s="201" t="s">
        <v>5969</v>
      </c>
      <c r="G42" s="201" t="s">
        <v>5970</v>
      </c>
      <c r="H42" s="201" t="s">
        <v>5960</v>
      </c>
      <c r="I42" s="201" t="s">
        <v>5961</v>
      </c>
      <c r="J42" s="201" t="s">
        <v>5962</v>
      </c>
      <c r="K42" s="201" t="s">
        <v>5975</v>
      </c>
      <c r="BB42"/>
      <c r="CY42" s="207">
        <v>0</v>
      </c>
    </row>
    <row r="43" spans="1:103" x14ac:dyDescent="0.25">
      <c r="A43" s="208" t="str">
        <f t="shared" si="0"/>
        <v>Insurance Div. Operating Exp.</v>
      </c>
      <c r="B43" s="201" t="s">
        <v>197</v>
      </c>
      <c r="C43" s="201" t="s">
        <v>5954</v>
      </c>
      <c r="D43" s="201" t="s">
        <v>5955</v>
      </c>
      <c r="E43" s="201" t="s">
        <v>5956</v>
      </c>
      <c r="F43" s="201" t="s">
        <v>5971</v>
      </c>
      <c r="G43" s="201" t="s">
        <v>5972</v>
      </c>
      <c r="H43" s="201" t="s">
        <v>5963</v>
      </c>
      <c r="I43" s="201" t="s">
        <v>5964</v>
      </c>
      <c r="J43" s="201" t="s">
        <v>5965</v>
      </c>
      <c r="K43" s="201" t="s">
        <v>5976</v>
      </c>
      <c r="BB43"/>
      <c r="CY43" s="207">
        <v>0</v>
      </c>
    </row>
    <row r="44" spans="1:103" x14ac:dyDescent="0.25">
      <c r="A44" s="208" t="str">
        <f t="shared" si="0"/>
        <v>Interest Expense - Finance Division</v>
      </c>
      <c r="B44" s="201" t="s">
        <v>198</v>
      </c>
      <c r="C44" s="201" t="s">
        <v>5957</v>
      </c>
      <c r="D44" s="201" t="s">
        <v>5958</v>
      </c>
      <c r="E44" s="201" t="s">
        <v>5959</v>
      </c>
      <c r="F44" s="201" t="s">
        <v>5973</v>
      </c>
      <c r="G44" s="201" t="s">
        <v>5974</v>
      </c>
      <c r="H44" s="201" t="s">
        <v>5966</v>
      </c>
      <c r="I44" s="201" t="s">
        <v>5967</v>
      </c>
      <c r="J44" s="201" t="s">
        <v>5968</v>
      </c>
      <c r="K44" s="201" t="s">
        <v>5977</v>
      </c>
      <c r="BB44"/>
      <c r="CY44" s="207">
        <v>0</v>
      </c>
    </row>
    <row r="45" spans="1:103" x14ac:dyDescent="0.25">
      <c r="A45" s="208" t="str">
        <f t="shared" si="0"/>
        <v>Gross Profit</v>
      </c>
      <c r="B45" s="201" t="s">
        <v>88</v>
      </c>
      <c r="C45" t="s">
        <v>5824</v>
      </c>
      <c r="D45" t="s">
        <v>5824</v>
      </c>
      <c r="E45" t="s">
        <v>5825</v>
      </c>
      <c r="F45" t="s">
        <v>5826</v>
      </c>
      <c r="G45" t="s">
        <v>5827</v>
      </c>
      <c r="H45" t="s">
        <v>5828</v>
      </c>
      <c r="I45" t="s">
        <v>5829</v>
      </c>
      <c r="J45" t="s">
        <v>5830</v>
      </c>
      <c r="K45" t="s">
        <v>5831</v>
      </c>
      <c r="BB45"/>
      <c r="CY45" s="207">
        <v>0</v>
      </c>
    </row>
    <row r="46" spans="1:103" x14ac:dyDescent="0.25">
      <c r="A46" s="208" t="str">
        <f t="shared" si="0"/>
        <v>Selling General &amp; Admin Exp.</v>
      </c>
      <c r="B46" s="201" t="s">
        <v>161</v>
      </c>
      <c r="C46" t="s">
        <v>5832</v>
      </c>
      <c r="D46" t="s">
        <v>5833</v>
      </c>
      <c r="E46" t="s">
        <v>5834</v>
      </c>
      <c r="F46" t="s">
        <v>5835</v>
      </c>
      <c r="G46" t="s">
        <v>5836</v>
      </c>
      <c r="H46" t="s">
        <v>5837</v>
      </c>
      <c r="I46" t="s">
        <v>5838</v>
      </c>
      <c r="J46" t="s">
        <v>5839</v>
      </c>
      <c r="K46" t="s">
        <v>5840</v>
      </c>
      <c r="BB46"/>
      <c r="CY46" s="207">
        <v>0</v>
      </c>
    </row>
    <row r="47" spans="1:103" x14ac:dyDescent="0.25">
      <c r="A47" s="208" t="str">
        <f t="shared" si="0"/>
        <v>Exploration/Drilling Costs</v>
      </c>
      <c r="B47" s="201" t="s">
        <v>245</v>
      </c>
      <c r="C47" s="201" t="s">
        <v>1582</v>
      </c>
      <c r="D47" s="201" t="s">
        <v>1583</v>
      </c>
      <c r="E47" s="201" t="s">
        <v>5978</v>
      </c>
      <c r="F47" s="201" t="s">
        <v>5987</v>
      </c>
      <c r="G47" s="201" t="s">
        <v>5988</v>
      </c>
      <c r="H47" s="201" t="s">
        <v>1624</v>
      </c>
      <c r="I47" s="201" t="s">
        <v>5982</v>
      </c>
      <c r="J47" s="201" t="s">
        <v>5983</v>
      </c>
      <c r="K47" s="201" t="s">
        <v>1676</v>
      </c>
      <c r="BB47"/>
      <c r="CY47" s="207">
        <v>0</v>
      </c>
    </row>
    <row r="48" spans="1:103" x14ac:dyDescent="0.25">
      <c r="A48" s="208" t="str">
        <f t="shared" si="0"/>
        <v>Provision for Bad Debts</v>
      </c>
      <c r="B48" s="201" t="s">
        <v>246</v>
      </c>
      <c r="C48" s="201" t="s">
        <v>5979</v>
      </c>
      <c r="D48" s="201" t="s">
        <v>5980</v>
      </c>
      <c r="E48" s="201" t="s">
        <v>5981</v>
      </c>
      <c r="F48" s="201" t="s">
        <v>5989</v>
      </c>
      <c r="G48" s="201" t="s">
        <v>5990</v>
      </c>
      <c r="H48" s="201" t="s">
        <v>5984</v>
      </c>
      <c r="I48" s="201" t="s">
        <v>5985</v>
      </c>
      <c r="J48" s="201" t="s">
        <v>5986</v>
      </c>
      <c r="K48" s="201" t="s">
        <v>5991</v>
      </c>
      <c r="BB48"/>
      <c r="CY48" s="207">
        <v>0</v>
      </c>
    </row>
    <row r="49" spans="1:103" x14ac:dyDescent="0.25">
      <c r="A49" s="208" t="str">
        <f t="shared" si="0"/>
        <v>Stock-Based Compensation</v>
      </c>
      <c r="B49" s="201" t="s">
        <v>239</v>
      </c>
      <c r="C49" s="201" t="s">
        <v>7226</v>
      </c>
      <c r="D49" s="201" t="s">
        <v>7227</v>
      </c>
      <c r="E49" s="201" t="s">
        <v>7228</v>
      </c>
      <c r="F49" s="201" t="s">
        <v>7232</v>
      </c>
      <c r="G49" s="201" t="s">
        <v>7233</v>
      </c>
      <c r="H49" s="201" t="s">
        <v>7229</v>
      </c>
      <c r="I49" s="201" t="s">
        <v>7230</v>
      </c>
      <c r="J49" s="201" t="s">
        <v>7231</v>
      </c>
      <c r="K49" s="201" t="s">
        <v>7234</v>
      </c>
      <c r="BB49"/>
      <c r="CY49" s="207">
        <v>0</v>
      </c>
    </row>
    <row r="50" spans="1:103" x14ac:dyDescent="0.25">
      <c r="A50" s="208" t="str">
        <f t="shared" si="0"/>
        <v>Pre-Opening Costs</v>
      </c>
      <c r="B50" s="201" t="s">
        <v>247</v>
      </c>
      <c r="C50" s="201" t="s">
        <v>5992</v>
      </c>
      <c r="D50" s="201" t="s">
        <v>5993</v>
      </c>
      <c r="E50" s="201" t="s">
        <v>5994</v>
      </c>
      <c r="F50" s="201" t="s">
        <v>5998</v>
      </c>
      <c r="G50" s="201" t="s">
        <v>5999</v>
      </c>
      <c r="H50" s="201" t="s">
        <v>5995</v>
      </c>
      <c r="I50" s="201" t="s">
        <v>5996</v>
      </c>
      <c r="J50" s="201" t="s">
        <v>5997</v>
      </c>
      <c r="K50" s="201" t="s">
        <v>6000</v>
      </c>
      <c r="BB50"/>
      <c r="CY50" s="207">
        <v>0</v>
      </c>
    </row>
    <row r="51" spans="1:103" x14ac:dyDescent="0.25">
      <c r="A51" s="208" t="str">
        <f t="shared" si="0"/>
        <v>R &amp; D Exp.</v>
      </c>
      <c r="B51" s="201" t="s">
        <v>94</v>
      </c>
      <c r="C51" t="s">
        <v>7048</v>
      </c>
      <c r="D51" t="s">
        <v>7049</v>
      </c>
      <c r="E51" t="s">
        <v>7050</v>
      </c>
      <c r="F51" t="s">
        <v>7051</v>
      </c>
      <c r="G51" t="s">
        <v>7052</v>
      </c>
      <c r="H51" t="s">
        <v>7053</v>
      </c>
      <c r="I51" t="s">
        <v>7054</v>
      </c>
      <c r="J51" t="s">
        <v>7055</v>
      </c>
      <c r="K51" t="s">
        <v>7056</v>
      </c>
      <c r="BB51"/>
      <c r="CY51" s="207">
        <v>0</v>
      </c>
    </row>
    <row r="52" spans="1:103" x14ac:dyDescent="0.25">
      <c r="A52" s="208" t="str">
        <f t="shared" si="0"/>
        <v>Depreciation &amp; Amort.</v>
      </c>
      <c r="B52" s="201" t="s">
        <v>162</v>
      </c>
      <c r="C52" s="201" t="s">
        <v>5841</v>
      </c>
      <c r="D52" s="201" t="s">
        <v>5842</v>
      </c>
      <c r="E52" s="201" t="s">
        <v>5843</v>
      </c>
      <c r="F52" s="201" t="s">
        <v>5844</v>
      </c>
      <c r="G52" s="201" t="s">
        <v>5845</v>
      </c>
      <c r="H52" s="201" t="s">
        <v>5846</v>
      </c>
      <c r="I52" s="201" t="s">
        <v>5847</v>
      </c>
      <c r="J52" s="201" t="s">
        <v>5848</v>
      </c>
      <c r="K52" s="201" t="s">
        <v>5849</v>
      </c>
      <c r="BB52"/>
      <c r="CY52" s="207">
        <v>0</v>
      </c>
    </row>
    <row r="53" spans="1:103" x14ac:dyDescent="0.25">
      <c r="A53" s="208" t="str">
        <f t="shared" si="0"/>
        <v>Amort. of Goodwill and Intangibles</v>
      </c>
      <c r="B53" s="201" t="s">
        <v>177</v>
      </c>
      <c r="C53" s="201" t="s">
        <v>6001</v>
      </c>
      <c r="D53" s="201" t="s">
        <v>6002</v>
      </c>
      <c r="E53" s="201" t="s">
        <v>6003</v>
      </c>
      <c r="F53" s="201" t="s">
        <v>6013</v>
      </c>
      <c r="G53" s="201" t="s">
        <v>6014</v>
      </c>
      <c r="H53" s="201" t="s">
        <v>6007</v>
      </c>
      <c r="I53" s="201" t="s">
        <v>6008</v>
      </c>
      <c r="J53" s="201" t="s">
        <v>6009</v>
      </c>
      <c r="K53" s="201" t="s">
        <v>6017</v>
      </c>
      <c r="BB53"/>
      <c r="CY53" s="207">
        <v>0</v>
      </c>
    </row>
    <row r="54" spans="1:103" x14ac:dyDescent="0.25">
      <c r="A54" s="208" t="str">
        <f t="shared" si="0"/>
        <v>Impair. of Oil, Gas &amp; Mineral Prop.</v>
      </c>
      <c r="B54" s="201" t="s">
        <v>233</v>
      </c>
      <c r="C54" s="201" t="s">
        <v>6004</v>
      </c>
      <c r="D54" s="201" t="s">
        <v>6005</v>
      </c>
      <c r="E54" s="201" t="s">
        <v>6006</v>
      </c>
      <c r="F54" s="201" t="s">
        <v>6015</v>
      </c>
      <c r="G54" s="201" t="s">
        <v>6016</v>
      </c>
      <c r="H54" s="201" t="s">
        <v>6010</v>
      </c>
      <c r="I54" s="201" t="s">
        <v>6011</v>
      </c>
      <c r="J54" s="201" t="s">
        <v>6012</v>
      </c>
      <c r="K54" s="201" t="s">
        <v>6018</v>
      </c>
      <c r="BB54"/>
      <c r="CY54" s="207">
        <v>0</v>
      </c>
    </row>
    <row r="55" spans="1:103" x14ac:dyDescent="0.25">
      <c r="A55" s="208" t="str">
        <f t="shared" si="0"/>
        <v>Other Operating Expense/(Income)</v>
      </c>
      <c r="B55" s="201" t="s">
        <v>96</v>
      </c>
      <c r="C55" s="201" t="s">
        <v>7057</v>
      </c>
      <c r="D55" s="201" t="s">
        <v>7058</v>
      </c>
      <c r="E55" s="201" t="s">
        <v>7059</v>
      </c>
      <c r="F55" s="201" t="s">
        <v>7060</v>
      </c>
      <c r="G55" s="201" t="s">
        <v>7061</v>
      </c>
      <c r="H55" s="201" t="s">
        <v>7062</v>
      </c>
      <c r="I55" s="201" t="s">
        <v>7063</v>
      </c>
      <c r="J55" s="201" t="s">
        <v>7064</v>
      </c>
      <c r="K55" s="201" t="s">
        <v>7065</v>
      </c>
      <c r="BB55"/>
      <c r="CY55" s="207">
        <v>0</v>
      </c>
    </row>
    <row r="56" spans="1:103" x14ac:dyDescent="0.25">
      <c r="A56" s="208" t="str">
        <f t="shared" si="0"/>
        <v>Other Operating Exp., Total</v>
      </c>
      <c r="B56" s="201" t="s">
        <v>97</v>
      </c>
      <c r="C56" s="201" t="s">
        <v>7066</v>
      </c>
      <c r="D56" s="201" t="s">
        <v>7067</v>
      </c>
      <c r="E56" s="201" t="s">
        <v>7068</v>
      </c>
      <c r="F56" s="201" t="s">
        <v>7069</v>
      </c>
      <c r="G56" s="201" t="s">
        <v>7070</v>
      </c>
      <c r="H56" s="201" t="s">
        <v>5837</v>
      </c>
      <c r="I56" s="201" t="s">
        <v>7071</v>
      </c>
      <c r="J56" s="201" t="s">
        <v>7072</v>
      </c>
      <c r="K56" s="201" t="s">
        <v>7073</v>
      </c>
      <c r="BB56"/>
      <c r="CY56" s="207">
        <v>0</v>
      </c>
    </row>
    <row r="57" spans="1:103" x14ac:dyDescent="0.25">
      <c r="A57" s="208" t="str">
        <f t="shared" si="0"/>
        <v>Operating Income</v>
      </c>
      <c r="B57" s="201" t="s">
        <v>98</v>
      </c>
      <c r="C57" t="s">
        <v>7074</v>
      </c>
      <c r="D57" s="201" t="s">
        <v>7075</v>
      </c>
      <c r="E57" t="s">
        <v>7076</v>
      </c>
      <c r="F57" t="s">
        <v>7077</v>
      </c>
      <c r="G57" t="s">
        <v>7078</v>
      </c>
      <c r="H57" t="s">
        <v>7079</v>
      </c>
      <c r="I57" t="s">
        <v>7080</v>
      </c>
      <c r="J57" t="s">
        <v>7081</v>
      </c>
      <c r="K57" t="s">
        <v>7082</v>
      </c>
      <c r="BB57"/>
      <c r="CY57" s="207">
        <v>0</v>
      </c>
    </row>
    <row r="58" spans="1:103" x14ac:dyDescent="0.25">
      <c r="A58" s="208" t="str">
        <f t="shared" si="0"/>
        <v>Interest Expense</v>
      </c>
      <c r="B58" s="201" t="s">
        <v>87</v>
      </c>
      <c r="C58" s="201" t="s">
        <v>7083</v>
      </c>
      <c r="D58" s="201" t="s">
        <v>7084</v>
      </c>
      <c r="E58" s="201" t="s">
        <v>7085</v>
      </c>
      <c r="F58" s="201" t="s">
        <v>7086</v>
      </c>
      <c r="G58" s="201" t="s">
        <v>7087</v>
      </c>
      <c r="H58" s="201" t="s">
        <v>4763</v>
      </c>
      <c r="I58" s="201" t="s">
        <v>7088</v>
      </c>
      <c r="J58" s="201" t="s">
        <v>7089</v>
      </c>
      <c r="K58" s="201" t="s">
        <v>7090</v>
      </c>
      <c r="BB58"/>
      <c r="CY58" s="207">
        <v>0</v>
      </c>
    </row>
    <row r="59" spans="1:103" x14ac:dyDescent="0.25">
      <c r="A59" s="208" t="str">
        <f t="shared" si="0"/>
        <v>Interest and Invest. Income</v>
      </c>
      <c r="B59" s="201" t="s">
        <v>99</v>
      </c>
      <c r="C59" s="201" t="s">
        <v>7091</v>
      </c>
      <c r="D59" s="201" t="s">
        <v>7092</v>
      </c>
      <c r="E59" s="201" t="s">
        <v>7093</v>
      </c>
      <c r="F59" s="201" t="s">
        <v>7094</v>
      </c>
      <c r="G59" s="201" t="s">
        <v>7095</v>
      </c>
      <c r="H59" s="201" t="s">
        <v>7096</v>
      </c>
      <c r="I59" s="201" t="s">
        <v>7097</v>
      </c>
      <c r="J59" s="201" t="s">
        <v>7098</v>
      </c>
      <c r="K59" s="201" t="s">
        <v>7099</v>
      </c>
      <c r="BB59"/>
      <c r="CY59" s="207">
        <v>0</v>
      </c>
    </row>
    <row r="60" spans="1:103" x14ac:dyDescent="0.25">
      <c r="A60" s="208" t="str">
        <f t="shared" si="0"/>
        <v>Net Interest Exp.</v>
      </c>
      <c r="B60" s="201" t="s">
        <v>100</v>
      </c>
      <c r="C60" t="s">
        <v>7100</v>
      </c>
      <c r="D60" s="201" t="s">
        <v>7101</v>
      </c>
      <c r="E60" t="s">
        <v>7102</v>
      </c>
      <c r="F60" t="s">
        <v>7103</v>
      </c>
      <c r="G60" t="s">
        <v>7104</v>
      </c>
      <c r="H60" t="s">
        <v>7105</v>
      </c>
      <c r="I60" t="s">
        <v>7106</v>
      </c>
      <c r="J60" t="s">
        <v>7107</v>
      </c>
      <c r="K60" t="s">
        <v>7108</v>
      </c>
      <c r="BB60"/>
      <c r="CY60" s="207">
        <v>0</v>
      </c>
    </row>
    <row r="61" spans="1:103" x14ac:dyDescent="0.25">
      <c r="A61" s="208" t="str">
        <f t="shared" si="0"/>
        <v>Income / (Loss) from Affiliates</v>
      </c>
      <c r="B61" s="201" t="s">
        <v>199</v>
      </c>
      <c r="C61" s="201" t="s">
        <v>7109</v>
      </c>
      <c r="D61" s="201" t="s">
        <v>7110</v>
      </c>
      <c r="E61" s="201" t="s">
        <v>7111</v>
      </c>
      <c r="F61" s="201" t="s">
        <v>7112</v>
      </c>
      <c r="G61" s="201" t="s">
        <v>7113</v>
      </c>
      <c r="H61" s="201" t="s">
        <v>7114</v>
      </c>
      <c r="I61" s="201" t="s">
        <v>7115</v>
      </c>
      <c r="J61" s="201" t="s">
        <v>7116</v>
      </c>
      <c r="K61" s="201" t="s">
        <v>7117</v>
      </c>
      <c r="BB61"/>
      <c r="CY61" s="207">
        <v>0</v>
      </c>
    </row>
    <row r="62" spans="1:103" x14ac:dyDescent="0.25">
      <c r="A62" s="208" t="str">
        <f t="shared" si="0"/>
        <v>Currency Exchange Gains (Loss)</v>
      </c>
      <c r="B62" s="201" t="s">
        <v>200</v>
      </c>
      <c r="C62" s="201" t="s">
        <v>6019</v>
      </c>
      <c r="D62" s="201" t="s">
        <v>6020</v>
      </c>
      <c r="E62" s="201" t="s">
        <v>6021</v>
      </c>
      <c r="F62" s="201" t="s">
        <v>6025</v>
      </c>
      <c r="G62" s="201" t="s">
        <v>6026</v>
      </c>
      <c r="H62" s="201" t="s">
        <v>6022</v>
      </c>
      <c r="I62" s="201" t="s">
        <v>6023</v>
      </c>
      <c r="J62" s="201" t="s">
        <v>6024</v>
      </c>
      <c r="K62" s="201" t="s">
        <v>6027</v>
      </c>
      <c r="BB62"/>
      <c r="CY62" s="207">
        <v>0</v>
      </c>
    </row>
    <row r="63" spans="1:103" x14ac:dyDescent="0.25">
      <c r="A63" s="208" t="str">
        <f t="shared" si="0"/>
        <v>Other Non-Operating Inc. (Exp.)</v>
      </c>
      <c r="B63" s="201" t="s">
        <v>163</v>
      </c>
      <c r="C63" s="201" t="s">
        <v>7118</v>
      </c>
      <c r="D63" s="201" t="s">
        <v>7119</v>
      </c>
      <c r="E63" s="201" t="s">
        <v>7120</v>
      </c>
      <c r="F63" s="201" t="s">
        <v>7121</v>
      </c>
      <c r="G63" s="201" t="s">
        <v>7122</v>
      </c>
      <c r="H63" s="201" t="s">
        <v>7123</v>
      </c>
      <c r="I63" s="201" t="s">
        <v>7124</v>
      </c>
      <c r="J63" s="201" t="s">
        <v>7125</v>
      </c>
      <c r="K63" s="201" t="s">
        <v>7126</v>
      </c>
      <c r="BB63"/>
      <c r="CY63" s="207">
        <v>0</v>
      </c>
    </row>
    <row r="64" spans="1:103" x14ac:dyDescent="0.25">
      <c r="A64" s="208" t="str">
        <f t="shared" si="0"/>
        <v>EBT Excl Unusual Items</v>
      </c>
      <c r="B64" s="201" t="s">
        <v>101</v>
      </c>
      <c r="C64" t="s">
        <v>7127</v>
      </c>
      <c r="D64" s="201" t="s">
        <v>7128</v>
      </c>
      <c r="E64" t="s">
        <v>7129</v>
      </c>
      <c r="F64" t="s">
        <v>7130</v>
      </c>
      <c r="G64" t="s">
        <v>7131</v>
      </c>
      <c r="H64" t="s">
        <v>7132</v>
      </c>
      <c r="I64" t="s">
        <v>7133</v>
      </c>
      <c r="J64" t="s">
        <v>7134</v>
      </c>
      <c r="K64" t="s">
        <v>7135</v>
      </c>
      <c r="BB64"/>
      <c r="CY64" s="207">
        <v>0</v>
      </c>
    </row>
    <row r="65" spans="1:103" x14ac:dyDescent="0.25">
      <c r="A65" s="208" t="str">
        <f t="shared" si="0"/>
        <v>Restructuring Charges</v>
      </c>
      <c r="B65" s="201" t="s">
        <v>201</v>
      </c>
      <c r="C65" s="201" t="s">
        <v>6028</v>
      </c>
      <c r="D65" s="201" t="s">
        <v>6029</v>
      </c>
      <c r="E65" s="201" t="s">
        <v>6030</v>
      </c>
      <c r="F65" s="201" t="s">
        <v>6040</v>
      </c>
      <c r="G65" s="201" t="s">
        <v>6041</v>
      </c>
      <c r="H65" s="201" t="s">
        <v>6034</v>
      </c>
      <c r="I65" s="201" t="s">
        <v>6035</v>
      </c>
      <c r="J65" s="201" t="s">
        <v>6036</v>
      </c>
      <c r="K65" s="201" t="s">
        <v>6044</v>
      </c>
      <c r="BB65"/>
      <c r="CY65" s="207">
        <v>0</v>
      </c>
    </row>
    <row r="66" spans="1:103" x14ac:dyDescent="0.25">
      <c r="A66" s="208" t="str">
        <f t="shared" si="0"/>
        <v>Merger &amp; Related Restruct. Charges</v>
      </c>
      <c r="B66" s="201" t="s">
        <v>164</v>
      </c>
      <c r="C66" s="201" t="s">
        <v>6031</v>
      </c>
      <c r="D66" s="201" t="s">
        <v>6032</v>
      </c>
      <c r="E66" s="201" t="s">
        <v>6033</v>
      </c>
      <c r="F66" s="201" t="s">
        <v>6042</v>
      </c>
      <c r="G66" s="201" t="s">
        <v>6043</v>
      </c>
      <c r="H66" s="201" t="s">
        <v>6037</v>
      </c>
      <c r="I66" s="201" t="s">
        <v>6038</v>
      </c>
      <c r="J66" s="201" t="s">
        <v>6039</v>
      </c>
      <c r="K66" s="201" t="s">
        <v>6045</v>
      </c>
      <c r="BB66"/>
      <c r="CY66" s="207">
        <v>0</v>
      </c>
    </row>
    <row r="67" spans="1:103" x14ac:dyDescent="0.25">
      <c r="A67" s="208" t="str">
        <f t="shared" si="0"/>
        <v>Impairment of Goodwill</v>
      </c>
      <c r="B67" s="201" t="s">
        <v>102</v>
      </c>
      <c r="C67" s="201" t="s">
        <v>6046</v>
      </c>
      <c r="D67" s="201" t="s">
        <v>6047</v>
      </c>
      <c r="E67" s="201" t="s">
        <v>6048</v>
      </c>
      <c r="F67" s="229" t="s">
        <v>6063</v>
      </c>
      <c r="G67" s="229" t="s">
        <v>6064</v>
      </c>
      <c r="H67" s="198" t="s">
        <v>1780</v>
      </c>
      <c r="I67" s="229" t="s">
        <v>6055</v>
      </c>
      <c r="J67" s="229" t="s">
        <v>6056</v>
      </c>
      <c r="K67" s="201" t="s">
        <v>6069</v>
      </c>
      <c r="BB67"/>
      <c r="CY67" s="207">
        <v>0</v>
      </c>
    </row>
    <row r="68" spans="1:103" x14ac:dyDescent="0.25">
      <c r="A68" s="208" t="str">
        <f t="shared" si="0"/>
        <v>Gain (Loss) On Sale Of Invest.</v>
      </c>
      <c r="B68" s="201" t="s">
        <v>103</v>
      </c>
      <c r="C68" s="235" t="s">
        <v>6049</v>
      </c>
      <c r="D68" s="201" t="s">
        <v>6050</v>
      </c>
      <c r="E68" s="201" t="s">
        <v>6051</v>
      </c>
      <c r="F68" s="229" t="s">
        <v>6065</v>
      </c>
      <c r="G68" s="229" t="s">
        <v>6066</v>
      </c>
      <c r="H68" s="198" t="s">
        <v>6057</v>
      </c>
      <c r="I68" s="229" t="s">
        <v>6058</v>
      </c>
      <c r="J68" s="229" t="s">
        <v>6059</v>
      </c>
      <c r="K68" s="201" t="s">
        <v>6070</v>
      </c>
      <c r="BB68"/>
      <c r="CY68" s="207">
        <v>0</v>
      </c>
    </row>
    <row r="69" spans="1:103" x14ac:dyDescent="0.25">
      <c r="A69" s="208" t="str">
        <f t="shared" si="0"/>
        <v>Gain (Loss) On Sale Of Assets</v>
      </c>
      <c r="B69" s="201" t="s">
        <v>104</v>
      </c>
      <c r="C69" s="201" t="s">
        <v>6052</v>
      </c>
      <c r="D69" s="201" t="s">
        <v>6053</v>
      </c>
      <c r="E69" s="201" t="s">
        <v>6054</v>
      </c>
      <c r="F69" s="229" t="s">
        <v>6067</v>
      </c>
      <c r="G69" s="229" t="s">
        <v>6068</v>
      </c>
      <c r="H69" s="198" t="s">
        <v>6060</v>
      </c>
      <c r="I69" s="229" t="s">
        <v>6061</v>
      </c>
      <c r="J69" s="229" t="s">
        <v>6062</v>
      </c>
      <c r="K69" s="201" t="s">
        <v>6071</v>
      </c>
      <c r="BB69"/>
      <c r="CY69" s="207">
        <v>0</v>
      </c>
    </row>
    <row r="70" spans="1:103" x14ac:dyDescent="0.25">
      <c r="A70" s="208" t="str">
        <f t="shared" si="0"/>
        <v>Asset Writedown</v>
      </c>
      <c r="B70" s="201" t="s">
        <v>202</v>
      </c>
      <c r="C70" s="229" t="s">
        <v>924</v>
      </c>
      <c r="D70" s="229" t="s">
        <v>925</v>
      </c>
      <c r="E70" s="229" t="s">
        <v>926</v>
      </c>
      <c r="F70" s="229" t="s">
        <v>930</v>
      </c>
      <c r="G70" s="229" t="s">
        <v>931</v>
      </c>
      <c r="H70" s="205" t="s">
        <v>927</v>
      </c>
      <c r="I70" s="229" t="s">
        <v>928</v>
      </c>
      <c r="J70" s="229" t="s">
        <v>929</v>
      </c>
      <c r="K70" s="229" t="s">
        <v>932</v>
      </c>
      <c r="BB70"/>
      <c r="CY70" s="207">
        <v>0</v>
      </c>
    </row>
    <row r="71" spans="1:103" x14ac:dyDescent="0.25">
      <c r="A71" s="208" t="str">
        <f t="shared" si="0"/>
        <v>In Process R &amp; D Exp.</v>
      </c>
      <c r="B71" s="201" t="s">
        <v>407</v>
      </c>
      <c r="C71" s="201" t="s">
        <v>6072</v>
      </c>
      <c r="D71" s="201" t="s">
        <v>6073</v>
      </c>
      <c r="E71" s="201" t="s">
        <v>6074</v>
      </c>
      <c r="F71" s="201" t="s">
        <v>6089</v>
      </c>
      <c r="G71" s="201" t="s">
        <v>6090</v>
      </c>
      <c r="H71" s="201" t="s">
        <v>6080</v>
      </c>
      <c r="I71" s="201" t="s">
        <v>6081</v>
      </c>
      <c r="J71" s="201" t="s">
        <v>6082</v>
      </c>
      <c r="K71" s="201" t="s">
        <v>6095</v>
      </c>
      <c r="BB71"/>
      <c r="CY71" s="207">
        <v>0</v>
      </c>
    </row>
    <row r="72" spans="1:103" x14ac:dyDescent="0.25">
      <c r="A72" s="208" t="str">
        <f t="shared" si="0"/>
        <v>Insurance Settlements</v>
      </c>
      <c r="B72" s="201" t="s">
        <v>203</v>
      </c>
      <c r="C72" s="201" t="s">
        <v>6075</v>
      </c>
      <c r="D72" s="201" t="s">
        <v>6076</v>
      </c>
      <c r="E72" s="201" t="s">
        <v>6077</v>
      </c>
      <c r="F72" s="201" t="s">
        <v>6091</v>
      </c>
      <c r="G72" s="201" t="s">
        <v>6092</v>
      </c>
      <c r="H72" s="201" t="s">
        <v>6083</v>
      </c>
      <c r="I72" s="201" t="s">
        <v>6084</v>
      </c>
      <c r="J72" s="201" t="s">
        <v>6085</v>
      </c>
      <c r="K72" s="201" t="s">
        <v>6096</v>
      </c>
      <c r="BB72"/>
      <c r="CY72" s="207">
        <v>0</v>
      </c>
    </row>
    <row r="73" spans="1:103" x14ac:dyDescent="0.25">
      <c r="A73" s="208" t="str">
        <f t="shared" ref="A73:A136" si="1">INDEX($B73:$CV73,$A$4)</f>
        <v>Legal Settlements</v>
      </c>
      <c r="B73" s="201" t="s">
        <v>204</v>
      </c>
      <c r="C73" s="201" t="s">
        <v>6078</v>
      </c>
      <c r="D73" s="201" t="s">
        <v>6078</v>
      </c>
      <c r="E73" s="201" t="s">
        <v>6079</v>
      </c>
      <c r="F73" s="201" t="s">
        <v>6093</v>
      </c>
      <c r="G73" s="201" t="s">
        <v>6094</v>
      </c>
      <c r="H73" s="201" t="s">
        <v>6086</v>
      </c>
      <c r="I73" s="201" t="s">
        <v>6087</v>
      </c>
      <c r="J73" s="201" t="s">
        <v>6088</v>
      </c>
      <c r="K73" s="201" t="s">
        <v>6097</v>
      </c>
      <c r="BB73"/>
      <c r="CY73" s="207">
        <v>0</v>
      </c>
    </row>
    <row r="74" spans="1:103" x14ac:dyDescent="0.25">
      <c r="A74" s="208" t="str">
        <f t="shared" si="1"/>
        <v>Other Unusual Items</v>
      </c>
      <c r="B74" s="201" t="s">
        <v>165</v>
      </c>
      <c r="C74" s="201" t="s">
        <v>6421</v>
      </c>
      <c r="D74" s="201" t="s">
        <v>6422</v>
      </c>
      <c r="E74" s="201" t="s">
        <v>6423</v>
      </c>
      <c r="F74" s="201" t="s">
        <v>6424</v>
      </c>
      <c r="G74" s="201" t="s">
        <v>6425</v>
      </c>
      <c r="H74" s="201" t="s">
        <v>6426</v>
      </c>
      <c r="I74" s="201" t="s">
        <v>6427</v>
      </c>
      <c r="J74" s="201" t="s">
        <v>6428</v>
      </c>
      <c r="K74" s="201" t="s">
        <v>6429</v>
      </c>
      <c r="BB74"/>
      <c r="CY74" s="207">
        <v>0</v>
      </c>
    </row>
    <row r="75" spans="1:103" x14ac:dyDescent="0.25">
      <c r="A75" s="208" t="str">
        <f t="shared" si="1"/>
        <v>EBT Incl Unusual Items</v>
      </c>
      <c r="B75" s="201" t="s">
        <v>105</v>
      </c>
      <c r="C75" t="s">
        <v>6412</v>
      </c>
      <c r="D75" t="s">
        <v>6413</v>
      </c>
      <c r="E75" t="s">
        <v>6414</v>
      </c>
      <c r="F75" t="s">
        <v>6415</v>
      </c>
      <c r="G75" t="s">
        <v>6416</v>
      </c>
      <c r="H75" t="s">
        <v>6417</v>
      </c>
      <c r="I75" t="s">
        <v>6418</v>
      </c>
      <c r="J75" t="s">
        <v>6419</v>
      </c>
      <c r="K75" t="s">
        <v>6420</v>
      </c>
      <c r="BB75"/>
      <c r="CY75" s="207">
        <v>0</v>
      </c>
    </row>
    <row r="76" spans="1:103" x14ac:dyDescent="0.25">
      <c r="A76" s="208" t="str">
        <f t="shared" si="1"/>
        <v>Income Tax Expense</v>
      </c>
      <c r="B76" s="201" t="s">
        <v>106</v>
      </c>
      <c r="C76" t="s">
        <v>6394</v>
      </c>
      <c r="D76" t="s">
        <v>6395</v>
      </c>
      <c r="E76" t="s">
        <v>6396</v>
      </c>
      <c r="F76" t="s">
        <v>6397</v>
      </c>
      <c r="G76" t="s">
        <v>6398</v>
      </c>
      <c r="H76" t="s">
        <v>6399</v>
      </c>
      <c r="I76" t="s">
        <v>6400</v>
      </c>
      <c r="J76" t="s">
        <v>6401</v>
      </c>
      <c r="K76" t="s">
        <v>6402</v>
      </c>
      <c r="BB76"/>
      <c r="CY76" s="207">
        <v>0</v>
      </c>
    </row>
    <row r="77" spans="1:103" x14ac:dyDescent="0.25">
      <c r="A77" s="208" t="str">
        <f t="shared" si="1"/>
        <v>Earnings from Cont. Ops.</v>
      </c>
      <c r="B77" s="201" t="s">
        <v>107</v>
      </c>
      <c r="C77" t="s">
        <v>6403</v>
      </c>
      <c r="D77" t="s">
        <v>6404</v>
      </c>
      <c r="E77" t="s">
        <v>6405</v>
      </c>
      <c r="F77" t="s">
        <v>6406</v>
      </c>
      <c r="G77" t="s">
        <v>6407</v>
      </c>
      <c r="H77" t="s">
        <v>6408</v>
      </c>
      <c r="I77" t="s">
        <v>6409</v>
      </c>
      <c r="J77" t="s">
        <v>6410</v>
      </c>
      <c r="K77" t="s">
        <v>6411</v>
      </c>
      <c r="BB77"/>
      <c r="CY77" s="207">
        <v>0</v>
      </c>
    </row>
    <row r="78" spans="1:103" x14ac:dyDescent="0.25">
      <c r="A78" s="208" t="str">
        <f t="shared" si="1"/>
        <v>Earnings of Discontinued Ops.</v>
      </c>
      <c r="B78" s="201" t="s">
        <v>108</v>
      </c>
      <c r="C78" s="201" t="s">
        <v>7235</v>
      </c>
      <c r="D78" s="201" t="s">
        <v>7236</v>
      </c>
      <c r="E78" s="201" t="s">
        <v>7237</v>
      </c>
      <c r="F78" s="201" t="s">
        <v>7241</v>
      </c>
      <c r="G78" s="201" t="s">
        <v>7242</v>
      </c>
      <c r="H78" s="201" t="s">
        <v>7238</v>
      </c>
      <c r="I78" s="201" t="s">
        <v>7239</v>
      </c>
      <c r="J78" s="201" t="s">
        <v>7240</v>
      </c>
      <c r="K78" s="201" t="s">
        <v>7243</v>
      </c>
      <c r="BB78"/>
      <c r="CY78" s="207">
        <v>0</v>
      </c>
    </row>
    <row r="79" spans="1:103" x14ac:dyDescent="0.25">
      <c r="A79" s="208" t="str">
        <f t="shared" si="1"/>
        <v>Extraord. Item &amp; Account. Change</v>
      </c>
      <c r="B79" s="201" t="s">
        <v>109</v>
      </c>
      <c r="C79" s="201" t="s">
        <v>6430</v>
      </c>
      <c r="D79" s="201" t="s">
        <v>6431</v>
      </c>
      <c r="E79" s="201" t="s">
        <v>6432</v>
      </c>
      <c r="F79" s="201" t="s">
        <v>6433</v>
      </c>
      <c r="G79" s="201" t="s">
        <v>6434</v>
      </c>
      <c r="H79" s="201" t="s">
        <v>6435</v>
      </c>
      <c r="I79" s="201" t="s">
        <v>6436</v>
      </c>
      <c r="J79" s="201" t="s">
        <v>6437</v>
      </c>
      <c r="K79" s="201" t="s">
        <v>6438</v>
      </c>
      <c r="BB79"/>
      <c r="CY79" s="207">
        <v>0</v>
      </c>
    </row>
    <row r="80" spans="1:103" x14ac:dyDescent="0.25">
      <c r="A80" s="208" t="str">
        <f t="shared" si="1"/>
        <v>Net Income to Company</v>
      </c>
      <c r="B80" s="201" t="s">
        <v>31</v>
      </c>
      <c r="C80" s="201" t="s">
        <v>7244</v>
      </c>
      <c r="D80" s="201" t="s">
        <v>7245</v>
      </c>
      <c r="E80" s="201" t="s">
        <v>7246</v>
      </c>
      <c r="F80" s="201" t="s">
        <v>7250</v>
      </c>
      <c r="G80" s="201" t="s">
        <v>7251</v>
      </c>
      <c r="H80" s="201" t="s">
        <v>7247</v>
      </c>
      <c r="I80" s="201" t="s">
        <v>7248</v>
      </c>
      <c r="J80" s="201" t="s">
        <v>7249</v>
      </c>
      <c r="K80" s="201" t="s">
        <v>7252</v>
      </c>
      <c r="BB80"/>
      <c r="CY80" s="207">
        <v>0</v>
      </c>
    </row>
    <row r="81" spans="1:103" x14ac:dyDescent="0.25">
      <c r="A81" s="208" t="str">
        <f t="shared" si="1"/>
        <v>Minority Int. in Earnings</v>
      </c>
      <c r="B81" s="201" t="s">
        <v>205</v>
      </c>
      <c r="C81" s="201" t="s">
        <v>7253</v>
      </c>
      <c r="D81" s="201" t="s">
        <v>7254</v>
      </c>
      <c r="E81" s="201" t="s">
        <v>7255</v>
      </c>
      <c r="F81" s="201" t="s">
        <v>7256</v>
      </c>
      <c r="G81" s="201" t="s">
        <v>7257</v>
      </c>
      <c r="H81" s="201" t="s">
        <v>7258</v>
      </c>
      <c r="I81" s="201" t="s">
        <v>7259</v>
      </c>
      <c r="J81" s="201" t="s">
        <v>7260</v>
      </c>
      <c r="K81" s="201" t="s">
        <v>7261</v>
      </c>
      <c r="BB81"/>
      <c r="CY81" s="207">
        <v>0</v>
      </c>
    </row>
    <row r="82" spans="1:103" x14ac:dyDescent="0.25">
      <c r="A82" s="208" t="str">
        <f t="shared" si="1"/>
        <v>Net Income to Parent</v>
      </c>
      <c r="B82" s="201" t="s">
        <v>32</v>
      </c>
      <c r="C82" s="229" t="s">
        <v>933</v>
      </c>
      <c r="D82" s="229" t="s">
        <v>934</v>
      </c>
      <c r="E82" s="229" t="s">
        <v>935</v>
      </c>
      <c r="F82" s="229" t="s">
        <v>939</v>
      </c>
      <c r="G82" s="229" t="s">
        <v>940</v>
      </c>
      <c r="H82" s="226" t="s">
        <v>936</v>
      </c>
      <c r="I82" s="229" t="s">
        <v>937</v>
      </c>
      <c r="J82" s="229" t="s">
        <v>938</v>
      </c>
      <c r="K82" s="229" t="s">
        <v>941</v>
      </c>
      <c r="BB82"/>
      <c r="CY82" s="207">
        <v>0</v>
      </c>
    </row>
    <row r="83" spans="1:103" x14ac:dyDescent="0.25">
      <c r="A83" s="208" t="str">
        <f t="shared" si="1"/>
        <v>Pref. Dividends and Other Adj.</v>
      </c>
      <c r="B83" s="201" t="s">
        <v>110</v>
      </c>
      <c r="C83" s="201" t="s">
        <v>6439</v>
      </c>
      <c r="D83" s="201" t="s">
        <v>6440</v>
      </c>
      <c r="E83" s="201" t="s">
        <v>6441</v>
      </c>
      <c r="F83" s="201" t="s">
        <v>6442</v>
      </c>
      <c r="G83" s="201" t="s">
        <v>6443</v>
      </c>
      <c r="H83" s="201" t="s">
        <v>6444</v>
      </c>
      <c r="I83" s="201" t="s">
        <v>6445</v>
      </c>
      <c r="J83" s="201" t="s">
        <v>6446</v>
      </c>
      <c r="K83" s="201" t="s">
        <v>6447</v>
      </c>
      <c r="BB83"/>
      <c r="CY83" s="207">
        <v>0</v>
      </c>
    </row>
    <row r="84" spans="1:103" x14ac:dyDescent="0.25">
      <c r="A84" s="208" t="str">
        <f t="shared" si="1"/>
        <v>NI to Common Incl Extra Items</v>
      </c>
      <c r="B84" s="201" t="s">
        <v>111</v>
      </c>
      <c r="C84" t="s">
        <v>6448</v>
      </c>
      <c r="D84" t="s">
        <v>6449</v>
      </c>
      <c r="E84" t="s">
        <v>6450</v>
      </c>
      <c r="F84" t="s">
        <v>6451</v>
      </c>
      <c r="G84" t="s">
        <v>6452</v>
      </c>
      <c r="H84" t="s">
        <v>6453</v>
      </c>
      <c r="I84" t="s">
        <v>6454</v>
      </c>
      <c r="J84" t="s">
        <v>6455</v>
      </c>
      <c r="K84" t="s">
        <v>6456</v>
      </c>
      <c r="BB84"/>
      <c r="CY84" s="207">
        <v>0</v>
      </c>
    </row>
    <row r="85" spans="1:103" x14ac:dyDescent="0.25">
      <c r="A85" s="208" t="str">
        <f t="shared" si="1"/>
        <v>NI to Common Excl Extra Items</v>
      </c>
      <c r="B85" s="201" t="s">
        <v>112</v>
      </c>
      <c r="C85" t="s">
        <v>6457</v>
      </c>
      <c r="D85" t="s">
        <v>6458</v>
      </c>
      <c r="E85" t="s">
        <v>6459</v>
      </c>
      <c r="F85" t="s">
        <v>6460</v>
      </c>
      <c r="G85" t="s">
        <v>6461</v>
      </c>
      <c r="H85" t="s">
        <v>6462</v>
      </c>
      <c r="I85" t="s">
        <v>6463</v>
      </c>
      <c r="J85" t="s">
        <v>6464</v>
      </c>
      <c r="K85" t="s">
        <v>6465</v>
      </c>
      <c r="BB85"/>
      <c r="CY85" s="207">
        <v>0</v>
      </c>
    </row>
    <row r="86" spans="1:103" x14ac:dyDescent="0.25">
      <c r="A86" s="208" t="str">
        <f t="shared" si="1"/>
        <v>Basic EPS</v>
      </c>
      <c r="B86" s="201" t="s">
        <v>113</v>
      </c>
      <c r="C86" t="s">
        <v>7262</v>
      </c>
      <c r="D86" t="s">
        <v>7262</v>
      </c>
      <c r="E86" t="s">
        <v>7263</v>
      </c>
      <c r="F86" t="s">
        <v>7264</v>
      </c>
      <c r="G86" t="s">
        <v>7265</v>
      </c>
      <c r="H86" t="s">
        <v>7266</v>
      </c>
      <c r="I86" t="s">
        <v>7267</v>
      </c>
      <c r="J86" t="s">
        <v>7268</v>
      </c>
      <c r="K86" t="s">
        <v>7269</v>
      </c>
      <c r="BB86"/>
      <c r="CY86" s="207">
        <v>0</v>
      </c>
    </row>
    <row r="87" spans="1:103" x14ac:dyDescent="0.25">
      <c r="A87" s="208" t="str">
        <f t="shared" si="1"/>
        <v>Basic EPS Excl. Extra Items</v>
      </c>
      <c r="B87" s="201" t="s">
        <v>114</v>
      </c>
      <c r="C87" t="s">
        <v>7270</v>
      </c>
      <c r="D87" t="s">
        <v>7271</v>
      </c>
      <c r="E87" t="s">
        <v>7272</v>
      </c>
      <c r="F87" t="s">
        <v>7273</v>
      </c>
      <c r="G87" t="s">
        <v>7274</v>
      </c>
      <c r="H87" t="s">
        <v>7275</v>
      </c>
      <c r="I87" t="s">
        <v>7276</v>
      </c>
      <c r="J87" t="s">
        <v>7277</v>
      </c>
      <c r="K87" t="s">
        <v>7278</v>
      </c>
      <c r="BB87"/>
      <c r="CY87" s="207">
        <v>0</v>
      </c>
    </row>
    <row r="88" spans="1:103" x14ac:dyDescent="0.25">
      <c r="A88" s="208" t="str">
        <f t="shared" si="1"/>
        <v>Weighted Avg. Basic Shares Out.</v>
      </c>
      <c r="B88" s="201" t="s">
        <v>115</v>
      </c>
      <c r="C88" s="229" t="s">
        <v>942</v>
      </c>
      <c r="D88" s="229" t="s">
        <v>943</v>
      </c>
      <c r="E88" s="229" t="s">
        <v>944</v>
      </c>
      <c r="F88" s="229" t="s">
        <v>948</v>
      </c>
      <c r="G88" s="229" t="s">
        <v>949</v>
      </c>
      <c r="H88" s="205" t="s">
        <v>945</v>
      </c>
      <c r="I88" s="229" t="s">
        <v>946</v>
      </c>
      <c r="J88" s="229" t="s">
        <v>947</v>
      </c>
      <c r="K88" s="229" t="s">
        <v>950</v>
      </c>
      <c r="BB88"/>
      <c r="CY88" s="207">
        <v>0</v>
      </c>
    </row>
    <row r="89" spans="1:103" x14ac:dyDescent="0.25">
      <c r="A89" s="208" t="str">
        <f t="shared" si="1"/>
        <v>Diluted EPS</v>
      </c>
      <c r="B89" s="201" t="s">
        <v>116</v>
      </c>
      <c r="C89" s="198" t="s">
        <v>7288</v>
      </c>
      <c r="D89" s="198" t="s">
        <v>7289</v>
      </c>
      <c r="E89" s="198" t="s">
        <v>7290</v>
      </c>
      <c r="F89" s="198" t="s">
        <v>7291</v>
      </c>
      <c r="G89" s="198" t="s">
        <v>7292</v>
      </c>
      <c r="H89" s="198" t="s">
        <v>7293</v>
      </c>
      <c r="I89" s="198" t="s">
        <v>7294</v>
      </c>
      <c r="J89" s="198" t="s">
        <v>7295</v>
      </c>
      <c r="K89" s="198" t="s">
        <v>7296</v>
      </c>
      <c r="BB89"/>
      <c r="CY89" s="207">
        <v>0</v>
      </c>
    </row>
    <row r="90" spans="1:103" x14ac:dyDescent="0.25">
      <c r="A90" s="208" t="str">
        <f t="shared" si="1"/>
        <v>Diluted EPS Excl Extra Items</v>
      </c>
      <c r="B90" s="201" t="s">
        <v>117</v>
      </c>
      <c r="C90" s="201" t="s">
        <v>7279</v>
      </c>
      <c r="D90" s="201" t="s">
        <v>7280</v>
      </c>
      <c r="E90" s="201" t="s">
        <v>7281</v>
      </c>
      <c r="F90" s="201" t="s">
        <v>7282</v>
      </c>
      <c r="G90" s="201" t="s">
        <v>7283</v>
      </c>
      <c r="H90" s="201" t="s">
        <v>7284</v>
      </c>
      <c r="I90" s="201" t="s">
        <v>7285</v>
      </c>
      <c r="J90" s="201" t="s">
        <v>7286</v>
      </c>
      <c r="K90" s="201" t="s">
        <v>7287</v>
      </c>
      <c r="BB90"/>
      <c r="CY90" s="207">
        <v>0</v>
      </c>
    </row>
    <row r="91" spans="1:103" x14ac:dyDescent="0.25">
      <c r="A91" s="208" t="str">
        <f t="shared" si="1"/>
        <v>Weighted Avg. Diluted Shares Out.</v>
      </c>
      <c r="B91" s="201" t="s">
        <v>118</v>
      </c>
      <c r="C91" s="229" t="s">
        <v>951</v>
      </c>
      <c r="D91" s="229" t="s">
        <v>952</v>
      </c>
      <c r="E91" s="229" t="s">
        <v>953</v>
      </c>
      <c r="F91" s="229" t="s">
        <v>957</v>
      </c>
      <c r="G91" s="229" t="s">
        <v>958</v>
      </c>
      <c r="H91" s="205" t="s">
        <v>954</v>
      </c>
      <c r="I91" s="229" t="s">
        <v>955</v>
      </c>
      <c r="J91" s="229" t="s">
        <v>956</v>
      </c>
      <c r="K91" s="229" t="s">
        <v>959</v>
      </c>
      <c r="BB91"/>
      <c r="CY91" s="207">
        <v>0</v>
      </c>
    </row>
    <row r="92" spans="1:103" x14ac:dyDescent="0.25">
      <c r="A92" s="208" t="str">
        <f t="shared" si="1"/>
        <v>Normalized Basic EPS</v>
      </c>
      <c r="B92" s="201" t="s">
        <v>572</v>
      </c>
      <c r="C92" s="229" t="s">
        <v>960</v>
      </c>
      <c r="D92" s="229" t="s">
        <v>960</v>
      </c>
      <c r="E92" s="229" t="s">
        <v>961</v>
      </c>
      <c r="F92" s="229" t="s">
        <v>1017</v>
      </c>
      <c r="G92" s="229" t="s">
        <v>1018</v>
      </c>
      <c r="H92" s="233" t="s">
        <v>987</v>
      </c>
      <c r="I92" s="229" t="s">
        <v>988</v>
      </c>
      <c r="J92" s="229" t="s">
        <v>989</v>
      </c>
      <c r="K92" s="229" t="s">
        <v>1037</v>
      </c>
      <c r="BB92"/>
      <c r="CY92" s="207">
        <v>0</v>
      </c>
    </row>
    <row r="93" spans="1:103" x14ac:dyDescent="0.25">
      <c r="A93" s="208" t="str">
        <f t="shared" si="1"/>
        <v>Normalized Diluted EPS</v>
      </c>
      <c r="B93" s="201" t="s">
        <v>573</v>
      </c>
      <c r="C93" s="229" t="s">
        <v>962</v>
      </c>
      <c r="D93" s="229" t="s">
        <v>963</v>
      </c>
      <c r="E93" s="229" t="s">
        <v>964</v>
      </c>
      <c r="F93" s="229" t="s">
        <v>1019</v>
      </c>
      <c r="G93" s="229" t="s">
        <v>1020</v>
      </c>
      <c r="H93" s="233" t="s">
        <v>990</v>
      </c>
      <c r="I93" s="229" t="s">
        <v>991</v>
      </c>
      <c r="J93" s="229" t="s">
        <v>992</v>
      </c>
      <c r="K93" s="229" t="s">
        <v>1038</v>
      </c>
      <c r="BB93"/>
      <c r="CY93" s="207">
        <v>0</v>
      </c>
    </row>
    <row r="94" spans="1:103" x14ac:dyDescent="0.25">
      <c r="A94" s="208" t="str">
        <f t="shared" si="1"/>
        <v>Distributable Cash per Share (Diluted)</v>
      </c>
      <c r="B94" s="201" t="s">
        <v>680</v>
      </c>
      <c r="C94" s="229" t="s">
        <v>965</v>
      </c>
      <c r="D94" s="229" t="s">
        <v>966</v>
      </c>
      <c r="E94" s="229" t="s">
        <v>967</v>
      </c>
      <c r="F94" s="229" t="s">
        <v>1021</v>
      </c>
      <c r="G94" s="229" t="s">
        <v>1022</v>
      </c>
      <c r="H94" s="205" t="s">
        <v>993</v>
      </c>
      <c r="I94" s="229" t="s">
        <v>994</v>
      </c>
      <c r="J94" s="229" t="s">
        <v>995</v>
      </c>
      <c r="K94" s="229" t="s">
        <v>1039</v>
      </c>
      <c r="BB94"/>
      <c r="CY94" s="207">
        <v>0</v>
      </c>
    </row>
    <row r="95" spans="1:103" x14ac:dyDescent="0.25">
      <c r="A95" s="208" t="str">
        <f t="shared" si="1"/>
        <v>Distributable Cash Shares (Basic)</v>
      </c>
      <c r="B95" s="201" t="s">
        <v>678</v>
      </c>
      <c r="C95" s="229" t="s">
        <v>968</v>
      </c>
      <c r="D95" s="229" t="s">
        <v>969</v>
      </c>
      <c r="E95" s="229" t="s">
        <v>970</v>
      </c>
      <c r="F95" s="229" t="s">
        <v>1023</v>
      </c>
      <c r="G95" s="229" t="s">
        <v>1024</v>
      </c>
      <c r="H95" s="233" t="s">
        <v>996</v>
      </c>
      <c r="I95" s="229" t="s">
        <v>997</v>
      </c>
      <c r="J95" s="229" t="s">
        <v>998</v>
      </c>
      <c r="K95" s="229" t="s">
        <v>1040</v>
      </c>
      <c r="BB95"/>
      <c r="CY95" s="207">
        <v>0</v>
      </c>
    </row>
    <row r="96" spans="1:103" x14ac:dyDescent="0.25">
      <c r="A96" s="208" t="str">
        <f t="shared" si="1"/>
        <v>Distributable Cash Shares (Diluted)</v>
      </c>
      <c r="B96" s="201" t="s">
        <v>679</v>
      </c>
      <c r="C96" s="229" t="s">
        <v>971</v>
      </c>
      <c r="D96" s="229" t="s">
        <v>972</v>
      </c>
      <c r="E96" s="229" t="s">
        <v>973</v>
      </c>
      <c r="F96" s="229" t="s">
        <v>1025</v>
      </c>
      <c r="G96" s="229" t="s">
        <v>1026</v>
      </c>
      <c r="H96" s="233" t="s">
        <v>999</v>
      </c>
      <c r="I96" s="229" t="s">
        <v>1000</v>
      </c>
      <c r="J96" s="229" t="s">
        <v>1001</v>
      </c>
      <c r="K96" s="229" t="s">
        <v>1041</v>
      </c>
      <c r="BB96"/>
      <c r="CY96" s="207">
        <v>0</v>
      </c>
    </row>
    <row r="97" spans="1:103" x14ac:dyDescent="0.25">
      <c r="A97" s="208" t="str">
        <f t="shared" si="1"/>
        <v>Dividends per Share</v>
      </c>
      <c r="B97" s="201" t="s">
        <v>577</v>
      </c>
      <c r="C97" s="229" t="s">
        <v>974</v>
      </c>
      <c r="D97" s="229" t="s">
        <v>974</v>
      </c>
      <c r="E97" s="229" t="s">
        <v>975</v>
      </c>
      <c r="F97" s="229" t="s">
        <v>1027</v>
      </c>
      <c r="G97" s="229" t="s">
        <v>1028</v>
      </c>
      <c r="H97" s="205" t="s">
        <v>1002</v>
      </c>
      <c r="I97" s="229" t="s">
        <v>1003</v>
      </c>
      <c r="J97" s="229" t="s">
        <v>1004</v>
      </c>
      <c r="K97" s="229" t="s">
        <v>1042</v>
      </c>
      <c r="BB97"/>
      <c r="CY97" s="207">
        <v>0</v>
      </c>
    </row>
    <row r="98" spans="1:103" x14ac:dyDescent="0.25">
      <c r="A98" s="208" t="str">
        <f t="shared" si="1"/>
        <v>Shares per Depository Receipt</v>
      </c>
      <c r="B98" s="201" t="s">
        <v>740</v>
      </c>
      <c r="C98" s="229" t="s">
        <v>976</v>
      </c>
      <c r="D98" s="229" t="s">
        <v>977</v>
      </c>
      <c r="E98" s="229" t="s">
        <v>978</v>
      </c>
      <c r="F98" s="229" t="s">
        <v>1029</v>
      </c>
      <c r="G98" s="229" t="s">
        <v>1030</v>
      </c>
      <c r="H98" s="205" t="s">
        <v>1005</v>
      </c>
      <c r="I98" s="229" t="s">
        <v>1006</v>
      </c>
      <c r="J98" s="229" t="s">
        <v>1007</v>
      </c>
      <c r="K98" s="229" t="s">
        <v>1043</v>
      </c>
      <c r="BB98"/>
      <c r="CY98" s="207">
        <v>0</v>
      </c>
    </row>
    <row r="99" spans="1:103" x14ac:dyDescent="0.25">
      <c r="A99" s="208" t="str">
        <f t="shared" si="1"/>
        <v>Revenues per Share</v>
      </c>
      <c r="B99" s="201" t="s">
        <v>575</v>
      </c>
      <c r="C99" s="229" t="s">
        <v>979</v>
      </c>
      <c r="D99" s="229" t="s">
        <v>979</v>
      </c>
      <c r="E99" s="229" t="s">
        <v>980</v>
      </c>
      <c r="F99" s="229" t="s">
        <v>1031</v>
      </c>
      <c r="G99" s="229" t="s">
        <v>1032</v>
      </c>
      <c r="H99" s="205" t="s">
        <v>1008</v>
      </c>
      <c r="I99" s="229" t="s">
        <v>1009</v>
      </c>
      <c r="J99" s="229" t="s">
        <v>1010</v>
      </c>
      <c r="K99" s="229" t="s">
        <v>1044</v>
      </c>
      <c r="BB99"/>
      <c r="CY99" s="207">
        <v>0</v>
      </c>
    </row>
    <row r="100" spans="1:103" x14ac:dyDescent="0.25">
      <c r="A100" s="208" t="str">
        <f t="shared" si="1"/>
        <v>Distributable Cash per Share</v>
      </c>
      <c r="B100" s="201" t="s">
        <v>574</v>
      </c>
      <c r="C100" s="229" t="s">
        <v>981</v>
      </c>
      <c r="D100" s="229" t="s">
        <v>982</v>
      </c>
      <c r="E100" s="229" t="s">
        <v>983</v>
      </c>
      <c r="F100" s="229" t="s">
        <v>1033</v>
      </c>
      <c r="G100" s="229" t="s">
        <v>1034</v>
      </c>
      <c r="H100" s="205" t="s">
        <v>1011</v>
      </c>
      <c r="I100" s="229" t="s">
        <v>1012</v>
      </c>
      <c r="J100" s="229" t="s">
        <v>1013</v>
      </c>
      <c r="K100" s="229" t="s">
        <v>1045</v>
      </c>
      <c r="BB100"/>
      <c r="CY100" s="207">
        <v>0</v>
      </c>
    </row>
    <row r="101" spans="1:103" x14ac:dyDescent="0.25">
      <c r="A101" s="208" t="str">
        <f t="shared" si="1"/>
        <v>Special Dividend per Share</v>
      </c>
      <c r="B101" s="201" t="s">
        <v>576</v>
      </c>
      <c r="C101" s="229" t="s">
        <v>984</v>
      </c>
      <c r="D101" s="229" t="s">
        <v>985</v>
      </c>
      <c r="E101" s="229" t="s">
        <v>986</v>
      </c>
      <c r="F101" s="229" t="s">
        <v>1035</v>
      </c>
      <c r="G101" s="229" t="s">
        <v>1036</v>
      </c>
      <c r="H101" s="205" t="s">
        <v>1014</v>
      </c>
      <c r="I101" s="229" t="s">
        <v>1015</v>
      </c>
      <c r="J101" s="229" t="s">
        <v>1016</v>
      </c>
      <c r="K101" s="229" t="s">
        <v>1046</v>
      </c>
      <c r="BB101"/>
      <c r="CY101" s="207">
        <v>0</v>
      </c>
    </row>
    <row r="102" spans="1:103" x14ac:dyDescent="0.25">
      <c r="A102" s="208" t="str">
        <f t="shared" si="1"/>
        <v>Supplemental Items</v>
      </c>
      <c r="B102" s="201" t="s">
        <v>119</v>
      </c>
      <c r="C102" s="229" t="s">
        <v>6466</v>
      </c>
      <c r="D102" t="s">
        <v>6467</v>
      </c>
      <c r="E102" s="201" t="s">
        <v>6468</v>
      </c>
      <c r="F102" s="201" t="s">
        <v>6469</v>
      </c>
      <c r="G102" s="201" t="s">
        <v>6470</v>
      </c>
      <c r="H102" s="201" t="s">
        <v>6471</v>
      </c>
      <c r="I102" s="201" t="s">
        <v>6472</v>
      </c>
      <c r="J102" s="201" t="s">
        <v>6473</v>
      </c>
      <c r="K102" s="201" t="s">
        <v>6474</v>
      </c>
      <c r="BB102"/>
      <c r="CY102" s="207">
        <v>0</v>
      </c>
    </row>
    <row r="103" spans="1:103" x14ac:dyDescent="0.25">
      <c r="A103" s="208" t="str">
        <f t="shared" si="1"/>
        <v>Filing Date</v>
      </c>
      <c r="B103" s="201" t="s">
        <v>252</v>
      </c>
      <c r="C103" s="229" t="s">
        <v>1047</v>
      </c>
      <c r="D103" s="229" t="s">
        <v>1048</v>
      </c>
      <c r="E103" s="229" t="s">
        <v>1049</v>
      </c>
      <c r="F103" s="229" t="s">
        <v>1059</v>
      </c>
      <c r="G103" s="229" t="s">
        <v>1060</v>
      </c>
      <c r="H103" s="205" t="s">
        <v>1053</v>
      </c>
      <c r="I103" s="229" t="s">
        <v>1054</v>
      </c>
      <c r="J103" s="229" t="s">
        <v>1055</v>
      </c>
      <c r="K103" s="229" t="s">
        <v>1063</v>
      </c>
      <c r="BB103"/>
      <c r="CY103" s="207">
        <v>0</v>
      </c>
    </row>
    <row r="104" spans="1:103" x14ac:dyDescent="0.25">
      <c r="A104" s="208" t="str">
        <f t="shared" si="1"/>
        <v>Period Length in Months</v>
      </c>
      <c r="B104" s="201" t="s">
        <v>578</v>
      </c>
      <c r="C104" s="229" t="s">
        <v>1050</v>
      </c>
      <c r="D104" s="229" t="s">
        <v>1051</v>
      </c>
      <c r="E104" s="229" t="s">
        <v>1052</v>
      </c>
      <c r="F104" s="229" t="s">
        <v>1061</v>
      </c>
      <c r="G104" s="229" t="s">
        <v>1062</v>
      </c>
      <c r="H104" s="205" t="s">
        <v>1056</v>
      </c>
      <c r="I104" s="229" t="s">
        <v>1057</v>
      </c>
      <c r="J104" s="229" t="s">
        <v>1058</v>
      </c>
      <c r="K104" s="229" t="s">
        <v>1064</v>
      </c>
      <c r="BB104"/>
      <c r="CY104" s="207">
        <v>0</v>
      </c>
    </row>
    <row r="105" spans="1:103" x14ac:dyDescent="0.25">
      <c r="A105" s="208" t="str">
        <f t="shared" si="1"/>
        <v>EBITDA</v>
      </c>
      <c r="B105" s="201" t="s">
        <v>120</v>
      </c>
      <c r="C105" s="198" t="s">
        <v>7045</v>
      </c>
      <c r="D105" s="198" t="s">
        <v>7046</v>
      </c>
      <c r="E105" s="198" t="s">
        <v>120</v>
      </c>
      <c r="F105" s="198" t="s">
        <v>120</v>
      </c>
      <c r="G105" s="198" t="s">
        <v>120</v>
      </c>
      <c r="H105" s="198" t="s">
        <v>120</v>
      </c>
      <c r="I105" s="198" t="s">
        <v>120</v>
      </c>
      <c r="J105" s="198" t="s">
        <v>120</v>
      </c>
      <c r="K105" s="198" t="s">
        <v>120</v>
      </c>
      <c r="BB105"/>
      <c r="CY105" s="207">
        <v>0</v>
      </c>
    </row>
    <row r="106" spans="1:103" x14ac:dyDescent="0.25">
      <c r="A106" s="208" t="str">
        <f t="shared" si="1"/>
        <v>EBITDA (Incl. Equity Inc. from Affiliates)</v>
      </c>
      <c r="B106" s="201" t="s">
        <v>425</v>
      </c>
      <c r="C106" s="198" t="s">
        <v>1065</v>
      </c>
      <c r="D106" s="198" t="s">
        <v>1066</v>
      </c>
      <c r="E106" s="229" t="s">
        <v>1067</v>
      </c>
      <c r="F106" s="229" t="s">
        <v>1101</v>
      </c>
      <c r="G106" s="229" t="s">
        <v>1102</v>
      </c>
      <c r="H106" s="205" t="s">
        <v>1083</v>
      </c>
      <c r="I106" s="229" t="s">
        <v>1084</v>
      </c>
      <c r="J106" s="229" t="s">
        <v>1085</v>
      </c>
      <c r="K106" s="229" t="s">
        <v>1113</v>
      </c>
      <c r="BB106"/>
      <c r="CY106" s="207">
        <v>0</v>
      </c>
    </row>
    <row r="107" spans="1:103" x14ac:dyDescent="0.25">
      <c r="A107" s="208" t="str">
        <f t="shared" si="1"/>
        <v>EBITDA (Excl. SBC and Incl. Equity Inc. from Affiliates)</v>
      </c>
      <c r="B107" s="201" t="s">
        <v>426</v>
      </c>
      <c r="C107" s="198" t="s">
        <v>1068</v>
      </c>
      <c r="D107" s="198" t="s">
        <v>1069</v>
      </c>
      <c r="E107" s="229" t="s">
        <v>1070</v>
      </c>
      <c r="F107" s="229" t="s">
        <v>1103</v>
      </c>
      <c r="G107" s="229" t="s">
        <v>1104</v>
      </c>
      <c r="H107" s="205" t="s">
        <v>1086</v>
      </c>
      <c r="I107" s="229" t="s">
        <v>1087</v>
      </c>
      <c r="J107" s="229" t="s">
        <v>1088</v>
      </c>
      <c r="K107" s="229" t="s">
        <v>1114</v>
      </c>
      <c r="BB107"/>
      <c r="CY107" s="207" t="e">
        <v>#N/A</v>
      </c>
    </row>
    <row r="108" spans="1:103" x14ac:dyDescent="0.25">
      <c r="A108" s="208" t="str">
        <f t="shared" si="1"/>
        <v>EBITDA (Excl. SBC)</v>
      </c>
      <c r="B108" s="201" t="s">
        <v>427</v>
      </c>
      <c r="C108" s="198" t="s">
        <v>1071</v>
      </c>
      <c r="D108" s="198" t="s">
        <v>1072</v>
      </c>
      <c r="E108" s="229" t="s">
        <v>1073</v>
      </c>
      <c r="F108" s="229" t="s">
        <v>1105</v>
      </c>
      <c r="G108" s="229" t="s">
        <v>1106</v>
      </c>
      <c r="H108" s="205" t="s">
        <v>1089</v>
      </c>
      <c r="I108" s="229" t="s">
        <v>1090</v>
      </c>
      <c r="J108" s="229" t="s">
        <v>1091</v>
      </c>
      <c r="K108" s="229" t="s">
        <v>1115</v>
      </c>
      <c r="BB108"/>
    </row>
    <row r="109" spans="1:103" x14ac:dyDescent="0.25">
      <c r="A109" s="208" t="str">
        <f t="shared" si="1"/>
        <v>EBITDA, Lease Adjusted</v>
      </c>
      <c r="B109" s="201" t="s">
        <v>791</v>
      </c>
      <c r="C109" s="229" t="s">
        <v>1074</v>
      </c>
      <c r="D109" s="229" t="s">
        <v>1075</v>
      </c>
      <c r="E109" s="229" t="s">
        <v>1076</v>
      </c>
      <c r="F109" s="229" t="s">
        <v>1107</v>
      </c>
      <c r="G109" s="229" t="s">
        <v>1108</v>
      </c>
      <c r="H109" s="230" t="s">
        <v>1092</v>
      </c>
      <c r="I109" s="229" t="s">
        <v>1093</v>
      </c>
      <c r="J109" s="229" t="s">
        <v>1094</v>
      </c>
      <c r="K109" s="229" t="s">
        <v>1116</v>
      </c>
      <c r="BB109"/>
    </row>
    <row r="110" spans="1:103" x14ac:dyDescent="0.25">
      <c r="A110" s="208" t="str">
        <f t="shared" si="1"/>
        <v>Lease Adjustment for EBITDA</v>
      </c>
      <c r="B110" s="201" t="s">
        <v>792</v>
      </c>
      <c r="C110" s="229" t="s">
        <v>1077</v>
      </c>
      <c r="D110" s="229" t="s">
        <v>1078</v>
      </c>
      <c r="E110" s="229" t="s">
        <v>1079</v>
      </c>
      <c r="F110" s="229" t="s">
        <v>1109</v>
      </c>
      <c r="G110" s="229" t="s">
        <v>1110</v>
      </c>
      <c r="H110" s="230" t="s">
        <v>1095</v>
      </c>
      <c r="I110" s="229" t="s">
        <v>1096</v>
      </c>
      <c r="J110" s="229" t="s">
        <v>1097</v>
      </c>
      <c r="K110" s="229" t="s">
        <v>1117</v>
      </c>
      <c r="BB110"/>
    </row>
    <row r="111" spans="1:103" x14ac:dyDescent="0.25">
      <c r="A111" s="208" t="str">
        <f t="shared" si="1"/>
        <v>EBITDA (Incl. Equity Inc. from Affiliates, Excl. Op. Lease Adj.)</v>
      </c>
      <c r="B111" s="201" t="s">
        <v>793</v>
      </c>
      <c r="C111" s="229" t="s">
        <v>1080</v>
      </c>
      <c r="D111" s="229" t="s">
        <v>1081</v>
      </c>
      <c r="E111" s="229" t="s">
        <v>1082</v>
      </c>
      <c r="F111" s="229" t="s">
        <v>1111</v>
      </c>
      <c r="G111" s="229" t="s">
        <v>1112</v>
      </c>
      <c r="H111" s="205" t="s">
        <v>1098</v>
      </c>
      <c r="I111" s="229" t="s">
        <v>1099</v>
      </c>
      <c r="J111" s="229" t="s">
        <v>1100</v>
      </c>
      <c r="K111" s="229" t="s">
        <v>1118</v>
      </c>
      <c r="BB111"/>
    </row>
    <row r="112" spans="1:103" x14ac:dyDescent="0.25">
      <c r="A112" s="208" t="str">
        <f t="shared" si="1"/>
        <v>EBIT</v>
      </c>
      <c r="B112" s="201" t="s">
        <v>446</v>
      </c>
      <c r="C112" s="198" t="s">
        <v>7047</v>
      </c>
      <c r="D112" s="198" t="s">
        <v>7047</v>
      </c>
      <c r="E112" s="198" t="s">
        <v>446</v>
      </c>
      <c r="F112" s="198" t="s">
        <v>446</v>
      </c>
      <c r="G112" s="198" t="s">
        <v>446</v>
      </c>
      <c r="H112" s="198" t="s">
        <v>446</v>
      </c>
      <c r="I112" s="198" t="s">
        <v>446</v>
      </c>
      <c r="J112" s="198" t="s">
        <v>446</v>
      </c>
      <c r="K112" s="198" t="s">
        <v>446</v>
      </c>
      <c r="BB112"/>
    </row>
    <row r="113" spans="1:54" x14ac:dyDescent="0.25">
      <c r="A113" s="208" t="str">
        <f t="shared" si="1"/>
        <v>EBIT (Incl. Equity Inc. from Affiliates)</v>
      </c>
      <c r="B113" s="201" t="s">
        <v>428</v>
      </c>
      <c r="C113" s="229" t="s">
        <v>1119</v>
      </c>
      <c r="D113" s="229" t="s">
        <v>1120</v>
      </c>
      <c r="E113" s="229" t="s">
        <v>1121</v>
      </c>
      <c r="F113" s="229" t="s">
        <v>1137</v>
      </c>
      <c r="G113" s="229" t="s">
        <v>1138</v>
      </c>
      <c r="H113" s="205" t="s">
        <v>1128</v>
      </c>
      <c r="I113" s="229" t="s">
        <v>1129</v>
      </c>
      <c r="J113" s="229" t="s">
        <v>1130</v>
      </c>
      <c r="K113" s="229" t="s">
        <v>1143</v>
      </c>
      <c r="BB113"/>
    </row>
    <row r="114" spans="1:54" x14ac:dyDescent="0.25">
      <c r="A114" s="208" t="str">
        <f t="shared" si="1"/>
        <v>EBIT (Excl. SBC and Incl. Equity Inc. from Affiliates)</v>
      </c>
      <c r="B114" s="201" t="s">
        <v>429</v>
      </c>
      <c r="C114" s="229" t="s">
        <v>1122</v>
      </c>
      <c r="D114" s="229" t="s">
        <v>1123</v>
      </c>
      <c r="E114" s="229" t="s">
        <v>1124</v>
      </c>
      <c r="F114" s="229" t="s">
        <v>1139</v>
      </c>
      <c r="G114" s="229" t="s">
        <v>1140</v>
      </c>
      <c r="H114" s="205" t="s">
        <v>1131</v>
      </c>
      <c r="I114" s="229" t="s">
        <v>1132</v>
      </c>
      <c r="J114" s="229" t="s">
        <v>1133</v>
      </c>
      <c r="K114" s="229" t="s">
        <v>1144</v>
      </c>
      <c r="BB114"/>
    </row>
    <row r="115" spans="1:54" x14ac:dyDescent="0.25">
      <c r="A115" s="208" t="str">
        <f t="shared" si="1"/>
        <v>EBIT (Excl. SBC)</v>
      </c>
      <c r="B115" s="201" t="s">
        <v>430</v>
      </c>
      <c r="C115" s="229" t="s">
        <v>1125</v>
      </c>
      <c r="D115" s="229" t="s">
        <v>1126</v>
      </c>
      <c r="E115" s="229" t="s">
        <v>1127</v>
      </c>
      <c r="F115" s="229" t="s">
        <v>1141</v>
      </c>
      <c r="G115" s="229" t="s">
        <v>1142</v>
      </c>
      <c r="H115" s="205" t="s">
        <v>1134</v>
      </c>
      <c r="I115" s="229" t="s">
        <v>1135</v>
      </c>
      <c r="J115" s="229" t="s">
        <v>1136</v>
      </c>
      <c r="K115" s="229" t="s">
        <v>1145</v>
      </c>
      <c r="BB115"/>
    </row>
    <row r="116" spans="1:54" x14ac:dyDescent="0.25">
      <c r="A116" s="208" t="str">
        <f t="shared" si="1"/>
        <v>EBITA</v>
      </c>
      <c r="B116" s="201" t="s">
        <v>447</v>
      </c>
      <c r="C116" s="229" t="s">
        <v>1146</v>
      </c>
      <c r="D116" s="229" t="s">
        <v>1147</v>
      </c>
      <c r="E116" s="229" t="s">
        <v>447</v>
      </c>
      <c r="F116" s="229" t="s">
        <v>447</v>
      </c>
      <c r="G116" s="229" t="s">
        <v>447</v>
      </c>
      <c r="H116" s="205" t="s">
        <v>447</v>
      </c>
      <c r="I116" s="229" t="s">
        <v>447</v>
      </c>
      <c r="J116" s="229" t="s">
        <v>447</v>
      </c>
      <c r="K116" s="229" t="s">
        <v>447</v>
      </c>
      <c r="BB116"/>
    </row>
    <row r="117" spans="1:54" x14ac:dyDescent="0.25">
      <c r="A117" s="208" t="str">
        <f t="shared" si="1"/>
        <v>EBITA (Incl. Equity Inc. from Affiliates)</v>
      </c>
      <c r="B117" s="201" t="s">
        <v>431</v>
      </c>
      <c r="C117" s="229" t="s">
        <v>1148</v>
      </c>
      <c r="D117" s="229" t="s">
        <v>1149</v>
      </c>
      <c r="E117" s="229" t="s">
        <v>1150</v>
      </c>
      <c r="F117" s="229" t="s">
        <v>1166</v>
      </c>
      <c r="G117" s="229" t="s">
        <v>1167</v>
      </c>
      <c r="H117" s="205" t="s">
        <v>1157</v>
      </c>
      <c r="I117" s="229" t="s">
        <v>1158</v>
      </c>
      <c r="J117" s="229" t="s">
        <v>1159</v>
      </c>
      <c r="K117" s="229" t="s">
        <v>1172</v>
      </c>
      <c r="BB117"/>
    </row>
    <row r="118" spans="1:54" x14ac:dyDescent="0.25">
      <c r="A118" s="208" t="str">
        <f t="shared" si="1"/>
        <v>EBITA (Excl. SBC and Incl. Equity Inc. from Affiliates)</v>
      </c>
      <c r="B118" s="201" t="s">
        <v>432</v>
      </c>
      <c r="C118" s="229" t="s">
        <v>1151</v>
      </c>
      <c r="D118" s="229" t="s">
        <v>1152</v>
      </c>
      <c r="E118" s="229" t="s">
        <v>1153</v>
      </c>
      <c r="F118" s="229" t="s">
        <v>1168</v>
      </c>
      <c r="G118" s="229" t="s">
        <v>1169</v>
      </c>
      <c r="H118" s="205" t="s">
        <v>1160</v>
      </c>
      <c r="I118" s="229" t="s">
        <v>1161</v>
      </c>
      <c r="J118" s="229" t="s">
        <v>1162</v>
      </c>
      <c r="K118" s="229" t="s">
        <v>1173</v>
      </c>
      <c r="BB118"/>
    </row>
    <row r="119" spans="1:54" x14ac:dyDescent="0.25">
      <c r="A119" s="208" t="str">
        <f t="shared" si="1"/>
        <v>EBITA (Excl. SBC)</v>
      </c>
      <c r="B119" s="201" t="s">
        <v>433</v>
      </c>
      <c r="C119" s="229" t="s">
        <v>1154</v>
      </c>
      <c r="D119" s="229" t="s">
        <v>1155</v>
      </c>
      <c r="E119" s="229" t="s">
        <v>1156</v>
      </c>
      <c r="F119" s="229" t="s">
        <v>1170</v>
      </c>
      <c r="G119" s="229" t="s">
        <v>1171</v>
      </c>
      <c r="H119" s="205" t="s">
        <v>1163</v>
      </c>
      <c r="I119" s="229" t="s">
        <v>1164</v>
      </c>
      <c r="J119" s="229" t="s">
        <v>1165</v>
      </c>
      <c r="K119" s="229" t="s">
        <v>1174</v>
      </c>
      <c r="BB119"/>
    </row>
    <row r="120" spans="1:54" x14ac:dyDescent="0.25">
      <c r="A120" s="208" t="str">
        <f t="shared" si="1"/>
        <v>EBITDAR</v>
      </c>
      <c r="B120" s="201" t="s">
        <v>448</v>
      </c>
      <c r="C120" s="201" t="s">
        <v>7297</v>
      </c>
      <c r="D120" s="201" t="s">
        <v>7298</v>
      </c>
      <c r="E120" s="201" t="s">
        <v>448</v>
      </c>
      <c r="F120" s="201" t="s">
        <v>448</v>
      </c>
      <c r="G120" s="201" t="s">
        <v>448</v>
      </c>
      <c r="H120" s="201" t="s">
        <v>448</v>
      </c>
      <c r="I120" s="201" t="s">
        <v>448</v>
      </c>
      <c r="J120" s="201" t="s">
        <v>448</v>
      </c>
      <c r="K120" s="201" t="s">
        <v>448</v>
      </c>
      <c r="BB120"/>
    </row>
    <row r="121" spans="1:54" x14ac:dyDescent="0.25">
      <c r="A121" s="208" t="str">
        <f t="shared" si="1"/>
        <v>EBITDAR (Incl. Equity Inc. from Affiliates)</v>
      </c>
      <c r="B121" s="201" t="s">
        <v>434</v>
      </c>
      <c r="C121" s="229" t="s">
        <v>1175</v>
      </c>
      <c r="D121" s="229" t="s">
        <v>1176</v>
      </c>
      <c r="E121" s="229" t="s">
        <v>1177</v>
      </c>
      <c r="F121" s="229" t="s">
        <v>1238</v>
      </c>
      <c r="G121" s="229" t="s">
        <v>1239</v>
      </c>
      <c r="H121" s="205" t="s">
        <v>1207</v>
      </c>
      <c r="I121" s="229" t="s">
        <v>1208</v>
      </c>
      <c r="J121" s="229" t="s">
        <v>1209</v>
      </c>
      <c r="K121" s="229" t="s">
        <v>1259</v>
      </c>
      <c r="BB121"/>
    </row>
    <row r="122" spans="1:54" x14ac:dyDescent="0.25">
      <c r="A122" s="208" t="str">
        <f t="shared" si="1"/>
        <v>EBITDAR (Excl. SBC and Incl. Equity Inc. from Affiliates)</v>
      </c>
      <c r="B122" s="201" t="s">
        <v>435</v>
      </c>
      <c r="C122" s="229" t="s">
        <v>1178</v>
      </c>
      <c r="D122" s="229" t="s">
        <v>1179</v>
      </c>
      <c r="E122" s="229" t="s">
        <v>1180</v>
      </c>
      <c r="F122" s="229" t="s">
        <v>1240</v>
      </c>
      <c r="G122" s="229" t="s">
        <v>1241</v>
      </c>
      <c r="H122" s="205" t="s">
        <v>1210</v>
      </c>
      <c r="I122" s="229" t="s">
        <v>1211</v>
      </c>
      <c r="J122" s="229" t="s">
        <v>1212</v>
      </c>
      <c r="K122" s="229" t="s">
        <v>1260</v>
      </c>
      <c r="BB122"/>
    </row>
    <row r="123" spans="1:54" x14ac:dyDescent="0.25">
      <c r="A123" s="208" t="str">
        <f t="shared" si="1"/>
        <v>EBITDAR (Excl. SBC)</v>
      </c>
      <c r="B123" s="201" t="s">
        <v>436</v>
      </c>
      <c r="C123" s="229" t="s">
        <v>1181</v>
      </c>
      <c r="D123" s="229" t="s">
        <v>1182</v>
      </c>
      <c r="E123" s="229" t="s">
        <v>1183</v>
      </c>
      <c r="F123" s="229" t="s">
        <v>1242</v>
      </c>
      <c r="G123" s="229" t="s">
        <v>1243</v>
      </c>
      <c r="H123" s="205" t="s">
        <v>1213</v>
      </c>
      <c r="I123" s="229" t="s">
        <v>1214</v>
      </c>
      <c r="J123" s="229" t="s">
        <v>1215</v>
      </c>
      <c r="K123" s="229" t="s">
        <v>1261</v>
      </c>
      <c r="BB123"/>
    </row>
    <row r="124" spans="1:54" x14ac:dyDescent="0.25">
      <c r="A124" s="208" t="str">
        <f t="shared" si="1"/>
        <v>EBITDA - CAPEX</v>
      </c>
      <c r="B124" s="201" t="s">
        <v>742</v>
      </c>
      <c r="C124" s="229" t="s">
        <v>1184</v>
      </c>
      <c r="D124" s="229" t="s">
        <v>1185</v>
      </c>
      <c r="E124" s="229" t="s">
        <v>742</v>
      </c>
      <c r="F124" s="229" t="s">
        <v>1244</v>
      </c>
      <c r="G124" s="229" t="s">
        <v>742</v>
      </c>
      <c r="H124" s="205" t="s">
        <v>1216</v>
      </c>
      <c r="I124" s="229" t="s">
        <v>742</v>
      </c>
      <c r="J124" s="229" t="s">
        <v>742</v>
      </c>
      <c r="K124" s="229" t="s">
        <v>742</v>
      </c>
      <c r="BB124"/>
    </row>
    <row r="125" spans="1:54" x14ac:dyDescent="0.25">
      <c r="A125" s="208" t="str">
        <f t="shared" si="1"/>
        <v>Fees and Other Income</v>
      </c>
      <c r="B125" s="201" t="s">
        <v>50</v>
      </c>
      <c r="C125" s="229" t="s">
        <v>1186</v>
      </c>
      <c r="D125" s="229" t="s">
        <v>1187</v>
      </c>
      <c r="E125" s="229" t="s">
        <v>1188</v>
      </c>
      <c r="F125" s="229" t="s">
        <v>1245</v>
      </c>
      <c r="G125" s="229" t="s">
        <v>1246</v>
      </c>
      <c r="H125" s="205" t="s">
        <v>1217</v>
      </c>
      <c r="I125" s="229" t="s">
        <v>1218</v>
      </c>
      <c r="J125" s="229" t="s">
        <v>1219</v>
      </c>
      <c r="K125" s="229" t="s">
        <v>1262</v>
      </c>
      <c r="BB125"/>
    </row>
    <row r="126" spans="1:54" x14ac:dyDescent="0.25">
      <c r="A126" s="208" t="str">
        <f t="shared" si="1"/>
        <v>Same Store Sales Growth</v>
      </c>
      <c r="B126" s="201" t="s">
        <v>579</v>
      </c>
      <c r="C126" s="229" t="s">
        <v>1189</v>
      </c>
      <c r="D126" s="229" t="s">
        <v>1190</v>
      </c>
      <c r="E126" s="229" t="s">
        <v>1191</v>
      </c>
      <c r="F126" s="229" t="s">
        <v>1247</v>
      </c>
      <c r="G126" s="229" t="s">
        <v>1248</v>
      </c>
      <c r="H126" s="205" t="s">
        <v>1220</v>
      </c>
      <c r="I126" s="229" t="s">
        <v>1221</v>
      </c>
      <c r="J126" s="229" t="s">
        <v>1222</v>
      </c>
      <c r="K126" s="229" t="s">
        <v>1263</v>
      </c>
      <c r="BB126"/>
    </row>
    <row r="127" spans="1:54" x14ac:dyDescent="0.25">
      <c r="A127" s="208" t="str">
        <f t="shared" si="1"/>
        <v>As-Reported Total Revenue</v>
      </c>
      <c r="B127" s="201" t="s">
        <v>251</v>
      </c>
      <c r="C127" s="229" t="s">
        <v>1192</v>
      </c>
      <c r="D127" s="229" t="s">
        <v>1193</v>
      </c>
      <c r="E127" s="229" t="s">
        <v>1194</v>
      </c>
      <c r="F127" s="229" t="s">
        <v>1249</v>
      </c>
      <c r="G127" s="229" t="s">
        <v>1250</v>
      </c>
      <c r="H127" s="205" t="s">
        <v>1223</v>
      </c>
      <c r="I127" s="229" t="s">
        <v>1224</v>
      </c>
      <c r="J127" s="229" t="s">
        <v>1225</v>
      </c>
      <c r="K127" s="229" t="s">
        <v>1264</v>
      </c>
      <c r="BB127"/>
    </row>
    <row r="128" spans="1:54" x14ac:dyDescent="0.25">
      <c r="A128" s="208" t="str">
        <f t="shared" si="1"/>
        <v>As Reported EBITDA</v>
      </c>
      <c r="B128" s="201" t="s">
        <v>794</v>
      </c>
      <c r="C128" s="229" t="s">
        <v>1195</v>
      </c>
      <c r="D128" s="229" t="s">
        <v>1196</v>
      </c>
      <c r="E128" s="229" t="s">
        <v>1197</v>
      </c>
      <c r="F128" s="229" t="s">
        <v>1251</v>
      </c>
      <c r="G128" s="229" t="s">
        <v>1252</v>
      </c>
      <c r="H128" s="230" t="s">
        <v>1226</v>
      </c>
      <c r="I128" s="229" t="s">
        <v>1227</v>
      </c>
      <c r="J128" s="229" t="s">
        <v>1228</v>
      </c>
      <c r="K128" s="229" t="s">
        <v>1265</v>
      </c>
      <c r="BB128"/>
    </row>
    <row r="129" spans="1:54" x14ac:dyDescent="0.25">
      <c r="A129" s="208" t="str">
        <f t="shared" si="1"/>
        <v>Provision for Doubtful Accounts - Patient Service Revenue</v>
      </c>
      <c r="B129" s="201" t="s">
        <v>4</v>
      </c>
      <c r="C129" s="229" t="s">
        <v>1198</v>
      </c>
      <c r="D129" s="229" t="s">
        <v>1199</v>
      </c>
      <c r="E129" s="229" t="s">
        <v>1200</v>
      </c>
      <c r="F129" s="229" t="s">
        <v>1253</v>
      </c>
      <c r="G129" s="229" t="s">
        <v>1254</v>
      </c>
      <c r="H129" s="205" t="s">
        <v>1229</v>
      </c>
      <c r="I129" s="229" t="s">
        <v>1230</v>
      </c>
      <c r="J129" s="229" t="s">
        <v>1231</v>
      </c>
      <c r="K129" s="229" t="s">
        <v>1266</v>
      </c>
      <c r="BB129"/>
    </row>
    <row r="130" spans="1:54" x14ac:dyDescent="0.25">
      <c r="A130" s="208" t="str">
        <f t="shared" si="1"/>
        <v>Earnings to Parent before Extraordinary Items</v>
      </c>
      <c r="B130" s="201" t="s">
        <v>33</v>
      </c>
      <c r="C130" s="198" t="s">
        <v>1201</v>
      </c>
      <c r="D130" s="198" t="s">
        <v>1202</v>
      </c>
      <c r="E130" s="229" t="s">
        <v>1203</v>
      </c>
      <c r="F130" s="229" t="s">
        <v>1255</v>
      </c>
      <c r="G130" s="229" t="s">
        <v>1256</v>
      </c>
      <c r="H130" s="205" t="s">
        <v>1232</v>
      </c>
      <c r="I130" s="229" t="s">
        <v>1233</v>
      </c>
      <c r="J130" s="229" t="s">
        <v>1234</v>
      </c>
      <c r="K130" s="229" t="s">
        <v>1267</v>
      </c>
      <c r="BB130"/>
    </row>
    <row r="131" spans="1:54" x14ac:dyDescent="0.25">
      <c r="A131" s="208" t="str">
        <f t="shared" si="1"/>
        <v>Net Income per SFAS 123 (after Options)</v>
      </c>
      <c r="B131" s="201" t="s">
        <v>249</v>
      </c>
      <c r="C131" s="229" t="s">
        <v>1204</v>
      </c>
      <c r="D131" s="229" t="s">
        <v>1205</v>
      </c>
      <c r="E131" s="229" t="s">
        <v>1206</v>
      </c>
      <c r="F131" s="229" t="s">
        <v>1257</v>
      </c>
      <c r="G131" s="229" t="s">
        <v>1258</v>
      </c>
      <c r="H131" s="205" t="s">
        <v>1235</v>
      </c>
      <c r="I131" s="229" t="s">
        <v>1236</v>
      </c>
      <c r="J131" s="229" t="s">
        <v>1237</v>
      </c>
      <c r="K131" s="229" t="s">
        <v>1268</v>
      </c>
      <c r="BB131"/>
    </row>
    <row r="132" spans="1:54" x14ac:dyDescent="0.25">
      <c r="A132" s="208" t="str">
        <f t="shared" si="1"/>
        <v>Interest Income</v>
      </c>
      <c r="B132" s="201" t="s">
        <v>773</v>
      </c>
      <c r="C132" s="201" t="s">
        <v>7299</v>
      </c>
      <c r="D132" s="229" t="s">
        <v>7300</v>
      </c>
      <c r="E132" s="201" t="s">
        <v>7301</v>
      </c>
      <c r="F132" s="201" t="s">
        <v>7302</v>
      </c>
      <c r="G132" s="201" t="s">
        <v>7303</v>
      </c>
      <c r="H132" s="201" t="s">
        <v>7304</v>
      </c>
      <c r="I132" s="201" t="s">
        <v>7305</v>
      </c>
      <c r="J132" s="201" t="s">
        <v>7306</v>
      </c>
      <c r="K132" s="201" t="s">
        <v>7307</v>
      </c>
      <c r="BB132"/>
    </row>
    <row r="133" spans="1:54" x14ac:dyDescent="0.25">
      <c r="A133" s="208" t="str">
        <f t="shared" si="1"/>
        <v>Investment Income</v>
      </c>
      <c r="B133" s="201" t="s">
        <v>775</v>
      </c>
      <c r="C133" s="229" t="s">
        <v>1269</v>
      </c>
      <c r="D133" s="229" t="s">
        <v>1270</v>
      </c>
      <c r="E133" s="229" t="s">
        <v>1271</v>
      </c>
      <c r="F133" s="229" t="s">
        <v>1341</v>
      </c>
      <c r="G133" s="229" t="s">
        <v>1342</v>
      </c>
      <c r="H133" s="205" t="s">
        <v>1305</v>
      </c>
      <c r="I133" s="229" t="s">
        <v>1306</v>
      </c>
      <c r="J133" s="229" t="s">
        <v>1307</v>
      </c>
      <c r="K133" s="229" t="s">
        <v>1365</v>
      </c>
      <c r="BB133"/>
    </row>
    <row r="134" spans="1:54" x14ac:dyDescent="0.25">
      <c r="A134" s="208" t="str">
        <f t="shared" si="1"/>
        <v>Excise Taxes Excluded from Sales</v>
      </c>
      <c r="B134" s="201" t="s">
        <v>655</v>
      </c>
      <c r="C134" s="229" t="s">
        <v>1272</v>
      </c>
      <c r="D134" s="229" t="s">
        <v>1273</v>
      </c>
      <c r="E134" s="229" t="s">
        <v>1274</v>
      </c>
      <c r="F134" s="229" t="s">
        <v>1343</v>
      </c>
      <c r="G134" s="229" t="s">
        <v>1344</v>
      </c>
      <c r="H134" s="205" t="s">
        <v>1308</v>
      </c>
      <c r="I134" s="229" t="s">
        <v>1309</v>
      </c>
      <c r="J134" s="229" t="s">
        <v>1310</v>
      </c>
      <c r="K134" s="229" t="s">
        <v>1366</v>
      </c>
      <c r="BB134"/>
    </row>
    <row r="135" spans="1:54" x14ac:dyDescent="0.25">
      <c r="A135" s="208" t="str">
        <f t="shared" si="1"/>
        <v>Excise Taxes Included in Sales</v>
      </c>
      <c r="B135" s="201" t="s">
        <v>656</v>
      </c>
      <c r="C135" s="229" t="s">
        <v>1275</v>
      </c>
      <c r="D135" s="229" t="s">
        <v>1276</v>
      </c>
      <c r="E135" s="229" t="s">
        <v>1277</v>
      </c>
      <c r="F135" s="229" t="s">
        <v>1345</v>
      </c>
      <c r="G135" s="229" t="s">
        <v>1346</v>
      </c>
      <c r="H135" s="205" t="s">
        <v>1311</v>
      </c>
      <c r="I135" s="229" t="s">
        <v>1312</v>
      </c>
      <c r="J135" s="229" t="s">
        <v>1313</v>
      </c>
      <c r="K135" s="229" t="s">
        <v>1367</v>
      </c>
      <c r="BB135"/>
    </row>
    <row r="136" spans="1:54" x14ac:dyDescent="0.25">
      <c r="A136" s="208" t="str">
        <f t="shared" si="1"/>
        <v>Current Domestic Taxes</v>
      </c>
      <c r="B136" s="201" t="s">
        <v>580</v>
      </c>
      <c r="C136" s="229" t="s">
        <v>1278</v>
      </c>
      <c r="D136" s="229" t="s">
        <v>1279</v>
      </c>
      <c r="E136" s="229" t="s">
        <v>1280</v>
      </c>
      <c r="F136" s="229" t="s">
        <v>1347</v>
      </c>
      <c r="G136" s="229" t="s">
        <v>1348</v>
      </c>
      <c r="H136" s="205" t="s">
        <v>1314</v>
      </c>
      <c r="I136" s="229" t="s">
        <v>1315</v>
      </c>
      <c r="J136" s="229" t="s">
        <v>1316</v>
      </c>
      <c r="K136" s="229" t="s">
        <v>1368</v>
      </c>
      <c r="BB136"/>
    </row>
    <row r="137" spans="1:54" x14ac:dyDescent="0.25">
      <c r="A137" s="208" t="str">
        <f t="shared" ref="A137:A200" si="2">INDEX($B137:$CV137,$A$4)</f>
        <v>Current Foreign Taxes</v>
      </c>
      <c r="B137" s="201" t="s">
        <v>581</v>
      </c>
      <c r="C137" s="229" t="s">
        <v>1281</v>
      </c>
      <c r="D137" s="229" t="s">
        <v>1282</v>
      </c>
      <c r="E137" s="229" t="s">
        <v>1283</v>
      </c>
      <c r="F137" s="229" t="s">
        <v>1349</v>
      </c>
      <c r="G137" s="229" t="s">
        <v>1350</v>
      </c>
      <c r="H137" s="205" t="s">
        <v>1317</v>
      </c>
      <c r="I137" s="229" t="s">
        <v>1318</v>
      </c>
      <c r="J137" s="229" t="s">
        <v>1319</v>
      </c>
      <c r="K137" s="229" t="s">
        <v>1369</v>
      </c>
      <c r="BB137"/>
    </row>
    <row r="138" spans="1:54" x14ac:dyDescent="0.25">
      <c r="A138" s="208" t="str">
        <f t="shared" si="2"/>
        <v>Total Current Taxes</v>
      </c>
      <c r="B138" s="201" t="s">
        <v>744</v>
      </c>
      <c r="C138" s="229" t="s">
        <v>1284</v>
      </c>
      <c r="D138" s="229" t="s">
        <v>1285</v>
      </c>
      <c r="E138" s="229" t="s">
        <v>1286</v>
      </c>
      <c r="F138" s="229" t="s">
        <v>1351</v>
      </c>
      <c r="G138" s="229" t="s">
        <v>1352</v>
      </c>
      <c r="H138" s="205" t="s">
        <v>1320</v>
      </c>
      <c r="I138" s="229" t="s">
        <v>1321</v>
      </c>
      <c r="J138" s="229" t="s">
        <v>1322</v>
      </c>
      <c r="K138" s="229" t="s">
        <v>1370</v>
      </c>
      <c r="BB138"/>
    </row>
    <row r="139" spans="1:54" x14ac:dyDescent="0.25">
      <c r="A139" s="208" t="str">
        <f t="shared" si="2"/>
        <v>Deferred Domestic Taxes</v>
      </c>
      <c r="B139" s="201" t="s">
        <v>582</v>
      </c>
      <c r="C139" s="229" t="s">
        <v>1287</v>
      </c>
      <c r="D139" s="229" t="s">
        <v>1288</v>
      </c>
      <c r="E139" s="229" t="s">
        <v>1289</v>
      </c>
      <c r="F139" s="229" t="s">
        <v>1353</v>
      </c>
      <c r="G139" s="229" t="s">
        <v>1354</v>
      </c>
      <c r="H139" s="205" t="s">
        <v>1323</v>
      </c>
      <c r="I139" s="229" t="s">
        <v>1324</v>
      </c>
      <c r="J139" s="229" t="s">
        <v>1325</v>
      </c>
      <c r="K139" s="229" t="s">
        <v>1371</v>
      </c>
      <c r="BB139"/>
    </row>
    <row r="140" spans="1:54" x14ac:dyDescent="0.25">
      <c r="A140" s="208" t="str">
        <f t="shared" si="2"/>
        <v>Deferred Foreign Taxes</v>
      </c>
      <c r="B140" s="201" t="s">
        <v>583</v>
      </c>
      <c r="C140" s="229" t="s">
        <v>1290</v>
      </c>
      <c r="D140" s="229" t="s">
        <v>1291</v>
      </c>
      <c r="E140" s="229" t="s">
        <v>1292</v>
      </c>
      <c r="F140" s="229" t="s">
        <v>1355</v>
      </c>
      <c r="G140" s="229" t="s">
        <v>1356</v>
      </c>
      <c r="H140" s="205" t="s">
        <v>1326</v>
      </c>
      <c r="I140" s="229" t="s">
        <v>1327</v>
      </c>
      <c r="J140" s="229" t="s">
        <v>1328</v>
      </c>
      <c r="K140" s="229" t="s">
        <v>1372</v>
      </c>
      <c r="BB140"/>
    </row>
    <row r="141" spans="1:54" x14ac:dyDescent="0.25">
      <c r="A141" s="208" t="str">
        <f t="shared" si="2"/>
        <v>Total Deferred Taxes</v>
      </c>
      <c r="B141" s="201" t="s">
        <v>745</v>
      </c>
      <c r="C141" s="229" t="s">
        <v>1293</v>
      </c>
      <c r="D141" s="229" t="s">
        <v>1294</v>
      </c>
      <c r="E141" s="229" t="s">
        <v>1295</v>
      </c>
      <c r="F141" s="229" t="s">
        <v>1357</v>
      </c>
      <c r="G141" s="229" t="s">
        <v>1358</v>
      </c>
      <c r="H141" s="205" t="s">
        <v>1329</v>
      </c>
      <c r="I141" s="229" t="s">
        <v>1330</v>
      </c>
      <c r="J141" s="229" t="s">
        <v>1331</v>
      </c>
      <c r="K141" s="229" t="s">
        <v>1373</v>
      </c>
      <c r="BB141"/>
    </row>
    <row r="142" spans="1:54" x14ac:dyDescent="0.25">
      <c r="A142" s="208" t="str">
        <f t="shared" si="2"/>
        <v>Non-Recurring Income Taxes</v>
      </c>
      <c r="B142" s="201" t="s">
        <v>789</v>
      </c>
      <c r="C142" s="229" t="s">
        <v>1296</v>
      </c>
      <c r="D142" s="229" t="s">
        <v>1297</v>
      </c>
      <c r="E142" s="229" t="s">
        <v>1298</v>
      </c>
      <c r="F142" s="229" t="s">
        <v>1359</v>
      </c>
      <c r="G142" s="229" t="s">
        <v>1360</v>
      </c>
      <c r="H142" s="205" t="s">
        <v>1332</v>
      </c>
      <c r="I142" s="229" t="s">
        <v>1333</v>
      </c>
      <c r="J142" s="229" t="s">
        <v>1334</v>
      </c>
      <c r="K142" s="229" t="s">
        <v>1374</v>
      </c>
      <c r="BB142"/>
    </row>
    <row r="143" spans="1:54" x14ac:dyDescent="0.25">
      <c r="A143" s="208" t="str">
        <f t="shared" si="2"/>
        <v>Normalized Net Income</v>
      </c>
      <c r="B143" s="201" t="s">
        <v>584</v>
      </c>
      <c r="C143" s="229" t="s">
        <v>1299</v>
      </c>
      <c r="D143" s="229" t="s">
        <v>1300</v>
      </c>
      <c r="E143" s="229" t="s">
        <v>1301</v>
      </c>
      <c r="F143" s="229" t="s">
        <v>1361</v>
      </c>
      <c r="G143" s="229" t="s">
        <v>1362</v>
      </c>
      <c r="H143" s="205" t="s">
        <v>1335</v>
      </c>
      <c r="I143" s="229" t="s">
        <v>1336</v>
      </c>
      <c r="J143" s="229" t="s">
        <v>1337</v>
      </c>
      <c r="K143" s="229" t="s">
        <v>1375</v>
      </c>
      <c r="BB143"/>
    </row>
    <row r="144" spans="1:54" x14ac:dyDescent="0.25">
      <c r="A144" s="208" t="str">
        <f t="shared" si="2"/>
        <v>Diluted Net Income</v>
      </c>
      <c r="B144" s="201" t="s">
        <v>609</v>
      </c>
      <c r="C144" s="229" t="s">
        <v>1302</v>
      </c>
      <c r="D144" s="229" t="s">
        <v>1303</v>
      </c>
      <c r="E144" s="229" t="s">
        <v>1304</v>
      </c>
      <c r="F144" s="229" t="s">
        <v>1363</v>
      </c>
      <c r="G144" s="229" t="s">
        <v>1364</v>
      </c>
      <c r="H144" s="205" t="s">
        <v>1338</v>
      </c>
      <c r="I144" s="229" t="s">
        <v>1339</v>
      </c>
      <c r="J144" s="229" t="s">
        <v>1340</v>
      </c>
      <c r="K144" s="229" t="s">
        <v>1376</v>
      </c>
      <c r="BB144"/>
    </row>
    <row r="145" spans="1:54" x14ac:dyDescent="0.25">
      <c r="A145" s="208" t="str">
        <f t="shared" si="2"/>
        <v>Interest Capitalized</v>
      </c>
      <c r="B145" s="201" t="s">
        <v>537</v>
      </c>
      <c r="C145" s="229" t="s">
        <v>1377</v>
      </c>
      <c r="D145" s="229" t="s">
        <v>1378</v>
      </c>
      <c r="E145" s="229" t="s">
        <v>1379</v>
      </c>
      <c r="F145" s="229" t="s">
        <v>1431</v>
      </c>
      <c r="G145" s="229" t="s">
        <v>1432</v>
      </c>
      <c r="H145" s="205" t="s">
        <v>1404</v>
      </c>
      <c r="I145" s="229" t="s">
        <v>1405</v>
      </c>
      <c r="J145" s="229" t="s">
        <v>1406</v>
      </c>
      <c r="K145" s="229" t="s">
        <v>1449</v>
      </c>
      <c r="BB145"/>
    </row>
    <row r="146" spans="1:54" x14ac:dyDescent="0.25">
      <c r="A146" s="208" t="str">
        <f t="shared" si="2"/>
        <v>Interest On Long Term Debt</v>
      </c>
      <c r="B146" s="201" t="s">
        <v>585</v>
      </c>
      <c r="C146" s="229" t="s">
        <v>1380</v>
      </c>
      <c r="D146" s="229" t="s">
        <v>1381</v>
      </c>
      <c r="E146" s="229" t="s">
        <v>1382</v>
      </c>
      <c r="F146" s="229" t="s">
        <v>1433</v>
      </c>
      <c r="G146" s="229" t="s">
        <v>1434</v>
      </c>
      <c r="H146" s="205" t="s">
        <v>1407</v>
      </c>
      <c r="I146" s="229" t="s">
        <v>1408</v>
      </c>
      <c r="J146" s="229" t="s">
        <v>1409</v>
      </c>
      <c r="K146" s="229" t="s">
        <v>1450</v>
      </c>
      <c r="BB146"/>
    </row>
    <row r="147" spans="1:54" x14ac:dyDescent="0.25">
      <c r="A147" s="208" t="str">
        <f t="shared" si="2"/>
        <v>Interest Expenses On Lease Liability/Debt</v>
      </c>
      <c r="B147" s="201" t="s">
        <v>790</v>
      </c>
      <c r="C147" s="229" t="s">
        <v>1383</v>
      </c>
      <c r="D147" s="229" t="s">
        <v>1384</v>
      </c>
      <c r="E147" s="229" t="s">
        <v>1385</v>
      </c>
      <c r="F147" s="229" t="s">
        <v>1435</v>
      </c>
      <c r="G147" s="229" t="s">
        <v>1436</v>
      </c>
      <c r="H147" s="205" t="s">
        <v>1410</v>
      </c>
      <c r="I147" s="229" t="s">
        <v>1411</v>
      </c>
      <c r="J147" s="229" t="s">
        <v>1412</v>
      </c>
      <c r="K147" s="229" t="s">
        <v>1451</v>
      </c>
      <c r="BB147"/>
    </row>
    <row r="148" spans="1:54" x14ac:dyDescent="0.25">
      <c r="A148" s="208" t="str">
        <f t="shared" si="2"/>
        <v>Interest Expense (Incl. Cap. Interest)</v>
      </c>
      <c r="B148" s="201" t="s">
        <v>589</v>
      </c>
      <c r="C148" s="229" t="s">
        <v>1386</v>
      </c>
      <c r="D148" s="229" t="s">
        <v>1387</v>
      </c>
      <c r="E148" s="229" t="s">
        <v>1388</v>
      </c>
      <c r="F148" s="229" t="s">
        <v>1437</v>
      </c>
      <c r="G148" s="229" t="s">
        <v>1438</v>
      </c>
      <c r="H148" s="205" t="s">
        <v>1413</v>
      </c>
      <c r="I148" s="229" t="s">
        <v>1414</v>
      </c>
      <c r="J148" s="229" t="s">
        <v>1415</v>
      </c>
      <c r="K148" s="229" t="s">
        <v>1452</v>
      </c>
      <c r="BB148"/>
    </row>
    <row r="149" spans="1:54" x14ac:dyDescent="0.25">
      <c r="A149" s="208" t="str">
        <f t="shared" si="2"/>
        <v>Non-Cash Pension Expense</v>
      </c>
      <c r="B149" s="201" t="s">
        <v>586</v>
      </c>
      <c r="C149" s="229" t="s">
        <v>1389</v>
      </c>
      <c r="D149" s="229" t="s">
        <v>1390</v>
      </c>
      <c r="E149" s="229" t="s">
        <v>1391</v>
      </c>
      <c r="F149" s="229" t="s">
        <v>1439</v>
      </c>
      <c r="G149" s="229" t="s">
        <v>1440</v>
      </c>
      <c r="H149" s="205" t="s">
        <v>1416</v>
      </c>
      <c r="I149" s="229" t="s">
        <v>1417</v>
      </c>
      <c r="J149" s="229" t="s">
        <v>1418</v>
      </c>
      <c r="K149" s="229" t="s">
        <v>1453</v>
      </c>
      <c r="BB149"/>
    </row>
    <row r="150" spans="1:54" x14ac:dyDescent="0.25">
      <c r="A150" s="208" t="str">
        <f t="shared" si="2"/>
        <v>D&amp;A For EBITDA</v>
      </c>
      <c r="B150" s="201" t="s">
        <v>587</v>
      </c>
      <c r="C150" s="229" t="s">
        <v>1392</v>
      </c>
      <c r="D150" s="229" t="s">
        <v>1393</v>
      </c>
      <c r="E150" s="229" t="s">
        <v>1394</v>
      </c>
      <c r="F150" s="229" t="s">
        <v>1441</v>
      </c>
      <c r="G150" s="229" t="s">
        <v>1442</v>
      </c>
      <c r="H150" s="205" t="s">
        <v>1419</v>
      </c>
      <c r="I150" s="229" t="s">
        <v>1420</v>
      </c>
      <c r="J150" s="229" t="s">
        <v>1421</v>
      </c>
      <c r="K150" s="229" t="s">
        <v>1454</v>
      </c>
      <c r="BB150"/>
    </row>
    <row r="151" spans="1:54" x14ac:dyDescent="0.25">
      <c r="A151" s="208" t="str">
        <f t="shared" si="2"/>
        <v>Distributable Cash</v>
      </c>
      <c r="B151" s="201" t="s">
        <v>588</v>
      </c>
      <c r="C151" s="229" t="s">
        <v>1395</v>
      </c>
      <c r="D151" s="229" t="s">
        <v>1396</v>
      </c>
      <c r="E151" s="229" t="s">
        <v>1397</v>
      </c>
      <c r="F151" s="229" t="s">
        <v>1443</v>
      </c>
      <c r="G151" s="229" t="s">
        <v>1444</v>
      </c>
      <c r="H151" s="205" t="s">
        <v>1422</v>
      </c>
      <c r="I151" s="229" t="s">
        <v>1423</v>
      </c>
      <c r="J151" s="229" t="s">
        <v>1424</v>
      </c>
      <c r="K151" s="229" t="s">
        <v>1455</v>
      </c>
      <c r="BB151"/>
    </row>
    <row r="152" spans="1:54" x14ac:dyDescent="0.25">
      <c r="A152" s="208" t="str">
        <f t="shared" si="2"/>
        <v>Standardized Distributable Cash</v>
      </c>
      <c r="B152" s="201" t="s">
        <v>748</v>
      </c>
      <c r="C152" s="229" t="s">
        <v>1398</v>
      </c>
      <c r="D152" s="229" t="s">
        <v>1399</v>
      </c>
      <c r="E152" s="229" t="s">
        <v>1400</v>
      </c>
      <c r="F152" s="229" t="s">
        <v>1445</v>
      </c>
      <c r="G152" s="229" t="s">
        <v>1446</v>
      </c>
      <c r="H152" s="205" t="s">
        <v>1425</v>
      </c>
      <c r="I152" s="229" t="s">
        <v>1426</v>
      </c>
      <c r="J152" s="229" t="s">
        <v>1427</v>
      </c>
      <c r="K152" s="229" t="s">
        <v>1456</v>
      </c>
      <c r="BB152"/>
    </row>
    <row r="153" spans="1:54" x14ac:dyDescent="0.25">
      <c r="A153" s="208" t="str">
        <f t="shared" si="2"/>
        <v>Annualized Distributions per Unit</v>
      </c>
      <c r="B153" s="201" t="s">
        <v>605</v>
      </c>
      <c r="C153" s="229" t="s">
        <v>1401</v>
      </c>
      <c r="D153" s="229" t="s">
        <v>1402</v>
      </c>
      <c r="E153" s="229" t="s">
        <v>1403</v>
      </c>
      <c r="F153" s="229" t="s">
        <v>1447</v>
      </c>
      <c r="G153" s="229" t="s">
        <v>1448</v>
      </c>
      <c r="H153" s="205" t="s">
        <v>1428</v>
      </c>
      <c r="I153" s="229" t="s">
        <v>1429</v>
      </c>
      <c r="J153" s="229" t="s">
        <v>1430</v>
      </c>
      <c r="K153" s="229" t="s">
        <v>1457</v>
      </c>
      <c r="BB153"/>
    </row>
    <row r="154" spans="1:54" x14ac:dyDescent="0.25">
      <c r="A154" s="208" t="str">
        <f t="shared" si="2"/>
        <v>Distributable Cash Payout Ratio (Income Trusts)</v>
      </c>
      <c r="B154" s="201" t="s">
        <v>626</v>
      </c>
      <c r="C154" s="229" t="s">
        <v>1458</v>
      </c>
      <c r="D154" s="229" t="s">
        <v>1459</v>
      </c>
      <c r="E154" s="229" t="s">
        <v>1460</v>
      </c>
      <c r="F154" s="229" t="s">
        <v>1469</v>
      </c>
      <c r="G154" s="229" t="s">
        <v>1470</v>
      </c>
      <c r="H154" s="205" t="s">
        <v>1463</v>
      </c>
      <c r="I154" s="229" t="s">
        <v>1464</v>
      </c>
      <c r="J154" s="229" t="s">
        <v>1465</v>
      </c>
      <c r="K154" s="229" t="s">
        <v>1473</v>
      </c>
      <c r="BB154"/>
    </row>
    <row r="155" spans="1:54" x14ac:dyDescent="0.25">
      <c r="A155" s="208" t="str">
        <f t="shared" si="2"/>
        <v>Common Stock Dividend Declared</v>
      </c>
      <c r="B155" s="201" t="s">
        <v>590</v>
      </c>
      <c r="C155" s="229" t="s">
        <v>1461</v>
      </c>
      <c r="D155" s="229" t="s">
        <v>1461</v>
      </c>
      <c r="E155" s="229" t="s">
        <v>1462</v>
      </c>
      <c r="F155" s="229" t="s">
        <v>1471</v>
      </c>
      <c r="G155" s="229" t="s">
        <v>1472</v>
      </c>
      <c r="H155" s="205" t="s">
        <v>1466</v>
      </c>
      <c r="I155" s="229" t="s">
        <v>1467</v>
      </c>
      <c r="J155" s="229" t="s">
        <v>1468</v>
      </c>
      <c r="K155" s="229" t="s">
        <v>1474</v>
      </c>
      <c r="BB155"/>
    </row>
    <row r="156" spans="1:54" x14ac:dyDescent="0.25">
      <c r="A156" s="208" t="str">
        <f t="shared" si="2"/>
        <v>Effective Tax Rate (%)</v>
      </c>
      <c r="B156" s="201" t="s">
        <v>411</v>
      </c>
      <c r="C156" s="201" t="s">
        <v>7308</v>
      </c>
      <c r="D156" s="229" t="s">
        <v>7309</v>
      </c>
      <c r="E156" s="201" t="s">
        <v>7310</v>
      </c>
      <c r="F156" s="201" t="s">
        <v>7311</v>
      </c>
      <c r="G156" s="201" t="s">
        <v>7312</v>
      </c>
      <c r="H156" s="201" t="s">
        <v>7313</v>
      </c>
      <c r="I156" s="201" t="s">
        <v>7314</v>
      </c>
      <c r="J156" s="201" t="s">
        <v>7315</v>
      </c>
      <c r="K156" s="201" t="s">
        <v>7316</v>
      </c>
      <c r="BB156"/>
    </row>
    <row r="157" spans="1:54" x14ac:dyDescent="0.25">
      <c r="A157" s="208" t="str">
        <f t="shared" si="2"/>
        <v>Payout Ratio (%)</v>
      </c>
      <c r="B157" s="201" t="s">
        <v>412</v>
      </c>
      <c r="C157" s="229" t="s">
        <v>1475</v>
      </c>
      <c r="D157" s="229" t="s">
        <v>1475</v>
      </c>
      <c r="E157" s="229" t="s">
        <v>1476</v>
      </c>
      <c r="F157" s="229" t="s">
        <v>1516</v>
      </c>
      <c r="G157" s="229" t="s">
        <v>1517</v>
      </c>
      <c r="H157" s="205" t="s">
        <v>1495</v>
      </c>
      <c r="I157" s="229" t="s">
        <v>1496</v>
      </c>
      <c r="J157" s="229" t="s">
        <v>1497</v>
      </c>
      <c r="K157" s="229" t="s">
        <v>1530</v>
      </c>
      <c r="BB157"/>
    </row>
    <row r="158" spans="1:54" x14ac:dyDescent="0.25">
      <c r="A158" s="208" t="str">
        <f t="shared" si="2"/>
        <v>Debt Issuance Costs</v>
      </c>
      <c r="B158" s="201" t="s">
        <v>714</v>
      </c>
      <c r="C158" s="229" t="s">
        <v>1477</v>
      </c>
      <c r="D158" s="229" t="s">
        <v>1478</v>
      </c>
      <c r="E158" s="229" t="s">
        <v>1479</v>
      </c>
      <c r="F158" s="229" t="s">
        <v>1518</v>
      </c>
      <c r="G158" s="229" t="s">
        <v>1519</v>
      </c>
      <c r="H158" s="205" t="s">
        <v>1498</v>
      </c>
      <c r="I158" s="229" t="s">
        <v>1499</v>
      </c>
      <c r="J158" s="229" t="s">
        <v>1500</v>
      </c>
      <c r="K158" s="229" t="s">
        <v>1531</v>
      </c>
      <c r="BB158"/>
    </row>
    <row r="159" spans="1:54" x14ac:dyDescent="0.25">
      <c r="A159" s="208" t="str">
        <f t="shared" si="2"/>
        <v>Filing Currency</v>
      </c>
      <c r="B159" s="201" t="s">
        <v>608</v>
      </c>
      <c r="C159" s="229" t="s">
        <v>1480</v>
      </c>
      <c r="D159" s="229" t="s">
        <v>1481</v>
      </c>
      <c r="E159" s="229" t="s">
        <v>1482</v>
      </c>
      <c r="F159" s="229" t="s">
        <v>1520</v>
      </c>
      <c r="G159" s="229" t="s">
        <v>1521</v>
      </c>
      <c r="H159" s="205" t="s">
        <v>1501</v>
      </c>
      <c r="I159" s="229" t="s">
        <v>1502</v>
      </c>
      <c r="J159" s="229" t="s">
        <v>1503</v>
      </c>
      <c r="K159" s="229" t="s">
        <v>1532</v>
      </c>
      <c r="BB159"/>
    </row>
    <row r="160" spans="1:54" x14ac:dyDescent="0.25">
      <c r="A160" s="208" t="str">
        <f t="shared" si="2"/>
        <v>Restatement Type</v>
      </c>
      <c r="B160" s="201" t="s">
        <v>606</v>
      </c>
      <c r="C160" s="229" t="s">
        <v>1483</v>
      </c>
      <c r="D160" s="229" t="s">
        <v>1484</v>
      </c>
      <c r="E160" s="229" t="s">
        <v>1485</v>
      </c>
      <c r="F160" s="229" t="s">
        <v>1522</v>
      </c>
      <c r="G160" s="229" t="s">
        <v>1523</v>
      </c>
      <c r="H160" s="205" t="s">
        <v>1504</v>
      </c>
      <c r="I160" s="229" t="s">
        <v>1505</v>
      </c>
      <c r="J160" s="229" t="s">
        <v>1506</v>
      </c>
      <c r="K160" s="229" t="s">
        <v>1533</v>
      </c>
      <c r="BB160"/>
    </row>
    <row r="161" spans="1:54" x14ac:dyDescent="0.25">
      <c r="A161" s="208" t="str">
        <f t="shared" si="2"/>
        <v>Calculation Type</v>
      </c>
      <c r="B161" s="201" t="s">
        <v>607</v>
      </c>
      <c r="C161" s="229" t="s">
        <v>1486</v>
      </c>
      <c r="D161" s="229" t="s">
        <v>1487</v>
      </c>
      <c r="E161" s="229" t="s">
        <v>1488</v>
      </c>
      <c r="F161" s="229" t="s">
        <v>1524</v>
      </c>
      <c r="G161" s="229" t="s">
        <v>1525</v>
      </c>
      <c r="H161" s="205" t="s">
        <v>1507</v>
      </c>
      <c r="I161" s="229" t="s">
        <v>1508</v>
      </c>
      <c r="J161" s="229" t="s">
        <v>1509</v>
      </c>
      <c r="K161" s="229" t="s">
        <v>1534</v>
      </c>
      <c r="BB161"/>
    </row>
    <row r="162" spans="1:54" x14ac:dyDescent="0.25">
      <c r="A162" s="208" t="str">
        <f t="shared" si="2"/>
        <v>Financial Accounting Standard</v>
      </c>
      <c r="B162" s="201" t="s">
        <v>658</v>
      </c>
      <c r="C162" s="229" t="s">
        <v>1489</v>
      </c>
      <c r="D162" s="229" t="s">
        <v>1490</v>
      </c>
      <c r="E162" s="229" t="s">
        <v>1491</v>
      </c>
      <c r="F162" s="229" t="s">
        <v>1526</v>
      </c>
      <c r="G162" s="229" t="s">
        <v>1527</v>
      </c>
      <c r="H162" s="205" t="s">
        <v>1510</v>
      </c>
      <c r="I162" s="229" t="s">
        <v>1511</v>
      </c>
      <c r="J162" s="229" t="s">
        <v>1512</v>
      </c>
      <c r="K162" s="229" t="s">
        <v>1535</v>
      </c>
      <c r="BB162"/>
    </row>
    <row r="163" spans="1:54" x14ac:dyDescent="0.25">
      <c r="A163" s="208" t="str">
        <f t="shared" si="2"/>
        <v>Supplemental Operating Expense Items</v>
      </c>
      <c r="B163" s="201" t="s">
        <v>677</v>
      </c>
      <c r="C163" s="229" t="s">
        <v>1492</v>
      </c>
      <c r="D163" s="229" t="s">
        <v>1493</v>
      </c>
      <c r="E163" s="229" t="s">
        <v>1494</v>
      </c>
      <c r="F163" s="229" t="s">
        <v>1528</v>
      </c>
      <c r="G163" s="229" t="s">
        <v>1529</v>
      </c>
      <c r="H163" s="230" t="s">
        <v>1513</v>
      </c>
      <c r="I163" s="229" t="s">
        <v>1514</v>
      </c>
      <c r="J163" s="229" t="s">
        <v>1515</v>
      </c>
      <c r="K163" s="229" t="s">
        <v>1536</v>
      </c>
      <c r="BB163"/>
    </row>
    <row r="164" spans="1:54" x14ac:dyDescent="0.25">
      <c r="A164" s="208" t="str">
        <f t="shared" si="2"/>
        <v>Advertising Expense</v>
      </c>
      <c r="B164" s="201" t="s">
        <v>627</v>
      </c>
      <c r="C164" s="229" t="s">
        <v>7317</v>
      </c>
      <c r="D164" s="229" t="s">
        <v>7318</v>
      </c>
      <c r="E164" s="229" t="s">
        <v>7319</v>
      </c>
      <c r="F164" s="229" t="s">
        <v>7320</v>
      </c>
      <c r="G164" s="229" t="s">
        <v>7321</v>
      </c>
      <c r="H164" s="205" t="s">
        <v>7322</v>
      </c>
      <c r="I164" s="229" t="s">
        <v>7323</v>
      </c>
      <c r="J164" s="229" t="s">
        <v>7324</v>
      </c>
      <c r="K164" s="229" t="s">
        <v>7325</v>
      </c>
      <c r="BB164"/>
    </row>
    <row r="165" spans="1:54" x14ac:dyDescent="0.25">
      <c r="A165" s="208" t="str">
        <f t="shared" si="2"/>
        <v>Marketing Expense</v>
      </c>
      <c r="B165" s="201" t="s">
        <v>591</v>
      </c>
      <c r="C165" s="229" t="s">
        <v>1537</v>
      </c>
      <c r="D165" s="229" t="s">
        <v>1538</v>
      </c>
      <c r="E165" s="229" t="s">
        <v>1539</v>
      </c>
      <c r="F165" s="229" t="s">
        <v>1549</v>
      </c>
      <c r="G165" s="229" t="s">
        <v>1550</v>
      </c>
      <c r="H165" s="205" t="s">
        <v>1543</v>
      </c>
      <c r="I165" s="229" t="s">
        <v>1544</v>
      </c>
      <c r="J165" s="229" t="s">
        <v>1545</v>
      </c>
      <c r="K165" s="229" t="s">
        <v>1553</v>
      </c>
      <c r="BB165"/>
    </row>
    <row r="166" spans="1:54" x14ac:dyDescent="0.25">
      <c r="A166" s="208" t="str">
        <f t="shared" si="2"/>
        <v>Selling And Marketing Expense</v>
      </c>
      <c r="B166" s="201" t="s">
        <v>592</v>
      </c>
      <c r="C166" s="229" t="s">
        <v>1540</v>
      </c>
      <c r="D166" s="229" t="s">
        <v>1541</v>
      </c>
      <c r="E166" s="229" t="s">
        <v>1542</v>
      </c>
      <c r="F166" s="229" t="s">
        <v>1551</v>
      </c>
      <c r="G166" s="229" t="s">
        <v>1552</v>
      </c>
      <c r="H166" s="205" t="s">
        <v>1546</v>
      </c>
      <c r="I166" s="229" t="s">
        <v>1547</v>
      </c>
      <c r="J166" s="229" t="s">
        <v>1548</v>
      </c>
      <c r="K166" s="229" t="s">
        <v>1554</v>
      </c>
      <c r="BB166"/>
    </row>
    <row r="167" spans="1:54" x14ac:dyDescent="0.25">
      <c r="A167" s="208" t="str">
        <f t="shared" si="2"/>
        <v>General and Administrative Expense</v>
      </c>
      <c r="B167" s="201" t="s">
        <v>593</v>
      </c>
      <c r="C167" s="229" t="s">
        <v>7326</v>
      </c>
      <c r="D167" s="229" t="s">
        <v>7327</v>
      </c>
      <c r="E167" s="201" t="s">
        <v>7328</v>
      </c>
      <c r="F167" s="201" t="s">
        <v>7329</v>
      </c>
      <c r="G167" s="201" t="s">
        <v>7330</v>
      </c>
      <c r="H167" s="201" t="s">
        <v>7331</v>
      </c>
      <c r="I167" s="201" t="s">
        <v>7332</v>
      </c>
      <c r="J167" s="201" t="s">
        <v>7333</v>
      </c>
      <c r="K167" s="201" t="s">
        <v>7334</v>
      </c>
      <c r="BB167"/>
    </row>
    <row r="168" spans="1:54" x14ac:dyDescent="0.25">
      <c r="A168" s="208" t="str">
        <f t="shared" si="2"/>
        <v>R&amp;D Expense (Foot Note)</v>
      </c>
      <c r="B168" s="201" t="s">
        <v>630</v>
      </c>
      <c r="C168" s="229" t="s">
        <v>1555</v>
      </c>
      <c r="D168" s="229" t="s">
        <v>1556</v>
      </c>
      <c r="E168" s="229" t="s">
        <v>1557</v>
      </c>
      <c r="F168" s="229" t="s">
        <v>1639</v>
      </c>
      <c r="G168" s="229" t="s">
        <v>1640</v>
      </c>
      <c r="H168" s="205" t="s">
        <v>1597</v>
      </c>
      <c r="I168" s="229" t="s">
        <v>1598</v>
      </c>
      <c r="J168" s="229" t="s">
        <v>1599</v>
      </c>
      <c r="K168" s="229" t="s">
        <v>1667</v>
      </c>
      <c r="BB168"/>
    </row>
    <row r="169" spans="1:54" x14ac:dyDescent="0.25">
      <c r="A169" s="208" t="str">
        <f t="shared" si="2"/>
        <v>Net Rental Expense, Total</v>
      </c>
      <c r="B169" s="201" t="s">
        <v>46</v>
      </c>
      <c r="C169" s="229" t="s">
        <v>1558</v>
      </c>
      <c r="D169" s="229" t="s">
        <v>1559</v>
      </c>
      <c r="E169" s="229" t="s">
        <v>1560</v>
      </c>
      <c r="F169" s="229" t="s">
        <v>1641</v>
      </c>
      <c r="G169" s="229" t="s">
        <v>1642</v>
      </c>
      <c r="H169" s="198" t="s">
        <v>1600</v>
      </c>
      <c r="I169" s="229" t="s">
        <v>1601</v>
      </c>
      <c r="J169" s="229" t="s">
        <v>1602</v>
      </c>
      <c r="K169" s="229" t="s">
        <v>1668</v>
      </c>
      <c r="BB169"/>
    </row>
    <row r="170" spans="1:54" x14ac:dyDescent="0.25">
      <c r="A170" s="208" t="str">
        <f t="shared" si="2"/>
        <v>Net Rental Expense</v>
      </c>
      <c r="B170" s="201" t="s">
        <v>48</v>
      </c>
      <c r="C170" s="229" t="s">
        <v>1561</v>
      </c>
      <c r="D170" s="229" t="s">
        <v>1562</v>
      </c>
      <c r="E170" s="229" t="s">
        <v>1563</v>
      </c>
      <c r="F170" s="229" t="s">
        <v>1643</v>
      </c>
      <c r="G170" s="229" t="s">
        <v>1644</v>
      </c>
      <c r="H170" s="198" t="s">
        <v>1603</v>
      </c>
      <c r="I170" s="229" t="s">
        <v>1604</v>
      </c>
      <c r="J170" s="229" t="s">
        <v>1605</v>
      </c>
      <c r="K170" s="229" t="s">
        <v>1669</v>
      </c>
      <c r="BB170"/>
    </row>
    <row r="171" spans="1:54" x14ac:dyDescent="0.25">
      <c r="A171" s="208" t="str">
        <f t="shared" si="2"/>
        <v>Net Rental Expense (Supple)</v>
      </c>
      <c r="B171" s="201" t="s">
        <v>49</v>
      </c>
      <c r="C171" s="229" t="s">
        <v>1564</v>
      </c>
      <c r="D171" s="229" t="s">
        <v>1565</v>
      </c>
      <c r="E171" s="229" t="s">
        <v>1566</v>
      </c>
      <c r="F171" s="229" t="s">
        <v>1645</v>
      </c>
      <c r="G171" s="229" t="s">
        <v>1646</v>
      </c>
      <c r="H171" s="198" t="s">
        <v>1606</v>
      </c>
      <c r="I171" s="229" t="s">
        <v>1607</v>
      </c>
      <c r="J171" s="229" t="s">
        <v>1608</v>
      </c>
      <c r="K171" s="229" t="s">
        <v>1670</v>
      </c>
      <c r="BB171"/>
    </row>
    <row r="172" spans="1:54" x14ac:dyDescent="0.25">
      <c r="A172" s="208" t="str">
        <f t="shared" si="2"/>
        <v>Contingent Rental Expense</v>
      </c>
      <c r="B172" s="201" t="s">
        <v>16</v>
      </c>
      <c r="C172" s="229" t="s">
        <v>1567</v>
      </c>
      <c r="D172" s="229" t="s">
        <v>1568</v>
      </c>
      <c r="E172" s="229" t="s">
        <v>1569</v>
      </c>
      <c r="F172" s="229" t="s">
        <v>1647</v>
      </c>
      <c r="G172" s="229" t="s">
        <v>1648</v>
      </c>
      <c r="H172" s="198" t="s">
        <v>1609</v>
      </c>
      <c r="I172" s="229" t="s">
        <v>1610</v>
      </c>
      <c r="J172" s="229" t="s">
        <v>1611</v>
      </c>
      <c r="K172" s="229" t="s">
        <v>1671</v>
      </c>
      <c r="BB172"/>
    </row>
    <row r="173" spans="1:54" x14ac:dyDescent="0.25">
      <c r="A173" s="208" t="str">
        <f t="shared" si="2"/>
        <v>Minimum Rental Expense</v>
      </c>
      <c r="B173" s="201" t="s">
        <v>39</v>
      </c>
      <c r="C173" s="229" t="s">
        <v>1570</v>
      </c>
      <c r="D173" s="229" t="s">
        <v>1571</v>
      </c>
      <c r="E173" s="229" t="s">
        <v>1572</v>
      </c>
      <c r="F173" s="229" t="s">
        <v>1649</v>
      </c>
      <c r="G173" s="229" t="s">
        <v>1650</v>
      </c>
      <c r="H173" s="198" t="s">
        <v>1612</v>
      </c>
      <c r="I173" s="229" t="s">
        <v>1613</v>
      </c>
      <c r="J173" s="229" t="s">
        <v>1614</v>
      </c>
      <c r="K173" s="229" t="s">
        <v>1672</v>
      </c>
      <c r="BB173"/>
    </row>
    <row r="174" spans="1:54" x14ac:dyDescent="0.25">
      <c r="A174" s="208" t="str">
        <f t="shared" si="2"/>
        <v>Other Rental Expense</v>
      </c>
      <c r="B174" s="201" t="s">
        <v>40</v>
      </c>
      <c r="C174" s="229" t="s">
        <v>1573</v>
      </c>
      <c r="D174" s="229" t="s">
        <v>1574</v>
      </c>
      <c r="E174" s="229" t="s">
        <v>1575</v>
      </c>
      <c r="F174" s="229" t="s">
        <v>1651</v>
      </c>
      <c r="G174" s="229" t="s">
        <v>1652</v>
      </c>
      <c r="H174" s="198" t="s">
        <v>1615</v>
      </c>
      <c r="I174" s="229" t="s">
        <v>1616</v>
      </c>
      <c r="J174" s="229" t="s">
        <v>1617</v>
      </c>
      <c r="K174" s="229" t="s">
        <v>1673</v>
      </c>
      <c r="BB174"/>
    </row>
    <row r="175" spans="1:54" x14ac:dyDescent="0.25">
      <c r="A175" s="208" t="str">
        <f t="shared" si="2"/>
        <v>Aircraft Rental Expense</v>
      </c>
      <c r="B175" s="201" t="s">
        <v>26</v>
      </c>
      <c r="C175" s="229" t="s">
        <v>1576</v>
      </c>
      <c r="D175" s="229" t="s">
        <v>1577</v>
      </c>
      <c r="E175" s="229" t="s">
        <v>1578</v>
      </c>
      <c r="F175" s="229" t="s">
        <v>1653</v>
      </c>
      <c r="G175" s="229" t="s">
        <v>1654</v>
      </c>
      <c r="H175" s="198" t="s">
        <v>1618</v>
      </c>
      <c r="I175" s="229" t="s">
        <v>1619</v>
      </c>
      <c r="J175" s="229" t="s">
        <v>1620</v>
      </c>
      <c r="K175" s="229" t="s">
        <v>1674</v>
      </c>
      <c r="BB175"/>
    </row>
    <row r="176" spans="1:54" x14ac:dyDescent="0.25">
      <c r="A176" s="208" t="str">
        <f t="shared" si="2"/>
        <v>Depreciation of Rental Assets</v>
      </c>
      <c r="B176" s="201" t="s">
        <v>41</v>
      </c>
      <c r="C176" s="229" t="s">
        <v>1579</v>
      </c>
      <c r="D176" s="229" t="s">
        <v>1580</v>
      </c>
      <c r="E176" s="229" t="s">
        <v>1581</v>
      </c>
      <c r="F176" s="229" t="s">
        <v>1655</v>
      </c>
      <c r="G176" s="229" t="s">
        <v>1656</v>
      </c>
      <c r="H176" s="205" t="s">
        <v>1621</v>
      </c>
      <c r="I176" s="229" t="s">
        <v>1622</v>
      </c>
      <c r="J176" s="229" t="s">
        <v>1623</v>
      </c>
      <c r="K176" s="229" t="s">
        <v>1675</v>
      </c>
      <c r="BB176"/>
    </row>
    <row r="177" spans="1:54" x14ac:dyDescent="0.25">
      <c r="A177" s="208" t="str">
        <f t="shared" si="2"/>
        <v>Exploration/Drilling Exp.</v>
      </c>
      <c r="B177" s="201" t="s">
        <v>713</v>
      </c>
      <c r="C177" s="229" t="s">
        <v>1582</v>
      </c>
      <c r="D177" s="229" t="s">
        <v>1583</v>
      </c>
      <c r="E177" s="229" t="s">
        <v>1584</v>
      </c>
      <c r="F177" s="229" t="s">
        <v>1657</v>
      </c>
      <c r="G177" s="229" t="s">
        <v>1658</v>
      </c>
      <c r="H177" s="205" t="s">
        <v>1624</v>
      </c>
      <c r="I177" s="229" t="s">
        <v>1625</v>
      </c>
      <c r="J177" s="229" t="s">
        <v>1626</v>
      </c>
      <c r="K177" s="229" t="s">
        <v>1676</v>
      </c>
      <c r="BB177"/>
    </row>
    <row r="178" spans="1:54" x14ac:dyDescent="0.25">
      <c r="A178" s="208" t="str">
        <f t="shared" si="2"/>
        <v>Maintenance &amp; Repair Expenses</v>
      </c>
      <c r="B178" s="201" t="s">
        <v>594</v>
      </c>
      <c r="C178" s="229" t="s">
        <v>1585</v>
      </c>
      <c r="D178" s="229" t="s">
        <v>1586</v>
      </c>
      <c r="E178" s="229" t="s">
        <v>1587</v>
      </c>
      <c r="F178" s="229" t="s">
        <v>1659</v>
      </c>
      <c r="G178" s="229" t="s">
        <v>1660</v>
      </c>
      <c r="H178" s="205" t="s">
        <v>1627</v>
      </c>
      <c r="I178" s="229" t="s">
        <v>1628</v>
      </c>
      <c r="J178" s="229" t="s">
        <v>1629</v>
      </c>
      <c r="K178" s="229" t="s">
        <v>1677</v>
      </c>
      <c r="BB178"/>
    </row>
    <row r="179" spans="1:54" x14ac:dyDescent="0.25">
      <c r="A179" s="208" t="str">
        <f t="shared" si="2"/>
        <v>Imputed Oper. Lease Interest Exp</v>
      </c>
      <c r="B179" s="201" t="s">
        <v>595</v>
      </c>
      <c r="C179" s="229" t="s">
        <v>1588</v>
      </c>
      <c r="D179" s="229" t="s">
        <v>1589</v>
      </c>
      <c r="E179" s="229" t="s">
        <v>1590</v>
      </c>
      <c r="F179" s="229" t="s">
        <v>1661</v>
      </c>
      <c r="G179" s="229" t="s">
        <v>1662</v>
      </c>
      <c r="H179" s="205" t="s">
        <v>1630</v>
      </c>
      <c r="I179" s="229" t="s">
        <v>1631</v>
      </c>
      <c r="J179" s="229" t="s">
        <v>1632</v>
      </c>
      <c r="K179" s="229" t="s">
        <v>1678</v>
      </c>
      <c r="BB179"/>
    </row>
    <row r="180" spans="1:54" x14ac:dyDescent="0.25">
      <c r="A180" s="208" t="str">
        <f t="shared" si="2"/>
        <v>Imputed Oper. Lease Depreciation</v>
      </c>
      <c r="B180" s="201" t="s">
        <v>596</v>
      </c>
      <c r="C180" s="229" t="s">
        <v>1591</v>
      </c>
      <c r="D180" s="229" t="s">
        <v>1592</v>
      </c>
      <c r="E180" s="229" t="s">
        <v>1593</v>
      </c>
      <c r="F180" s="229" t="s">
        <v>1663</v>
      </c>
      <c r="G180" s="229" t="s">
        <v>1664</v>
      </c>
      <c r="H180" s="205" t="s">
        <v>1633</v>
      </c>
      <c r="I180" s="229" t="s">
        <v>1634</v>
      </c>
      <c r="J180" s="229" t="s">
        <v>1635</v>
      </c>
      <c r="K180" s="229" t="s">
        <v>1679</v>
      </c>
      <c r="BB180"/>
    </row>
    <row r="181" spans="1:54" x14ac:dyDescent="0.25">
      <c r="A181" s="208" t="str">
        <f t="shared" si="2"/>
        <v>Salaries and Other Employee Benefits</v>
      </c>
      <c r="B181" s="201" t="s">
        <v>681</v>
      </c>
      <c r="C181" s="229" t="s">
        <v>1594</v>
      </c>
      <c r="D181" s="229" t="s">
        <v>1595</v>
      </c>
      <c r="E181" s="229" t="s">
        <v>1596</v>
      </c>
      <c r="F181" s="229" t="s">
        <v>1665</v>
      </c>
      <c r="G181" s="229" t="s">
        <v>1666</v>
      </c>
      <c r="H181" s="205" t="s">
        <v>1636</v>
      </c>
      <c r="I181" s="229" t="s">
        <v>1637</v>
      </c>
      <c r="J181" s="229" t="s">
        <v>1638</v>
      </c>
      <c r="K181" s="229" t="s">
        <v>1680</v>
      </c>
      <c r="BB181"/>
    </row>
    <row r="182" spans="1:54" x14ac:dyDescent="0.25">
      <c r="A182" s="208" t="str">
        <f t="shared" si="2"/>
        <v>Restructuring Charges (Supple)</v>
      </c>
      <c r="B182" s="201" t="s">
        <v>718</v>
      </c>
      <c r="C182" s="229" t="s">
        <v>1681</v>
      </c>
      <c r="D182" s="229" t="s">
        <v>1682</v>
      </c>
      <c r="E182" s="229" t="s">
        <v>1683</v>
      </c>
      <c r="F182" s="229" t="s">
        <v>1867</v>
      </c>
      <c r="G182" s="229" t="s">
        <v>1868</v>
      </c>
      <c r="H182" s="205" t="s">
        <v>1774</v>
      </c>
      <c r="I182" s="229" t="s">
        <v>1775</v>
      </c>
      <c r="J182" s="229" t="s">
        <v>1776</v>
      </c>
      <c r="K182" s="229" t="s">
        <v>1929</v>
      </c>
      <c r="BB182"/>
    </row>
    <row r="183" spans="1:54" x14ac:dyDescent="0.25">
      <c r="A183" s="208" t="str">
        <f t="shared" si="2"/>
        <v>Merger &amp; Related Restruct. Charges (Supple)</v>
      </c>
      <c r="B183" s="201" t="s">
        <v>719</v>
      </c>
      <c r="C183" s="229" t="s">
        <v>1684</v>
      </c>
      <c r="D183" s="229" t="s">
        <v>1685</v>
      </c>
      <c r="E183" s="229" t="s">
        <v>1686</v>
      </c>
      <c r="F183" s="229" t="s">
        <v>1869</v>
      </c>
      <c r="G183" s="229" t="s">
        <v>1870</v>
      </c>
      <c r="H183" s="205" t="s">
        <v>1777</v>
      </c>
      <c r="I183" s="229" t="s">
        <v>1778</v>
      </c>
      <c r="J183" s="229" t="s">
        <v>1779</v>
      </c>
      <c r="K183" s="229" t="s">
        <v>1930</v>
      </c>
      <c r="BB183"/>
    </row>
    <row r="184" spans="1:54" x14ac:dyDescent="0.25">
      <c r="A184" s="208" t="str">
        <f t="shared" si="2"/>
        <v>Impairment of Goodwill (Supple)</v>
      </c>
      <c r="B184" s="201" t="s">
        <v>720</v>
      </c>
      <c r="C184" s="229" t="s">
        <v>1687</v>
      </c>
      <c r="D184" s="229" t="s">
        <v>1688</v>
      </c>
      <c r="E184" s="229" t="s">
        <v>1689</v>
      </c>
      <c r="F184" s="229" t="s">
        <v>1871</v>
      </c>
      <c r="G184" s="229" t="s">
        <v>1872</v>
      </c>
      <c r="H184" s="205" t="s">
        <v>1780</v>
      </c>
      <c r="I184" s="229" t="s">
        <v>1781</v>
      </c>
      <c r="J184" s="229" t="s">
        <v>1782</v>
      </c>
      <c r="K184" s="229" t="s">
        <v>1931</v>
      </c>
      <c r="BB184"/>
    </row>
    <row r="185" spans="1:54" x14ac:dyDescent="0.25">
      <c r="A185" s="208" t="str">
        <f t="shared" si="2"/>
        <v>Asset Writedown, Total (Supple)</v>
      </c>
      <c r="B185" s="201" t="s">
        <v>721</v>
      </c>
      <c r="C185" s="229" t="s">
        <v>1690</v>
      </c>
      <c r="D185" s="229" t="s">
        <v>1691</v>
      </c>
      <c r="E185" s="229" t="s">
        <v>1692</v>
      </c>
      <c r="F185" s="229" t="s">
        <v>1873</v>
      </c>
      <c r="G185" s="229" t="s">
        <v>1874</v>
      </c>
      <c r="H185" s="205" t="s">
        <v>1783</v>
      </c>
      <c r="I185" s="229" t="s">
        <v>1784</v>
      </c>
      <c r="J185" s="229" t="s">
        <v>1785</v>
      </c>
      <c r="K185" s="229" t="s">
        <v>1932</v>
      </c>
      <c r="BB185"/>
    </row>
    <row r="186" spans="1:54" x14ac:dyDescent="0.25">
      <c r="A186" s="208" t="str">
        <f t="shared" si="2"/>
        <v>In Process R &amp; D Exp. (Supple)</v>
      </c>
      <c r="B186" s="201" t="s">
        <v>722</v>
      </c>
      <c r="C186" s="229" t="s">
        <v>1693</v>
      </c>
      <c r="D186" s="229" t="s">
        <v>1694</v>
      </c>
      <c r="E186" s="229" t="s">
        <v>1695</v>
      </c>
      <c r="F186" s="229" t="s">
        <v>1875</v>
      </c>
      <c r="G186" s="229" t="s">
        <v>1876</v>
      </c>
      <c r="H186" s="231" t="s">
        <v>1786</v>
      </c>
      <c r="I186" s="229" t="s">
        <v>1787</v>
      </c>
      <c r="J186" s="229" t="s">
        <v>1788</v>
      </c>
      <c r="K186" s="229" t="s">
        <v>1933</v>
      </c>
      <c r="BB186"/>
    </row>
    <row r="187" spans="1:54" x14ac:dyDescent="0.25">
      <c r="A187" s="208" t="str">
        <f t="shared" si="2"/>
        <v>Gain on Bargain Acquisition</v>
      </c>
      <c r="B187" s="201" t="s">
        <v>795</v>
      </c>
      <c r="C187" s="229" t="s">
        <v>1696</v>
      </c>
      <c r="D187" s="229" t="s">
        <v>1697</v>
      </c>
      <c r="E187" s="229" t="s">
        <v>1698</v>
      </c>
      <c r="F187" s="229" t="s">
        <v>1877</v>
      </c>
      <c r="G187" s="229" t="s">
        <v>1878</v>
      </c>
      <c r="H187" s="230" t="s">
        <v>1789</v>
      </c>
      <c r="I187" s="229" t="s">
        <v>1790</v>
      </c>
      <c r="J187" s="229" t="s">
        <v>1791</v>
      </c>
      <c r="K187" s="229" t="s">
        <v>1934</v>
      </c>
      <c r="BB187"/>
    </row>
    <row r="188" spans="1:54" x14ac:dyDescent="0.25">
      <c r="A188" s="208" t="str">
        <f t="shared" si="2"/>
        <v>Gain on Bargain Acquisition  - Supple</v>
      </c>
      <c r="B188" s="201" t="s">
        <v>796</v>
      </c>
      <c r="C188" s="229" t="s">
        <v>1699</v>
      </c>
      <c r="D188" s="229" t="s">
        <v>1700</v>
      </c>
      <c r="E188" s="229" t="s">
        <v>1701</v>
      </c>
      <c r="F188" s="229" t="s">
        <v>1879</v>
      </c>
      <c r="G188" s="229" t="s">
        <v>1880</v>
      </c>
      <c r="H188" s="230" t="s">
        <v>1792</v>
      </c>
      <c r="I188" s="229" t="s">
        <v>1793</v>
      </c>
      <c r="J188" s="229" t="s">
        <v>1794</v>
      </c>
      <c r="K188" s="229" t="s">
        <v>1935</v>
      </c>
      <c r="BB188"/>
    </row>
    <row r="189" spans="1:54" x14ac:dyDescent="0.25">
      <c r="A189" s="208" t="str">
        <f t="shared" si="2"/>
        <v>Insurance Settlements (Supple)</v>
      </c>
      <c r="B189" s="201" t="s">
        <v>723</v>
      </c>
      <c r="C189" s="229" t="s">
        <v>1702</v>
      </c>
      <c r="D189" s="229" t="s">
        <v>1703</v>
      </c>
      <c r="E189" s="229" t="s">
        <v>1704</v>
      </c>
      <c r="F189" s="229" t="s">
        <v>1881</v>
      </c>
      <c r="G189" s="229" t="s">
        <v>1882</v>
      </c>
      <c r="H189" s="205" t="s">
        <v>1795</v>
      </c>
      <c r="I189" s="229" t="s">
        <v>1796</v>
      </c>
      <c r="J189" s="229" t="s">
        <v>1797</v>
      </c>
      <c r="K189" s="229" t="s">
        <v>1936</v>
      </c>
      <c r="BB189"/>
    </row>
    <row r="190" spans="1:54" x14ac:dyDescent="0.25">
      <c r="A190" s="208" t="str">
        <f t="shared" si="2"/>
        <v>Legal Settlements (Supple)</v>
      </c>
      <c r="B190" s="201" t="s">
        <v>724</v>
      </c>
      <c r="C190" s="229" t="s">
        <v>1705</v>
      </c>
      <c r="D190" s="229" t="s">
        <v>1706</v>
      </c>
      <c r="E190" s="229" t="s">
        <v>1707</v>
      </c>
      <c r="F190" s="229" t="s">
        <v>1883</v>
      </c>
      <c r="G190" s="229" t="s">
        <v>1884</v>
      </c>
      <c r="H190" s="205" t="s">
        <v>1798</v>
      </c>
      <c r="I190" s="229" t="s">
        <v>1799</v>
      </c>
      <c r="J190" s="229" t="s">
        <v>1800</v>
      </c>
      <c r="K190" s="229" t="s">
        <v>1937</v>
      </c>
      <c r="BB190"/>
    </row>
    <row r="191" spans="1:54" x14ac:dyDescent="0.25">
      <c r="A191" s="208" t="str">
        <f t="shared" si="2"/>
        <v>Other Unusual Items (Supple)</v>
      </c>
      <c r="B191" s="201" t="s">
        <v>725</v>
      </c>
      <c r="C191" s="229" t="s">
        <v>1708</v>
      </c>
      <c r="D191" s="229" t="s">
        <v>1709</v>
      </c>
      <c r="E191" s="229" t="s">
        <v>1710</v>
      </c>
      <c r="F191" s="229" t="s">
        <v>1885</v>
      </c>
      <c r="G191" s="229" t="s">
        <v>1886</v>
      </c>
      <c r="H191" s="205" t="s">
        <v>1801</v>
      </c>
      <c r="I191" s="229" t="s">
        <v>1802</v>
      </c>
      <c r="J191" s="229" t="s">
        <v>1803</v>
      </c>
      <c r="K191" s="229" t="s">
        <v>1938</v>
      </c>
      <c r="BB191"/>
    </row>
    <row r="192" spans="1:54" x14ac:dyDescent="0.25">
      <c r="A192" s="208" t="str">
        <f t="shared" si="2"/>
        <v>Unusual Items, Total (Supple)</v>
      </c>
      <c r="B192" s="201" t="s">
        <v>717</v>
      </c>
      <c r="C192" s="229" t="s">
        <v>1711</v>
      </c>
      <c r="D192" s="229" t="s">
        <v>1712</v>
      </c>
      <c r="E192" s="229" t="s">
        <v>1713</v>
      </c>
      <c r="F192" s="229" t="s">
        <v>1887</v>
      </c>
      <c r="G192" s="229" t="s">
        <v>1888</v>
      </c>
      <c r="H192" s="205" t="s">
        <v>1804</v>
      </c>
      <c r="I192" s="229" t="s">
        <v>1805</v>
      </c>
      <c r="J192" s="229" t="s">
        <v>1806</v>
      </c>
      <c r="K192" s="229" t="s">
        <v>1939</v>
      </c>
      <c r="BB192"/>
    </row>
    <row r="193" spans="1:54" x14ac:dyDescent="0.25">
      <c r="A193" s="208" t="str">
        <f t="shared" si="2"/>
        <v>Amortization of Negative Goodwill</v>
      </c>
      <c r="B193" s="201" t="s">
        <v>58</v>
      </c>
      <c r="C193" s="229" t="s">
        <v>1714</v>
      </c>
      <c r="D193" s="229" t="s">
        <v>1715</v>
      </c>
      <c r="E193" s="229" t="s">
        <v>1716</v>
      </c>
      <c r="F193" s="229" t="s">
        <v>1889</v>
      </c>
      <c r="G193" s="229" t="s">
        <v>1890</v>
      </c>
      <c r="H193" s="205" t="s">
        <v>1807</v>
      </c>
      <c r="I193" s="229" t="s">
        <v>1808</v>
      </c>
      <c r="J193" s="229" t="s">
        <v>1809</v>
      </c>
      <c r="K193" s="229" t="s">
        <v>1940</v>
      </c>
      <c r="BB193"/>
    </row>
    <row r="194" spans="1:54" x14ac:dyDescent="0.25">
      <c r="A194" s="208" t="str">
        <f t="shared" si="2"/>
        <v>Amortization of Negative Goodwill - After Tax</v>
      </c>
      <c r="B194" s="201" t="s">
        <v>59</v>
      </c>
      <c r="C194" s="229" t="s">
        <v>1717</v>
      </c>
      <c r="D194" s="229" t="s">
        <v>1718</v>
      </c>
      <c r="E194" s="229" t="s">
        <v>1719</v>
      </c>
      <c r="F194" s="229" t="s">
        <v>1891</v>
      </c>
      <c r="G194" s="229" t="s">
        <v>1892</v>
      </c>
      <c r="H194" s="205" t="s">
        <v>1810</v>
      </c>
      <c r="I194" s="229" t="s">
        <v>1811</v>
      </c>
      <c r="J194" s="229" t="s">
        <v>1812</v>
      </c>
      <c r="K194" s="229" t="s">
        <v>1941</v>
      </c>
      <c r="BB194"/>
    </row>
    <row r="195" spans="1:54" x14ac:dyDescent="0.25">
      <c r="A195" s="208" t="str">
        <f t="shared" si="2"/>
        <v>Stock-Based Comp., COGS</v>
      </c>
      <c r="B195" s="201" t="s">
        <v>597</v>
      </c>
      <c r="C195" s="229" t="s">
        <v>1720</v>
      </c>
      <c r="D195" s="229" t="s">
        <v>1721</v>
      </c>
      <c r="E195" s="229" t="s">
        <v>1722</v>
      </c>
      <c r="F195" s="229" t="s">
        <v>1893</v>
      </c>
      <c r="G195" s="229" t="s">
        <v>1894</v>
      </c>
      <c r="H195" s="205" t="s">
        <v>1813</v>
      </c>
      <c r="I195" s="229" t="s">
        <v>1814</v>
      </c>
      <c r="J195" s="229" t="s">
        <v>1815</v>
      </c>
      <c r="K195" s="229" t="s">
        <v>1942</v>
      </c>
      <c r="BB195"/>
    </row>
    <row r="196" spans="1:54" x14ac:dyDescent="0.25">
      <c r="A196" s="208" t="str">
        <f t="shared" si="2"/>
        <v>Stock-Based Comp., R&amp;D Exp</v>
      </c>
      <c r="B196" s="201" t="s">
        <v>598</v>
      </c>
      <c r="C196" s="229" t="s">
        <v>1723</v>
      </c>
      <c r="D196" s="229" t="s">
        <v>1724</v>
      </c>
      <c r="E196" s="229" t="s">
        <v>1725</v>
      </c>
      <c r="F196" s="229" t="s">
        <v>1895</v>
      </c>
      <c r="G196" s="229" t="s">
        <v>1896</v>
      </c>
      <c r="H196" s="205" t="s">
        <v>1816</v>
      </c>
      <c r="I196" s="229" t="s">
        <v>1817</v>
      </c>
      <c r="J196" s="229" t="s">
        <v>1818</v>
      </c>
      <c r="K196" s="229" t="s">
        <v>1943</v>
      </c>
      <c r="BB196"/>
    </row>
    <row r="197" spans="1:54" x14ac:dyDescent="0.25">
      <c r="A197" s="208" t="str">
        <f t="shared" si="2"/>
        <v>Stock-Based Comp., S&amp;M Exp</v>
      </c>
      <c r="B197" s="201" t="s">
        <v>599</v>
      </c>
      <c r="C197" s="229" t="s">
        <v>1726</v>
      </c>
      <c r="D197" s="229" t="s">
        <v>1727</v>
      </c>
      <c r="E197" s="229" t="s">
        <v>1728</v>
      </c>
      <c r="F197" s="229" t="s">
        <v>1897</v>
      </c>
      <c r="G197" s="229" t="s">
        <v>1898</v>
      </c>
      <c r="H197" s="205" t="s">
        <v>1819</v>
      </c>
      <c r="I197" s="229" t="s">
        <v>1820</v>
      </c>
      <c r="J197" s="229" t="s">
        <v>1821</v>
      </c>
      <c r="K197" s="229" t="s">
        <v>1944</v>
      </c>
      <c r="BB197"/>
    </row>
    <row r="198" spans="1:54" x14ac:dyDescent="0.25">
      <c r="A198" s="208" t="str">
        <f t="shared" si="2"/>
        <v>Stock-Based Comp., G&amp;A Exp</v>
      </c>
      <c r="B198" s="201" t="s">
        <v>600</v>
      </c>
      <c r="C198" s="229" t="s">
        <v>1729</v>
      </c>
      <c r="D198" s="229" t="s">
        <v>1730</v>
      </c>
      <c r="E198" s="229" t="s">
        <v>1731</v>
      </c>
      <c r="F198" s="229" t="s">
        <v>1899</v>
      </c>
      <c r="G198" s="229" t="s">
        <v>1900</v>
      </c>
      <c r="H198" s="205" t="s">
        <v>1822</v>
      </c>
      <c r="I198" s="229" t="s">
        <v>1823</v>
      </c>
      <c r="J198" s="229" t="s">
        <v>1824</v>
      </c>
      <c r="K198" s="229" t="s">
        <v>1945</v>
      </c>
      <c r="BB198"/>
    </row>
    <row r="199" spans="1:54" x14ac:dyDescent="0.25">
      <c r="A199" s="208" t="str">
        <f t="shared" si="2"/>
        <v>Stock-Based Comp., SG&amp;A Exp</v>
      </c>
      <c r="B199" s="201" t="s">
        <v>601</v>
      </c>
      <c r="C199" s="229" t="s">
        <v>1732</v>
      </c>
      <c r="D199" s="229" t="s">
        <v>1733</v>
      </c>
      <c r="E199" s="229" t="s">
        <v>1734</v>
      </c>
      <c r="F199" s="229" t="s">
        <v>1901</v>
      </c>
      <c r="G199" s="229" t="s">
        <v>1902</v>
      </c>
      <c r="H199" s="205" t="s">
        <v>1825</v>
      </c>
      <c r="I199" s="229" t="s">
        <v>1826</v>
      </c>
      <c r="J199" s="229" t="s">
        <v>1827</v>
      </c>
      <c r="K199" s="229" t="s">
        <v>1946</v>
      </c>
      <c r="BB199"/>
    </row>
    <row r="200" spans="1:54" x14ac:dyDescent="0.25">
      <c r="A200" s="208" t="str">
        <f t="shared" si="2"/>
        <v>Stock-Based Comp., Exploration/Drilling Exp.</v>
      </c>
      <c r="B200" s="201" t="s">
        <v>682</v>
      </c>
      <c r="C200" s="229" t="s">
        <v>1735</v>
      </c>
      <c r="D200" s="229" t="s">
        <v>1736</v>
      </c>
      <c r="E200" s="229" t="s">
        <v>1737</v>
      </c>
      <c r="F200" s="229" t="s">
        <v>1903</v>
      </c>
      <c r="G200" s="229" t="s">
        <v>1904</v>
      </c>
      <c r="H200" s="205" t="s">
        <v>1828</v>
      </c>
      <c r="I200" s="229" t="s">
        <v>1829</v>
      </c>
      <c r="J200" s="229" t="s">
        <v>1830</v>
      </c>
      <c r="K200" s="229" t="s">
        <v>1947</v>
      </c>
      <c r="BB200"/>
    </row>
    <row r="201" spans="1:54" x14ac:dyDescent="0.25">
      <c r="A201" s="208" t="str">
        <f t="shared" ref="A201:A264" si="3">INDEX($B201:$CV201,$A$4)</f>
        <v>Stock-Based Comp., Unallocated</v>
      </c>
      <c r="B201" s="201" t="s">
        <v>602</v>
      </c>
      <c r="C201" s="229" t="s">
        <v>1738</v>
      </c>
      <c r="D201" s="229" t="s">
        <v>1739</v>
      </c>
      <c r="E201" s="229" t="s">
        <v>1740</v>
      </c>
      <c r="F201" s="229" t="s">
        <v>1905</v>
      </c>
      <c r="G201" s="229" t="s">
        <v>1906</v>
      </c>
      <c r="H201" s="205" t="s">
        <v>1831</v>
      </c>
      <c r="I201" s="229" t="s">
        <v>1832</v>
      </c>
      <c r="J201" s="229" t="s">
        <v>1833</v>
      </c>
      <c r="K201" s="229" t="s">
        <v>1948</v>
      </c>
      <c r="BB201"/>
    </row>
    <row r="202" spans="1:54" x14ac:dyDescent="0.25">
      <c r="A202" s="208" t="str">
        <f t="shared" si="3"/>
        <v>Stock-Based Comp., After-Tax</v>
      </c>
      <c r="B202" s="201" t="s">
        <v>603</v>
      </c>
      <c r="C202" s="229" t="s">
        <v>1741</v>
      </c>
      <c r="D202" s="229" t="s">
        <v>1742</v>
      </c>
      <c r="E202" s="229" t="s">
        <v>1743</v>
      </c>
      <c r="F202" s="229" t="s">
        <v>1907</v>
      </c>
      <c r="G202" s="229" t="s">
        <v>1908</v>
      </c>
      <c r="H202" s="205" t="s">
        <v>1834</v>
      </c>
      <c r="I202" s="229" t="s">
        <v>1835</v>
      </c>
      <c r="J202" s="229" t="s">
        <v>1836</v>
      </c>
      <c r="K202" s="229" t="s">
        <v>1949</v>
      </c>
      <c r="BB202"/>
    </row>
    <row r="203" spans="1:54" x14ac:dyDescent="0.25">
      <c r="A203" s="208" t="str">
        <f t="shared" si="3"/>
        <v>Stock-Based Comp., Total</v>
      </c>
      <c r="B203" s="201" t="s">
        <v>604</v>
      </c>
      <c r="C203" s="229" t="s">
        <v>1744</v>
      </c>
      <c r="D203" s="229" t="s">
        <v>1745</v>
      </c>
      <c r="E203" s="229" t="s">
        <v>1746</v>
      </c>
      <c r="F203" s="229" t="s">
        <v>1909</v>
      </c>
      <c r="G203" s="229" t="s">
        <v>1910</v>
      </c>
      <c r="H203" s="205" t="s">
        <v>1837</v>
      </c>
      <c r="I203" s="229" t="s">
        <v>1838</v>
      </c>
      <c r="J203" s="229" t="s">
        <v>1839</v>
      </c>
      <c r="K203" s="229" t="s">
        <v>1950</v>
      </c>
      <c r="BB203"/>
    </row>
    <row r="204" spans="1:54" x14ac:dyDescent="0.25">
      <c r="A204" s="208" t="str">
        <f t="shared" si="3"/>
        <v>Restr. Stock Comp. Exp., Before Tax</v>
      </c>
      <c r="B204" s="201" t="s">
        <v>437</v>
      </c>
      <c r="C204" s="229" t="s">
        <v>1747</v>
      </c>
      <c r="D204" s="229" t="s">
        <v>1748</v>
      </c>
      <c r="E204" s="229" t="s">
        <v>1749</v>
      </c>
      <c r="F204" s="229" t="s">
        <v>1911</v>
      </c>
      <c r="G204" s="229" t="s">
        <v>1912</v>
      </c>
      <c r="H204" s="205" t="s">
        <v>1840</v>
      </c>
      <c r="I204" s="229" t="s">
        <v>1841</v>
      </c>
      <c r="J204" s="229" t="s">
        <v>1842</v>
      </c>
      <c r="K204" s="229" t="s">
        <v>1951</v>
      </c>
      <c r="BB204"/>
    </row>
    <row r="205" spans="1:54" x14ac:dyDescent="0.25">
      <c r="A205" s="208" t="str">
        <f t="shared" si="3"/>
        <v>Restr. Stock Comp. Exp. Tax Effect</v>
      </c>
      <c r="B205" s="201" t="s">
        <v>438</v>
      </c>
      <c r="C205" s="229" t="s">
        <v>1750</v>
      </c>
      <c r="D205" s="229" t="s">
        <v>1751</v>
      </c>
      <c r="E205" s="229" t="s">
        <v>1752</v>
      </c>
      <c r="F205" s="229" t="s">
        <v>1913</v>
      </c>
      <c r="G205" s="229" t="s">
        <v>1914</v>
      </c>
      <c r="H205" s="205" t="s">
        <v>1843</v>
      </c>
      <c r="I205" s="229" t="s">
        <v>1844</v>
      </c>
      <c r="J205" s="229" t="s">
        <v>1845</v>
      </c>
      <c r="K205" s="229" t="s">
        <v>1952</v>
      </c>
      <c r="BB205"/>
    </row>
    <row r="206" spans="1:54" x14ac:dyDescent="0.25">
      <c r="A206" s="208" t="str">
        <f t="shared" si="3"/>
        <v>Restr. Stock Comp. Exp., After Tax</v>
      </c>
      <c r="B206" s="201" t="s">
        <v>439</v>
      </c>
      <c r="C206" s="229" t="s">
        <v>1753</v>
      </c>
      <c r="D206" s="229" t="s">
        <v>1754</v>
      </c>
      <c r="E206" s="229" t="s">
        <v>1755</v>
      </c>
      <c r="F206" s="229" t="s">
        <v>1915</v>
      </c>
      <c r="G206" s="229" t="s">
        <v>1916</v>
      </c>
      <c r="H206" s="205" t="s">
        <v>1846</v>
      </c>
      <c r="I206" s="229" t="s">
        <v>1847</v>
      </c>
      <c r="J206" s="229" t="s">
        <v>1848</v>
      </c>
      <c r="K206" s="229" t="s">
        <v>1953</v>
      </c>
      <c r="BB206"/>
    </row>
    <row r="207" spans="1:54" x14ac:dyDescent="0.25">
      <c r="A207" s="208" t="str">
        <f t="shared" si="3"/>
        <v>Stock Options Comp. Exp., Before Tax</v>
      </c>
      <c r="B207" s="201" t="s">
        <v>440</v>
      </c>
      <c r="C207" s="229" t="s">
        <v>1756</v>
      </c>
      <c r="D207" s="229" t="s">
        <v>1757</v>
      </c>
      <c r="E207" s="229" t="s">
        <v>1758</v>
      </c>
      <c r="F207" s="229" t="s">
        <v>1917</v>
      </c>
      <c r="G207" s="229" t="s">
        <v>1918</v>
      </c>
      <c r="H207" s="205" t="s">
        <v>1849</v>
      </c>
      <c r="I207" s="229" t="s">
        <v>1850</v>
      </c>
      <c r="J207" s="229" t="s">
        <v>1851</v>
      </c>
      <c r="K207" s="229" t="s">
        <v>1954</v>
      </c>
      <c r="BB207"/>
    </row>
    <row r="208" spans="1:54" x14ac:dyDescent="0.25">
      <c r="A208" s="208" t="str">
        <f t="shared" si="3"/>
        <v>Stock Options Comp. Exp. Tax Effect</v>
      </c>
      <c r="B208" s="201" t="s">
        <v>441</v>
      </c>
      <c r="C208" s="229" t="s">
        <v>1759</v>
      </c>
      <c r="D208" s="229" t="s">
        <v>1760</v>
      </c>
      <c r="E208" s="229" t="s">
        <v>1761</v>
      </c>
      <c r="F208" s="229" t="s">
        <v>1919</v>
      </c>
      <c r="G208" s="229" t="s">
        <v>1920</v>
      </c>
      <c r="H208" s="205" t="s">
        <v>1852</v>
      </c>
      <c r="I208" s="229" t="s">
        <v>1853</v>
      </c>
      <c r="J208" s="229" t="s">
        <v>1854</v>
      </c>
      <c r="K208" s="229" t="s">
        <v>1955</v>
      </c>
      <c r="BB208"/>
    </row>
    <row r="209" spans="1:54" x14ac:dyDescent="0.25">
      <c r="A209" s="208" t="str">
        <f t="shared" si="3"/>
        <v>Stock Options Comp. Exp., After Tax</v>
      </c>
      <c r="B209" s="201" t="s">
        <v>442</v>
      </c>
      <c r="C209" s="229" t="s">
        <v>1762</v>
      </c>
      <c r="D209" s="229" t="s">
        <v>1763</v>
      </c>
      <c r="E209" s="229" t="s">
        <v>1764</v>
      </c>
      <c r="F209" s="229" t="s">
        <v>1921</v>
      </c>
      <c r="G209" s="229" t="s">
        <v>1922</v>
      </c>
      <c r="H209" s="205" t="s">
        <v>1855</v>
      </c>
      <c r="I209" s="229" t="s">
        <v>1856</v>
      </c>
      <c r="J209" s="229" t="s">
        <v>1857</v>
      </c>
      <c r="K209" s="229" t="s">
        <v>1956</v>
      </c>
      <c r="BB209"/>
    </row>
    <row r="210" spans="1:54" x14ac:dyDescent="0.25">
      <c r="A210" s="208" t="str">
        <f t="shared" si="3"/>
        <v>Stock Based Comp. Exp., Before Tax</v>
      </c>
      <c r="B210" s="201" t="s">
        <v>443</v>
      </c>
      <c r="C210" s="229" t="s">
        <v>1765</v>
      </c>
      <c r="D210" s="229" t="s">
        <v>1766</v>
      </c>
      <c r="E210" s="229" t="s">
        <v>1767</v>
      </c>
      <c r="F210" s="229" t="s">
        <v>1923</v>
      </c>
      <c r="G210" s="229" t="s">
        <v>1924</v>
      </c>
      <c r="H210" s="205" t="s">
        <v>1858</v>
      </c>
      <c r="I210" s="229" t="s">
        <v>1859</v>
      </c>
      <c r="J210" s="229" t="s">
        <v>1860</v>
      </c>
      <c r="K210" s="229" t="s">
        <v>1957</v>
      </c>
      <c r="BB210"/>
    </row>
    <row r="211" spans="1:54" x14ac:dyDescent="0.25">
      <c r="A211" s="208" t="str">
        <f t="shared" si="3"/>
        <v>Stock Based Comp. Exp. Tax Effect</v>
      </c>
      <c r="B211" s="201" t="s">
        <v>444</v>
      </c>
      <c r="C211" s="229" t="s">
        <v>1768</v>
      </c>
      <c r="D211" s="229" t="s">
        <v>1769</v>
      </c>
      <c r="E211" s="229" t="s">
        <v>1770</v>
      </c>
      <c r="F211" s="229" t="s">
        <v>1925</v>
      </c>
      <c r="G211" s="229" t="s">
        <v>1926</v>
      </c>
      <c r="H211" s="205" t="s">
        <v>1861</v>
      </c>
      <c r="I211" s="229" t="s">
        <v>1862</v>
      </c>
      <c r="J211" s="229" t="s">
        <v>1863</v>
      </c>
      <c r="K211" s="229" t="s">
        <v>1958</v>
      </c>
      <c r="BB211"/>
    </row>
    <row r="212" spans="1:54" x14ac:dyDescent="0.25">
      <c r="A212" s="208" t="str">
        <f t="shared" si="3"/>
        <v>Stock Based Comp. Exp., After Tax</v>
      </c>
      <c r="B212" s="201" t="s">
        <v>445</v>
      </c>
      <c r="C212" s="229" t="s">
        <v>1771</v>
      </c>
      <c r="D212" s="229" t="s">
        <v>1772</v>
      </c>
      <c r="E212" s="229" t="s">
        <v>1773</v>
      </c>
      <c r="F212" s="229" t="s">
        <v>1927</v>
      </c>
      <c r="G212" s="229" t="s">
        <v>1928</v>
      </c>
      <c r="H212" s="205" t="s">
        <v>1864</v>
      </c>
      <c r="I212" s="229" t="s">
        <v>1865</v>
      </c>
      <c r="J212" s="229" t="s">
        <v>1866</v>
      </c>
      <c r="K212" s="229" t="s">
        <v>1959</v>
      </c>
      <c r="BB212"/>
    </row>
    <row r="213" spans="1:54" x14ac:dyDescent="0.25">
      <c r="A213" s="208" t="str">
        <f t="shared" si="3"/>
        <v>Net Income</v>
      </c>
      <c r="B213" s="201" t="s">
        <v>77</v>
      </c>
      <c r="C213" s="229" t="s">
        <v>7136</v>
      </c>
      <c r="D213" t="s">
        <v>7137</v>
      </c>
      <c r="E213" t="s">
        <v>7138</v>
      </c>
      <c r="F213" t="s">
        <v>7139</v>
      </c>
      <c r="G213" t="s">
        <v>7140</v>
      </c>
      <c r="H213" t="s">
        <v>936</v>
      </c>
      <c r="I213" t="s">
        <v>7141</v>
      </c>
      <c r="J213" t="s">
        <v>7142</v>
      </c>
      <c r="K213" t="s">
        <v>7143</v>
      </c>
      <c r="BB213"/>
    </row>
    <row r="214" spans="1:54" x14ac:dyDescent="0.25">
      <c r="A214" s="208" t="str">
        <f t="shared" si="3"/>
        <v>Depreciation &amp; Amort., Total</v>
      </c>
      <c r="B214" s="201" t="s">
        <v>95</v>
      </c>
      <c r="C214" t="s">
        <v>7335</v>
      </c>
      <c r="D214" t="s">
        <v>7336</v>
      </c>
      <c r="E214" t="s">
        <v>7337</v>
      </c>
      <c r="F214" t="s">
        <v>7338</v>
      </c>
      <c r="G214" t="s">
        <v>7339</v>
      </c>
      <c r="H214" t="s">
        <v>5846</v>
      </c>
      <c r="I214" t="s">
        <v>7340</v>
      </c>
      <c r="J214" t="s">
        <v>7341</v>
      </c>
      <c r="K214" t="s">
        <v>7342</v>
      </c>
      <c r="BB214"/>
    </row>
    <row r="215" spans="1:54" x14ac:dyDescent="0.25">
      <c r="A215" s="208" t="str">
        <f t="shared" si="3"/>
        <v>Other Amortization</v>
      </c>
      <c r="B215" s="201" t="s">
        <v>731</v>
      </c>
      <c r="C215" s="201" t="s">
        <v>7343</v>
      </c>
      <c r="D215" s="201" t="s">
        <v>7344</v>
      </c>
      <c r="E215" s="201" t="s">
        <v>7345</v>
      </c>
      <c r="F215" s="201" t="s">
        <v>7349</v>
      </c>
      <c r="G215" s="201" t="s">
        <v>7350</v>
      </c>
      <c r="H215" s="201" t="s">
        <v>7346</v>
      </c>
      <c r="I215" s="201" t="s">
        <v>7347</v>
      </c>
      <c r="J215" s="201" t="s">
        <v>7348</v>
      </c>
      <c r="K215" s="201" t="s">
        <v>7351</v>
      </c>
      <c r="BB215"/>
    </row>
    <row r="216" spans="1:54" x14ac:dyDescent="0.25">
      <c r="A216" s="208" t="str">
        <f t="shared" si="3"/>
        <v>(Gain) Loss From Sale Of Asset</v>
      </c>
      <c r="B216" s="201" t="s">
        <v>234</v>
      </c>
      <c r="C216" s="229" t="s">
        <v>6052</v>
      </c>
      <c r="D216" s="229" t="s">
        <v>6053</v>
      </c>
      <c r="E216" s="229" t="s">
        <v>7144</v>
      </c>
      <c r="F216" s="229" t="s">
        <v>7173</v>
      </c>
      <c r="G216" s="229" t="s">
        <v>7174</v>
      </c>
      <c r="H216" s="198" t="s">
        <v>6060</v>
      </c>
      <c r="I216" s="229" t="s">
        <v>7158</v>
      </c>
      <c r="J216" s="229" t="s">
        <v>7159</v>
      </c>
      <c r="K216" s="229" t="s">
        <v>7185</v>
      </c>
      <c r="BB216"/>
    </row>
    <row r="217" spans="1:54" x14ac:dyDescent="0.25">
      <c r="A217" s="208" t="str">
        <f t="shared" si="3"/>
        <v>(Gain) Loss On Sale Of Invest.</v>
      </c>
      <c r="B217" s="201" t="s">
        <v>178</v>
      </c>
      <c r="C217" s="229" t="s">
        <v>6049</v>
      </c>
      <c r="D217" s="229" t="s">
        <v>6050</v>
      </c>
      <c r="E217" s="229" t="s">
        <v>7145</v>
      </c>
      <c r="F217" s="229" t="s">
        <v>7175</v>
      </c>
      <c r="G217" s="229" t="s">
        <v>7176</v>
      </c>
      <c r="H217" s="198" t="s">
        <v>6057</v>
      </c>
      <c r="I217" s="229" t="s">
        <v>7160</v>
      </c>
      <c r="J217" s="229" t="s">
        <v>7161</v>
      </c>
      <c r="K217" s="229" t="s">
        <v>7186</v>
      </c>
      <c r="BB217"/>
    </row>
    <row r="218" spans="1:54" x14ac:dyDescent="0.25">
      <c r="A218" s="208" t="str">
        <f t="shared" si="3"/>
        <v>Asset Writedown &amp; Restructuring Costs</v>
      </c>
      <c r="B218" s="201" t="s">
        <v>235</v>
      </c>
      <c r="C218" s="229" t="s">
        <v>7146</v>
      </c>
      <c r="D218" s="229" t="s">
        <v>7147</v>
      </c>
      <c r="E218" s="229" t="s">
        <v>7148</v>
      </c>
      <c r="F218" s="229" t="s">
        <v>7177</v>
      </c>
      <c r="G218" s="229" t="s">
        <v>7178</v>
      </c>
      <c r="H218" s="198" t="s">
        <v>7162</v>
      </c>
      <c r="I218" s="229" t="s">
        <v>7163</v>
      </c>
      <c r="J218" s="229" t="s">
        <v>7164</v>
      </c>
      <c r="K218" s="229" t="s">
        <v>7187</v>
      </c>
      <c r="BB218"/>
    </row>
    <row r="219" spans="1:54" x14ac:dyDescent="0.25">
      <c r="A219" s="208" t="str">
        <f t="shared" si="3"/>
        <v>Net (Increase) Decrease in Loans Orig./Sold</v>
      </c>
      <c r="B219" s="201" t="s">
        <v>236</v>
      </c>
      <c r="C219" s="229" t="s">
        <v>7149</v>
      </c>
      <c r="D219" s="229" t="s">
        <v>7150</v>
      </c>
      <c r="E219" s="229" t="s">
        <v>7151</v>
      </c>
      <c r="F219" s="229" t="s">
        <v>7179</v>
      </c>
      <c r="G219" s="229" t="s">
        <v>7180</v>
      </c>
      <c r="H219" s="198" t="s">
        <v>7165</v>
      </c>
      <c r="I219" s="229" t="s">
        <v>7166</v>
      </c>
      <c r="J219" s="229" t="s">
        <v>7167</v>
      </c>
      <c r="K219" s="229" t="s">
        <v>6177</v>
      </c>
      <c r="BB219"/>
    </row>
    <row r="220" spans="1:54" x14ac:dyDescent="0.25">
      <c r="A220" s="208" t="str">
        <f t="shared" si="3"/>
        <v>Provision for Credit Losses</v>
      </c>
      <c r="B220" s="201" t="s">
        <v>237</v>
      </c>
      <c r="C220" s="229" t="s">
        <v>7152</v>
      </c>
      <c r="D220" s="229" t="s">
        <v>7153</v>
      </c>
      <c r="E220" s="229" t="s">
        <v>7154</v>
      </c>
      <c r="F220" s="229" t="s">
        <v>7181</v>
      </c>
      <c r="G220" s="229" t="s">
        <v>7182</v>
      </c>
      <c r="H220" s="198" t="s">
        <v>7168</v>
      </c>
      <c r="I220" s="229" t="s">
        <v>7169</v>
      </c>
      <c r="J220" s="229" t="s">
        <v>7170</v>
      </c>
      <c r="K220" s="229" t="s">
        <v>7188</v>
      </c>
      <c r="BB220"/>
    </row>
    <row r="221" spans="1:54" x14ac:dyDescent="0.25">
      <c r="A221" s="208" t="str">
        <f t="shared" si="3"/>
        <v>(Income) Loss on Equity Invest.</v>
      </c>
      <c r="B221" s="201" t="s">
        <v>238</v>
      </c>
      <c r="C221" s="229" t="s">
        <v>7155</v>
      </c>
      <c r="D221" s="229" t="s">
        <v>7156</v>
      </c>
      <c r="E221" s="229" t="s">
        <v>7157</v>
      </c>
      <c r="F221" s="229" t="s">
        <v>7183</v>
      </c>
      <c r="G221" s="229" t="s">
        <v>7184</v>
      </c>
      <c r="H221" s="198" t="s">
        <v>7114</v>
      </c>
      <c r="I221" s="229" t="s">
        <v>7171</v>
      </c>
      <c r="J221" s="229" t="s">
        <v>7172</v>
      </c>
      <c r="K221" s="229" t="s">
        <v>7189</v>
      </c>
      <c r="BB221"/>
    </row>
    <row r="222" spans="1:54" x14ac:dyDescent="0.25">
      <c r="A222" s="208" t="str">
        <f t="shared" si="3"/>
        <v>Tax Benefit from Stock Options</v>
      </c>
      <c r="B222" s="201" t="s">
        <v>179</v>
      </c>
      <c r="C222" s="229" t="s">
        <v>7190</v>
      </c>
      <c r="D222" s="229" t="s">
        <v>7191</v>
      </c>
      <c r="E222" s="229" t="s">
        <v>7192</v>
      </c>
      <c r="F222" s="229" t="s">
        <v>7202</v>
      </c>
      <c r="G222" s="229" t="s">
        <v>7203</v>
      </c>
      <c r="H222" s="198" t="s">
        <v>7196</v>
      </c>
      <c r="I222" s="229" t="s">
        <v>7197</v>
      </c>
      <c r="J222" s="229" t="s">
        <v>7198</v>
      </c>
      <c r="K222" s="229" t="s">
        <v>7206</v>
      </c>
      <c r="BB222"/>
    </row>
    <row r="223" spans="1:54" x14ac:dyDescent="0.25">
      <c r="A223" s="208" t="str">
        <f t="shared" si="3"/>
        <v>Provision &amp; Write-off of Bad debts</v>
      </c>
      <c r="B223" s="201" t="s">
        <v>240</v>
      </c>
      <c r="C223" s="229" t="s">
        <v>7193</v>
      </c>
      <c r="D223" s="229" t="s">
        <v>7194</v>
      </c>
      <c r="E223" s="229" t="s">
        <v>7195</v>
      </c>
      <c r="F223" s="229" t="s">
        <v>7204</v>
      </c>
      <c r="G223" s="229" t="s">
        <v>7205</v>
      </c>
      <c r="H223" s="198" t="s">
        <v>7199</v>
      </c>
      <c r="I223" s="229" t="s">
        <v>7200</v>
      </c>
      <c r="J223" s="229" t="s">
        <v>7201</v>
      </c>
      <c r="K223" s="229" t="s">
        <v>7207</v>
      </c>
      <c r="BB223"/>
    </row>
    <row r="224" spans="1:54" x14ac:dyDescent="0.25">
      <c r="A224" s="208" t="str">
        <f t="shared" si="3"/>
        <v>Net Cash From Discontinued Ops.</v>
      </c>
      <c r="B224" s="201" t="s">
        <v>241</v>
      </c>
      <c r="C224" s="229" t="s">
        <v>7208</v>
      </c>
      <c r="D224" s="229" t="s">
        <v>7209</v>
      </c>
      <c r="E224" s="229" t="s">
        <v>7210</v>
      </c>
      <c r="F224" s="229" t="s">
        <v>7220</v>
      </c>
      <c r="G224" s="229" t="s">
        <v>7221</v>
      </c>
      <c r="H224" s="198" t="s">
        <v>7214</v>
      </c>
      <c r="I224" s="229" t="s">
        <v>7215</v>
      </c>
      <c r="J224" s="229" t="s">
        <v>7216</v>
      </c>
      <c r="K224" s="229" t="s">
        <v>7224</v>
      </c>
      <c r="BB224"/>
    </row>
    <row r="225" spans="1:54" x14ac:dyDescent="0.25">
      <c r="A225" s="208" t="str">
        <f t="shared" si="3"/>
        <v>Other Operating Activities</v>
      </c>
      <c r="B225" s="201" t="s">
        <v>242</v>
      </c>
      <c r="C225" s="229" t="s">
        <v>7211</v>
      </c>
      <c r="D225" s="229" t="s">
        <v>7212</v>
      </c>
      <c r="E225" s="229" t="s">
        <v>7213</v>
      </c>
      <c r="F225" s="229" t="s">
        <v>7222</v>
      </c>
      <c r="G225" s="229" t="s">
        <v>7223</v>
      </c>
      <c r="H225" s="198" t="s">
        <v>7217</v>
      </c>
      <c r="I225" s="229" t="s">
        <v>7218</v>
      </c>
      <c r="J225" s="229" t="s">
        <v>7219</v>
      </c>
      <c r="K225" s="229" t="s">
        <v>7225</v>
      </c>
      <c r="BB225"/>
    </row>
    <row r="226" spans="1:54" x14ac:dyDescent="0.25">
      <c r="A226" s="208" t="str">
        <f t="shared" si="3"/>
        <v>Change in Trad. Asset Securities</v>
      </c>
      <c r="B226" s="201" t="s">
        <v>243</v>
      </c>
      <c r="C226" s="229" t="s">
        <v>5663</v>
      </c>
      <c r="D226" s="229" t="s">
        <v>5664</v>
      </c>
      <c r="E226" s="229" t="s">
        <v>5665</v>
      </c>
      <c r="F226" s="229" t="s">
        <v>5675</v>
      </c>
      <c r="G226" s="229" t="s">
        <v>5676</v>
      </c>
      <c r="H226" s="205" t="s">
        <v>5669</v>
      </c>
      <c r="I226" s="229" t="s">
        <v>5670</v>
      </c>
      <c r="J226" s="229" t="s">
        <v>5671</v>
      </c>
      <c r="K226" s="229" t="s">
        <v>5679</v>
      </c>
      <c r="BB226"/>
    </row>
    <row r="227" spans="1:54" x14ac:dyDescent="0.25">
      <c r="A227" s="208" t="str">
        <f t="shared" si="3"/>
        <v>Change in Acc. Receivable</v>
      </c>
      <c r="B227" s="201" t="s">
        <v>180</v>
      </c>
      <c r="C227" s="229" t="s">
        <v>5666</v>
      </c>
      <c r="D227" s="229" t="s">
        <v>5667</v>
      </c>
      <c r="E227" s="229" t="s">
        <v>5668</v>
      </c>
      <c r="F227" s="229" t="s">
        <v>5677</v>
      </c>
      <c r="G227" s="229" t="s">
        <v>5678</v>
      </c>
      <c r="H227" s="205" t="s">
        <v>5672</v>
      </c>
      <c r="I227" s="229" t="s">
        <v>5673</v>
      </c>
      <c r="J227" s="229" t="s">
        <v>5674</v>
      </c>
      <c r="K227" s="229" t="s">
        <v>5680</v>
      </c>
      <c r="BB227"/>
    </row>
    <row r="228" spans="1:54" x14ac:dyDescent="0.25">
      <c r="A228" s="208" t="str">
        <f t="shared" si="3"/>
        <v>Change In Inventories</v>
      </c>
      <c r="B228" s="201" t="s">
        <v>181</v>
      </c>
      <c r="C228" s="201" t="s">
        <v>6098</v>
      </c>
      <c r="D228" s="201" t="s">
        <v>6099</v>
      </c>
      <c r="E228" s="201" t="s">
        <v>6100</v>
      </c>
      <c r="F228" s="201" t="s">
        <v>6104</v>
      </c>
      <c r="G228" s="201" t="s">
        <v>6105</v>
      </c>
      <c r="H228" s="201" t="s">
        <v>6101</v>
      </c>
      <c r="I228" s="201" t="s">
        <v>6102</v>
      </c>
      <c r="J228" s="201" t="s">
        <v>6103</v>
      </c>
      <c r="K228" s="201" t="s">
        <v>6106</v>
      </c>
      <c r="BB228"/>
    </row>
    <row r="229" spans="1:54" x14ac:dyDescent="0.25">
      <c r="A229" s="208" t="str">
        <f t="shared" si="3"/>
        <v>Change in Acc. Payable</v>
      </c>
      <c r="B229" s="201" t="s">
        <v>182</v>
      </c>
      <c r="C229" s="229" t="s">
        <v>5681</v>
      </c>
      <c r="D229" s="229" t="s">
        <v>5682</v>
      </c>
      <c r="E229" s="229" t="s">
        <v>5683</v>
      </c>
      <c r="F229" s="229" t="s">
        <v>5711</v>
      </c>
      <c r="G229" s="229" t="s">
        <v>5712</v>
      </c>
      <c r="H229" s="205" t="s">
        <v>5696</v>
      </c>
      <c r="I229" s="229" t="s">
        <v>5697</v>
      </c>
      <c r="J229" s="229" t="s">
        <v>5698</v>
      </c>
      <c r="K229" s="229" t="s">
        <v>5721</v>
      </c>
      <c r="BB229"/>
    </row>
    <row r="230" spans="1:54" x14ac:dyDescent="0.25">
      <c r="A230" s="208" t="str">
        <f t="shared" si="3"/>
        <v>Change in Unearned Rev.</v>
      </c>
      <c r="B230" s="201" t="s">
        <v>183</v>
      </c>
      <c r="C230" s="229" t="s">
        <v>5684</v>
      </c>
      <c r="D230" s="229" t="s">
        <v>5685</v>
      </c>
      <c r="E230" s="229" t="s">
        <v>5686</v>
      </c>
      <c r="F230" s="229" t="s">
        <v>5713</v>
      </c>
      <c r="G230" s="229" t="s">
        <v>5714</v>
      </c>
      <c r="H230" s="205" t="s">
        <v>5699</v>
      </c>
      <c r="I230" s="229" t="s">
        <v>5700</v>
      </c>
      <c r="J230" s="229" t="s">
        <v>5701</v>
      </c>
      <c r="K230" s="229" t="s">
        <v>5722</v>
      </c>
      <c r="BB230"/>
    </row>
    <row r="231" spans="1:54" x14ac:dyDescent="0.25">
      <c r="A231" s="208" t="str">
        <f t="shared" si="3"/>
        <v>Change in Inc. Taxes</v>
      </c>
      <c r="B231" s="201" t="s">
        <v>244</v>
      </c>
      <c r="C231" s="229" t="s">
        <v>5687</v>
      </c>
      <c r="D231" s="229" t="s">
        <v>5688</v>
      </c>
      <c r="E231" s="229" t="s">
        <v>5689</v>
      </c>
      <c r="F231" s="229" t="s">
        <v>5715</v>
      </c>
      <c r="G231" s="229" t="s">
        <v>5716</v>
      </c>
      <c r="H231" s="205" t="s">
        <v>5702</v>
      </c>
      <c r="I231" s="229" t="s">
        <v>5703</v>
      </c>
      <c r="J231" s="229" t="s">
        <v>5704</v>
      </c>
      <c r="K231" s="229" t="s">
        <v>5723</v>
      </c>
      <c r="BB231"/>
    </row>
    <row r="232" spans="1:54" x14ac:dyDescent="0.25">
      <c r="A232" s="208" t="str">
        <f t="shared" si="3"/>
        <v>Change in Def. Taxes</v>
      </c>
      <c r="B232" s="201" t="s">
        <v>184</v>
      </c>
      <c r="C232" s="229" t="s">
        <v>5690</v>
      </c>
      <c r="D232" s="229" t="s">
        <v>5691</v>
      </c>
      <c r="E232" s="229" t="s">
        <v>5692</v>
      </c>
      <c r="F232" s="229" t="s">
        <v>5717</v>
      </c>
      <c r="G232" s="229" t="s">
        <v>5718</v>
      </c>
      <c r="H232" s="205" t="s">
        <v>5705</v>
      </c>
      <c r="I232" s="229" t="s">
        <v>5706</v>
      </c>
      <c r="J232" s="229" t="s">
        <v>5707</v>
      </c>
      <c r="K232" s="229" t="s">
        <v>5724</v>
      </c>
      <c r="BB232"/>
    </row>
    <row r="233" spans="1:54" x14ac:dyDescent="0.25">
      <c r="A233" s="208" t="str">
        <f t="shared" si="3"/>
        <v>Change In Other Net Operating Assets</v>
      </c>
      <c r="B233" s="201" t="s">
        <v>638</v>
      </c>
      <c r="C233" s="229" t="s">
        <v>5693</v>
      </c>
      <c r="D233" s="229" t="s">
        <v>5694</v>
      </c>
      <c r="E233" s="229" t="s">
        <v>5695</v>
      </c>
      <c r="F233" s="229" t="s">
        <v>5719</v>
      </c>
      <c r="G233" s="229" t="s">
        <v>5720</v>
      </c>
      <c r="H233" s="205" t="s">
        <v>5708</v>
      </c>
      <c r="I233" s="229" t="s">
        <v>5709</v>
      </c>
      <c r="J233" s="229" t="s">
        <v>5710</v>
      </c>
      <c r="K233" s="229" t="s">
        <v>5725</v>
      </c>
      <c r="BB233"/>
    </row>
    <row r="234" spans="1:54" x14ac:dyDescent="0.25">
      <c r="A234" s="208" t="str">
        <f t="shared" si="3"/>
        <v>Cash from Ops.</v>
      </c>
      <c r="B234" s="201" t="s">
        <v>139</v>
      </c>
      <c r="C234" t="s">
        <v>7352</v>
      </c>
      <c r="D234" t="s">
        <v>7353</v>
      </c>
      <c r="E234" t="s">
        <v>7354</v>
      </c>
      <c r="F234" t="s">
        <v>7355</v>
      </c>
      <c r="G234" t="s">
        <v>7356</v>
      </c>
      <c r="H234" t="s">
        <v>7357</v>
      </c>
      <c r="I234" t="s">
        <v>7358</v>
      </c>
      <c r="J234" t="s">
        <v>7359</v>
      </c>
      <c r="K234" t="s">
        <v>7360</v>
      </c>
      <c r="BB234"/>
    </row>
    <row r="235" spans="1:54" x14ac:dyDescent="0.25">
      <c r="A235" s="208" t="str">
        <f t="shared" si="3"/>
        <v>Capital Expenditure</v>
      </c>
      <c r="B235" s="201" t="s">
        <v>140</v>
      </c>
      <c r="C235" t="s">
        <v>7361</v>
      </c>
      <c r="D235" t="s">
        <v>7362</v>
      </c>
      <c r="E235" t="s">
        <v>7363</v>
      </c>
      <c r="F235" t="s">
        <v>7364</v>
      </c>
      <c r="G235" t="s">
        <v>7365</v>
      </c>
      <c r="H235" t="s">
        <v>7366</v>
      </c>
      <c r="I235" t="s">
        <v>7367</v>
      </c>
      <c r="J235" t="s">
        <v>7368</v>
      </c>
      <c r="K235" t="s">
        <v>7369</v>
      </c>
      <c r="BB235"/>
    </row>
    <row r="236" spans="1:54" x14ac:dyDescent="0.25">
      <c r="A236" s="208" t="str">
        <f t="shared" si="3"/>
        <v>Sale of Property, Plant, and Equipment</v>
      </c>
      <c r="B236" s="201" t="s">
        <v>141</v>
      </c>
      <c r="C236" s="201" t="s">
        <v>6107</v>
      </c>
      <c r="D236" s="201" t="s">
        <v>6108</v>
      </c>
      <c r="E236" s="201" t="s">
        <v>6109</v>
      </c>
      <c r="F236" s="201" t="s">
        <v>6125</v>
      </c>
      <c r="G236" s="201" t="s">
        <v>6126</v>
      </c>
      <c r="H236" s="201" t="s">
        <v>6116</v>
      </c>
      <c r="I236" s="201" t="s">
        <v>6117</v>
      </c>
      <c r="J236" s="201" t="s">
        <v>6118</v>
      </c>
      <c r="K236" s="201" t="s">
        <v>6131</v>
      </c>
      <c r="BB236"/>
    </row>
    <row r="237" spans="1:54" x14ac:dyDescent="0.25">
      <c r="A237" s="208" t="str">
        <f t="shared" si="3"/>
        <v>Cash Acquisitions</v>
      </c>
      <c r="B237" s="201" t="s">
        <v>142</v>
      </c>
      <c r="C237" s="201" t="s">
        <v>6110</v>
      </c>
      <c r="D237" s="201" t="s">
        <v>6111</v>
      </c>
      <c r="E237" s="201" t="s">
        <v>6112</v>
      </c>
      <c r="F237" s="201" t="s">
        <v>6127</v>
      </c>
      <c r="G237" s="201" t="s">
        <v>6128</v>
      </c>
      <c r="H237" s="201" t="s">
        <v>6119</v>
      </c>
      <c r="I237" s="201" t="s">
        <v>6120</v>
      </c>
      <c r="J237" s="201" t="s">
        <v>6121</v>
      </c>
      <c r="K237" s="201" t="s">
        <v>6132</v>
      </c>
      <c r="BB237"/>
    </row>
    <row r="238" spans="1:54" x14ac:dyDescent="0.25">
      <c r="A238" s="208" t="str">
        <f t="shared" si="3"/>
        <v>Divestitures</v>
      </c>
      <c r="B238" s="201" t="s">
        <v>143</v>
      </c>
      <c r="C238" s="201" t="s">
        <v>6113</v>
      </c>
      <c r="D238" s="201" t="s">
        <v>6114</v>
      </c>
      <c r="E238" s="201" t="s">
        <v>6115</v>
      </c>
      <c r="F238" s="201" t="s">
        <v>6129</v>
      </c>
      <c r="G238" s="201" t="s">
        <v>6130</v>
      </c>
      <c r="H238" s="201" t="s">
        <v>6122</v>
      </c>
      <c r="I238" s="201" t="s">
        <v>6123</v>
      </c>
      <c r="J238" s="201" t="s">
        <v>6124</v>
      </c>
      <c r="K238" s="201" t="s">
        <v>6133</v>
      </c>
      <c r="BB238"/>
    </row>
    <row r="239" spans="1:54" x14ac:dyDescent="0.25">
      <c r="A239" s="208" t="str">
        <f t="shared" si="3"/>
        <v>Sale/(Purchase) of Real Estate Properties</v>
      </c>
      <c r="B239" s="201" t="s">
        <v>408</v>
      </c>
      <c r="C239" s="201" t="s">
        <v>6134</v>
      </c>
      <c r="D239" s="201" t="s">
        <v>6135</v>
      </c>
      <c r="E239" s="201" t="s">
        <v>6136</v>
      </c>
      <c r="F239" s="201" t="s">
        <v>6164</v>
      </c>
      <c r="G239" s="201" t="s">
        <v>6165</v>
      </c>
      <c r="H239" s="201" t="s">
        <v>6149</v>
      </c>
      <c r="I239" s="201" t="s">
        <v>6150</v>
      </c>
      <c r="J239" s="201" t="s">
        <v>6151</v>
      </c>
      <c r="K239" s="201" t="s">
        <v>6174</v>
      </c>
      <c r="BB239"/>
    </row>
    <row r="240" spans="1:54" x14ac:dyDescent="0.25">
      <c r="A240" s="208" t="str">
        <f t="shared" si="3"/>
        <v>Sale/(Purchase) of Intangible Assets</v>
      </c>
      <c r="B240" s="201" t="s">
        <v>409</v>
      </c>
      <c r="C240" s="201" t="s">
        <v>6137</v>
      </c>
      <c r="D240" s="201" t="s">
        <v>6138</v>
      </c>
      <c r="E240" s="201" t="s">
        <v>6139</v>
      </c>
      <c r="F240" s="201" t="s">
        <v>6166</v>
      </c>
      <c r="G240" s="201" t="s">
        <v>6167</v>
      </c>
      <c r="H240" s="201" t="s">
        <v>6152</v>
      </c>
      <c r="I240" s="201" t="s">
        <v>6153</v>
      </c>
      <c r="J240" s="201" t="s">
        <v>6154</v>
      </c>
      <c r="K240" s="201" t="s">
        <v>6175</v>
      </c>
      <c r="BB240"/>
    </row>
    <row r="241" spans="1:54" x14ac:dyDescent="0.25">
      <c r="A241" s="208" t="str">
        <f t="shared" si="3"/>
        <v>Invest. in Marketable &amp; Equity Sec.</v>
      </c>
      <c r="B241" s="201" t="s">
        <v>410</v>
      </c>
      <c r="C241" s="201" t="s">
        <v>6140</v>
      </c>
      <c r="D241" s="201" t="s">
        <v>6141</v>
      </c>
      <c r="E241" s="201" t="s">
        <v>6142</v>
      </c>
      <c r="F241" s="201" t="s">
        <v>6168</v>
      </c>
      <c r="G241" s="201" t="s">
        <v>6169</v>
      </c>
      <c r="H241" s="201" t="s">
        <v>6155</v>
      </c>
      <c r="I241" s="201" t="s">
        <v>6156</v>
      </c>
      <c r="J241" s="201" t="s">
        <v>6157</v>
      </c>
      <c r="K241" s="201" t="s">
        <v>6176</v>
      </c>
      <c r="BB241"/>
    </row>
    <row r="242" spans="1:54" x14ac:dyDescent="0.25">
      <c r="A242" s="208" t="str">
        <f t="shared" si="3"/>
        <v>Net (Inc.) Dec. in Loans Originated/Sold</v>
      </c>
      <c r="B242" s="201" t="s">
        <v>185</v>
      </c>
      <c r="C242" s="201" t="s">
        <v>6143</v>
      </c>
      <c r="D242" s="201" t="s">
        <v>6144</v>
      </c>
      <c r="E242" s="201" t="s">
        <v>6145</v>
      </c>
      <c r="F242" s="201" t="s">
        <v>6170</v>
      </c>
      <c r="G242" s="201" t="s">
        <v>6171</v>
      </c>
      <c r="H242" s="201" t="s">
        <v>6158</v>
      </c>
      <c r="I242" s="201" t="s">
        <v>6159</v>
      </c>
      <c r="J242" s="201" t="s">
        <v>6160</v>
      </c>
      <c r="K242" s="201" t="s">
        <v>6177</v>
      </c>
      <c r="BB242"/>
    </row>
    <row r="243" spans="1:54" x14ac:dyDescent="0.25">
      <c r="A243" s="208" t="str">
        <f t="shared" si="3"/>
        <v>Other Investing Activities</v>
      </c>
      <c r="B243" s="201" t="s">
        <v>186</v>
      </c>
      <c r="C243" s="201" t="s">
        <v>6146</v>
      </c>
      <c r="D243" s="201" t="s">
        <v>6147</v>
      </c>
      <c r="E243" s="201" t="s">
        <v>6148</v>
      </c>
      <c r="F243" s="201" t="s">
        <v>6172</v>
      </c>
      <c r="G243" s="201" t="s">
        <v>6173</v>
      </c>
      <c r="H243" s="201" t="s">
        <v>6161</v>
      </c>
      <c r="I243" s="201" t="s">
        <v>6162</v>
      </c>
      <c r="J243" s="201" t="s">
        <v>6163</v>
      </c>
      <c r="K243" s="201" t="s">
        <v>6178</v>
      </c>
      <c r="BB243"/>
    </row>
    <row r="244" spans="1:54" x14ac:dyDescent="0.25">
      <c r="A244" s="208" t="str">
        <f t="shared" si="3"/>
        <v>Cash from Investing</v>
      </c>
      <c r="B244" s="201" t="s">
        <v>144</v>
      </c>
      <c r="C244" s="198" t="s">
        <v>7370</v>
      </c>
      <c r="D244" s="198" t="s">
        <v>7371</v>
      </c>
      <c r="E244" s="198" t="s">
        <v>7372</v>
      </c>
      <c r="F244" s="198" t="s">
        <v>7373</v>
      </c>
      <c r="G244" s="198" t="s">
        <v>7374</v>
      </c>
      <c r="H244" s="198" t="s">
        <v>7375</v>
      </c>
      <c r="I244" s="198" t="s">
        <v>7376</v>
      </c>
      <c r="J244" s="198" t="s">
        <v>7377</v>
      </c>
      <c r="K244" s="198" t="s">
        <v>7378</v>
      </c>
      <c r="BB244"/>
    </row>
    <row r="245" spans="1:54" x14ac:dyDescent="0.25">
      <c r="A245" s="208" t="str">
        <f t="shared" si="3"/>
        <v>Short Term Debt Issued</v>
      </c>
      <c r="B245" s="201" t="s">
        <v>145</v>
      </c>
      <c r="C245" s="201" t="s">
        <v>6179</v>
      </c>
      <c r="D245" s="201" t="s">
        <v>6180</v>
      </c>
      <c r="E245" s="201" t="s">
        <v>6181</v>
      </c>
      <c r="F245" s="201" t="s">
        <v>6191</v>
      </c>
      <c r="G245" s="201" t="s">
        <v>6192</v>
      </c>
      <c r="H245" s="201" t="s">
        <v>6185</v>
      </c>
      <c r="I245" s="201" t="s">
        <v>6186</v>
      </c>
      <c r="J245" s="201" t="s">
        <v>6187</v>
      </c>
      <c r="K245" s="201" t="s">
        <v>6195</v>
      </c>
      <c r="BB245"/>
    </row>
    <row r="246" spans="1:54" x14ac:dyDescent="0.25">
      <c r="A246" s="208" t="str">
        <f t="shared" si="3"/>
        <v>Long-Term Debt Issued</v>
      </c>
      <c r="B246" s="201" t="s">
        <v>146</v>
      </c>
      <c r="C246" s="201" t="s">
        <v>6182</v>
      </c>
      <c r="D246" s="201" t="s">
        <v>6183</v>
      </c>
      <c r="E246" s="201" t="s">
        <v>6184</v>
      </c>
      <c r="F246" s="201" t="s">
        <v>6193</v>
      </c>
      <c r="G246" s="201" t="s">
        <v>6194</v>
      </c>
      <c r="H246" s="201" t="s">
        <v>6188</v>
      </c>
      <c r="I246" s="201" t="s">
        <v>6189</v>
      </c>
      <c r="J246" s="201" t="s">
        <v>6190</v>
      </c>
      <c r="K246" s="201" t="s">
        <v>6196</v>
      </c>
      <c r="BB246"/>
    </row>
    <row r="247" spans="1:54" x14ac:dyDescent="0.25">
      <c r="A247" s="208" t="str">
        <f t="shared" si="3"/>
        <v>Total Debt Issued</v>
      </c>
      <c r="B247" s="201" t="s">
        <v>147</v>
      </c>
      <c r="C247" t="s">
        <v>7379</v>
      </c>
      <c r="D247" t="s">
        <v>7380</v>
      </c>
      <c r="E247" t="s">
        <v>7381</v>
      </c>
      <c r="F247" t="s">
        <v>7382</v>
      </c>
      <c r="G247" t="s">
        <v>7383</v>
      </c>
      <c r="H247" t="s">
        <v>7384</v>
      </c>
      <c r="I247" t="s">
        <v>7385</v>
      </c>
      <c r="J247" t="s">
        <v>7386</v>
      </c>
      <c r="K247" t="s">
        <v>7387</v>
      </c>
      <c r="BB247"/>
    </row>
    <row r="248" spans="1:54" x14ac:dyDescent="0.25">
      <c r="A248" s="208" t="str">
        <f t="shared" si="3"/>
        <v>Short Term Debt Repaid</v>
      </c>
      <c r="B248" s="201" t="s">
        <v>148</v>
      </c>
      <c r="C248" s="201" t="s">
        <v>6197</v>
      </c>
      <c r="D248" s="201" t="s">
        <v>6198</v>
      </c>
      <c r="E248" s="201" t="s">
        <v>6199</v>
      </c>
      <c r="F248" s="201" t="s">
        <v>6209</v>
      </c>
      <c r="G248" s="201" t="s">
        <v>6210</v>
      </c>
      <c r="H248" s="201" t="s">
        <v>6203</v>
      </c>
      <c r="I248" s="201" t="s">
        <v>6204</v>
      </c>
      <c r="J248" s="201" t="s">
        <v>6205</v>
      </c>
      <c r="K248" s="201" t="s">
        <v>6213</v>
      </c>
      <c r="BB248"/>
    </row>
    <row r="249" spans="1:54" x14ac:dyDescent="0.25">
      <c r="A249" s="208" t="str">
        <f t="shared" si="3"/>
        <v>Long-Term Debt Repaid</v>
      </c>
      <c r="B249" s="201" t="s">
        <v>149</v>
      </c>
      <c r="C249" s="201" t="s">
        <v>6200</v>
      </c>
      <c r="D249" s="201" t="s">
        <v>6201</v>
      </c>
      <c r="E249" s="201" t="s">
        <v>6202</v>
      </c>
      <c r="F249" s="201" t="s">
        <v>6211</v>
      </c>
      <c r="G249" s="201" t="s">
        <v>6212</v>
      </c>
      <c r="H249" s="201" t="s">
        <v>6206</v>
      </c>
      <c r="I249" s="201" t="s">
        <v>6207</v>
      </c>
      <c r="J249" s="201" t="s">
        <v>6208</v>
      </c>
      <c r="K249" s="201" t="s">
        <v>6214</v>
      </c>
      <c r="BB249"/>
    </row>
    <row r="250" spans="1:54" x14ac:dyDescent="0.25">
      <c r="A250" s="208" t="str">
        <f t="shared" si="3"/>
        <v>Total Debt Repaid</v>
      </c>
      <c r="B250" s="201" t="s">
        <v>150</v>
      </c>
      <c r="C250" t="s">
        <v>7388</v>
      </c>
      <c r="D250" t="s">
        <v>7389</v>
      </c>
      <c r="E250" t="s">
        <v>7390</v>
      </c>
      <c r="F250" t="s">
        <v>7391</v>
      </c>
      <c r="G250" t="s">
        <v>7392</v>
      </c>
      <c r="H250" t="s">
        <v>7393</v>
      </c>
      <c r="I250" t="s">
        <v>7394</v>
      </c>
      <c r="J250" t="s">
        <v>7395</v>
      </c>
      <c r="K250" t="s">
        <v>7396</v>
      </c>
      <c r="BB250"/>
    </row>
    <row r="251" spans="1:54" x14ac:dyDescent="0.25">
      <c r="A251" s="208" t="str">
        <f t="shared" si="3"/>
        <v>Issuance of Common Stock</v>
      </c>
      <c r="B251" s="201" t="s">
        <v>151</v>
      </c>
      <c r="C251" t="s">
        <v>7397</v>
      </c>
      <c r="D251" t="s">
        <v>7398</v>
      </c>
      <c r="E251" t="s">
        <v>7399</v>
      </c>
      <c r="F251" t="s">
        <v>7400</v>
      </c>
      <c r="G251" t="s">
        <v>7401</v>
      </c>
      <c r="H251" t="s">
        <v>7402</v>
      </c>
      <c r="I251" t="s">
        <v>7403</v>
      </c>
      <c r="J251" t="s">
        <v>7404</v>
      </c>
      <c r="K251" t="s">
        <v>7405</v>
      </c>
      <c r="BB251"/>
    </row>
    <row r="252" spans="1:54" x14ac:dyDescent="0.25">
      <c r="A252" s="208" t="str">
        <f t="shared" si="3"/>
        <v>Repurchase of Common</v>
      </c>
      <c r="B252" s="201" t="s">
        <v>152</v>
      </c>
      <c r="C252" t="s">
        <v>7406</v>
      </c>
      <c r="D252" t="s">
        <v>7407</v>
      </c>
      <c r="E252" t="s">
        <v>7408</v>
      </c>
      <c r="F252" t="s">
        <v>7409</v>
      </c>
      <c r="G252" t="s">
        <v>7410</v>
      </c>
      <c r="H252" t="s">
        <v>7411</v>
      </c>
      <c r="I252" t="s">
        <v>7412</v>
      </c>
      <c r="J252" t="s">
        <v>7413</v>
      </c>
      <c r="K252" t="s">
        <v>7414</v>
      </c>
      <c r="BB252"/>
    </row>
    <row r="253" spans="1:54" x14ac:dyDescent="0.25">
      <c r="A253" s="208" t="str">
        <f t="shared" si="3"/>
        <v>Issuance of Pref. Stock</v>
      </c>
      <c r="B253" s="201" t="s">
        <v>153</v>
      </c>
      <c r="C253" t="s">
        <v>7415</v>
      </c>
      <c r="D253" t="s">
        <v>7416</v>
      </c>
      <c r="E253" t="s">
        <v>7417</v>
      </c>
      <c r="F253" t="s">
        <v>7418</v>
      </c>
      <c r="G253" t="s">
        <v>7419</v>
      </c>
      <c r="H253" t="s">
        <v>7420</v>
      </c>
      <c r="I253" t="s">
        <v>7421</v>
      </c>
      <c r="J253" t="s">
        <v>7422</v>
      </c>
      <c r="K253" t="s">
        <v>7423</v>
      </c>
      <c r="BB253"/>
    </row>
    <row r="254" spans="1:54" x14ac:dyDescent="0.25">
      <c r="A254" s="208" t="str">
        <f t="shared" si="3"/>
        <v>Repurchase of Preferred</v>
      </c>
      <c r="B254" s="201" t="s">
        <v>154</v>
      </c>
      <c r="C254" t="s">
        <v>7424</v>
      </c>
      <c r="D254" t="s">
        <v>7425</v>
      </c>
      <c r="E254" t="s">
        <v>7426</v>
      </c>
      <c r="F254" t="s">
        <v>7427</v>
      </c>
      <c r="G254" t="s">
        <v>7428</v>
      </c>
      <c r="H254" t="s">
        <v>7429</v>
      </c>
      <c r="I254" t="s">
        <v>7430</v>
      </c>
      <c r="J254" t="s">
        <v>7431</v>
      </c>
      <c r="K254" t="s">
        <v>7432</v>
      </c>
      <c r="BB254"/>
    </row>
    <row r="255" spans="1:54" x14ac:dyDescent="0.25">
      <c r="A255" s="208" t="str">
        <f t="shared" si="3"/>
        <v>Common Dividends Paid</v>
      </c>
      <c r="B255" s="201" t="s">
        <v>187</v>
      </c>
      <c r="C255" s="201" t="s">
        <v>6215</v>
      </c>
      <c r="D255" s="201" t="s">
        <v>6215</v>
      </c>
      <c r="E255" s="201" t="s">
        <v>6216</v>
      </c>
      <c r="F255" s="201" t="s">
        <v>6232</v>
      </c>
      <c r="G255" s="201" t="s">
        <v>6233</v>
      </c>
      <c r="H255" s="201" t="s">
        <v>6223</v>
      </c>
      <c r="I255" s="201" t="s">
        <v>6224</v>
      </c>
      <c r="J255" s="201" t="s">
        <v>6225</v>
      </c>
      <c r="K255" s="201" t="s">
        <v>6238</v>
      </c>
      <c r="BB255"/>
    </row>
    <row r="256" spans="1:54" x14ac:dyDescent="0.25">
      <c r="A256" s="208" t="str">
        <f t="shared" si="3"/>
        <v>Pref. Dividends Paid</v>
      </c>
      <c r="B256" s="201" t="s">
        <v>188</v>
      </c>
      <c r="C256" s="201" t="s">
        <v>6217</v>
      </c>
      <c r="D256" s="201" t="s">
        <v>6218</v>
      </c>
      <c r="E256" s="201" t="s">
        <v>6219</v>
      </c>
      <c r="F256" s="201" t="s">
        <v>6234</v>
      </c>
      <c r="G256" s="201" t="s">
        <v>6235</v>
      </c>
      <c r="H256" s="201" t="s">
        <v>6226</v>
      </c>
      <c r="I256" s="201" t="s">
        <v>6227</v>
      </c>
      <c r="J256" s="201" t="s">
        <v>6228</v>
      </c>
      <c r="K256" s="201" t="s">
        <v>6239</v>
      </c>
      <c r="BB256"/>
    </row>
    <row r="257" spans="1:54" x14ac:dyDescent="0.25">
      <c r="A257" s="208" t="str">
        <f t="shared" si="3"/>
        <v>Common and/or Pref. Dividends Paid</v>
      </c>
      <c r="B257" s="201" t="s">
        <v>189</v>
      </c>
      <c r="C257" s="201" t="s">
        <v>6220</v>
      </c>
      <c r="D257" s="201" t="s">
        <v>6221</v>
      </c>
      <c r="E257" s="201" t="s">
        <v>6222</v>
      </c>
      <c r="F257" s="201" t="s">
        <v>6236</v>
      </c>
      <c r="G257" s="201" t="s">
        <v>6237</v>
      </c>
      <c r="H257" s="201" t="s">
        <v>6229</v>
      </c>
      <c r="I257" s="201" t="s">
        <v>6230</v>
      </c>
      <c r="J257" s="201" t="s">
        <v>6231</v>
      </c>
      <c r="K257" s="201" t="s">
        <v>6240</v>
      </c>
      <c r="BB257"/>
    </row>
    <row r="258" spans="1:54" x14ac:dyDescent="0.25">
      <c r="A258" s="208" t="str">
        <f t="shared" si="3"/>
        <v>Total Dividends Paid</v>
      </c>
      <c r="B258" s="201" t="s">
        <v>155</v>
      </c>
      <c r="C258" t="s">
        <v>7433</v>
      </c>
      <c r="D258" t="s">
        <v>7434</v>
      </c>
      <c r="E258" t="s">
        <v>7435</v>
      </c>
      <c r="F258" t="s">
        <v>7436</v>
      </c>
      <c r="G258" t="s">
        <v>7437</v>
      </c>
      <c r="H258" t="s">
        <v>7438</v>
      </c>
      <c r="I258" t="s">
        <v>7439</v>
      </c>
      <c r="J258" t="s">
        <v>7440</v>
      </c>
      <c r="K258" t="s">
        <v>7441</v>
      </c>
      <c r="BB258"/>
    </row>
    <row r="259" spans="1:54" x14ac:dyDescent="0.25">
      <c r="A259" s="208" t="str">
        <f t="shared" si="3"/>
        <v>Special Dividend Paid</v>
      </c>
      <c r="B259" s="201" t="s">
        <v>190</v>
      </c>
      <c r="C259" s="201" t="s">
        <v>6241</v>
      </c>
      <c r="D259" s="201" t="s">
        <v>6242</v>
      </c>
      <c r="E259" s="201" t="s">
        <v>6243</v>
      </c>
      <c r="F259" s="201" t="s">
        <v>6253</v>
      </c>
      <c r="G259" s="201" t="s">
        <v>6254</v>
      </c>
      <c r="H259" s="201" t="s">
        <v>6247</v>
      </c>
      <c r="I259" s="201" t="s">
        <v>6248</v>
      </c>
      <c r="J259" s="201" t="s">
        <v>6249</v>
      </c>
      <c r="K259" s="201" t="s">
        <v>6257</v>
      </c>
      <c r="BB259"/>
    </row>
    <row r="260" spans="1:54" x14ac:dyDescent="0.25">
      <c r="A260" s="208" t="str">
        <f t="shared" si="3"/>
        <v>Other Financing Activities</v>
      </c>
      <c r="B260" s="201" t="s">
        <v>191</v>
      </c>
      <c r="C260" s="201" t="s">
        <v>6244</v>
      </c>
      <c r="D260" s="201" t="s">
        <v>6245</v>
      </c>
      <c r="E260" s="201" t="s">
        <v>6246</v>
      </c>
      <c r="F260" s="201" t="s">
        <v>6255</v>
      </c>
      <c r="G260" s="201" t="s">
        <v>6256</v>
      </c>
      <c r="H260" s="201" t="s">
        <v>6250</v>
      </c>
      <c r="I260" s="201" t="s">
        <v>6251</v>
      </c>
      <c r="J260" s="201" t="s">
        <v>6252</v>
      </c>
      <c r="K260" s="201" t="s">
        <v>6258</v>
      </c>
      <c r="BB260"/>
    </row>
    <row r="261" spans="1:54" x14ac:dyDescent="0.25">
      <c r="A261" s="208" t="str">
        <f t="shared" si="3"/>
        <v>Cash from Financing</v>
      </c>
      <c r="B261" s="201" t="s">
        <v>156</v>
      </c>
      <c r="C261" s="198" t="s">
        <v>7442</v>
      </c>
      <c r="D261" s="198" t="s">
        <v>7443</v>
      </c>
      <c r="E261" s="198" t="s">
        <v>7444</v>
      </c>
      <c r="F261" s="198" t="s">
        <v>7445</v>
      </c>
      <c r="G261" s="198" t="s">
        <v>7446</v>
      </c>
      <c r="H261" s="198" t="s">
        <v>7447</v>
      </c>
      <c r="I261" s="198" t="s">
        <v>7448</v>
      </c>
      <c r="J261" s="198" t="s">
        <v>7449</v>
      </c>
      <c r="K261" s="198" t="s">
        <v>7450</v>
      </c>
      <c r="BB261"/>
    </row>
    <row r="262" spans="1:54" x14ac:dyDescent="0.25">
      <c r="A262" s="208" t="str">
        <f t="shared" si="3"/>
        <v>Foreign Exchange Rate Adj.</v>
      </c>
      <c r="B262" s="201" t="s">
        <v>192</v>
      </c>
      <c r="C262" s="201" t="s">
        <v>2875</v>
      </c>
      <c r="D262" s="201" t="s">
        <v>2876</v>
      </c>
      <c r="E262" s="201" t="s">
        <v>2877</v>
      </c>
      <c r="F262" s="201" t="s">
        <v>3102</v>
      </c>
      <c r="G262" s="201" t="s">
        <v>3103</v>
      </c>
      <c r="H262" s="201" t="s">
        <v>6262</v>
      </c>
      <c r="I262" s="201" t="s">
        <v>6263</v>
      </c>
      <c r="J262" s="201" t="s">
        <v>6264</v>
      </c>
      <c r="K262" s="201" t="s">
        <v>3173</v>
      </c>
      <c r="BB262"/>
    </row>
    <row r="263" spans="1:54" x14ac:dyDescent="0.25">
      <c r="A263" s="208" t="str">
        <f t="shared" si="3"/>
        <v>Misc. Cash Flow Adj.</v>
      </c>
      <c r="B263" s="201" t="s">
        <v>248</v>
      </c>
      <c r="C263" s="201" t="s">
        <v>6259</v>
      </c>
      <c r="D263" s="201" t="s">
        <v>6260</v>
      </c>
      <c r="E263" s="201" t="s">
        <v>6261</v>
      </c>
      <c r="F263" s="201" t="s">
        <v>6268</v>
      </c>
      <c r="G263" s="201" t="s">
        <v>6269</v>
      </c>
      <c r="H263" s="201" t="s">
        <v>6265</v>
      </c>
      <c r="I263" s="201" t="s">
        <v>6266</v>
      </c>
      <c r="J263" s="201" t="s">
        <v>6267</v>
      </c>
      <c r="K263" s="201" t="s">
        <v>6270</v>
      </c>
      <c r="BB263"/>
    </row>
    <row r="264" spans="1:54" x14ac:dyDescent="0.25">
      <c r="A264" s="208" t="str">
        <f t="shared" si="3"/>
        <v>Net Change in Cash</v>
      </c>
      <c r="B264" s="201" t="s">
        <v>157</v>
      </c>
      <c r="C264" t="s">
        <v>7451</v>
      </c>
      <c r="D264" t="s">
        <v>7452</v>
      </c>
      <c r="E264" t="s">
        <v>7453</v>
      </c>
      <c r="F264" t="s">
        <v>7454</v>
      </c>
      <c r="G264" t="s">
        <v>7455</v>
      </c>
      <c r="H264" t="s">
        <v>7456</v>
      </c>
      <c r="I264" t="s">
        <v>7457</v>
      </c>
      <c r="J264" t="s">
        <v>7458</v>
      </c>
      <c r="K264" t="s">
        <v>7459</v>
      </c>
      <c r="BB264"/>
    </row>
    <row r="265" spans="1:54" x14ac:dyDescent="0.25">
      <c r="A265" s="208" t="str">
        <f t="shared" ref="A265:A328" si="4">INDEX($B265:$CV265,$A$4)</f>
        <v>Period Date</v>
      </c>
      <c r="B265" s="201" t="s">
        <v>715</v>
      </c>
      <c r="C265" s="229" t="s">
        <v>5573</v>
      </c>
      <c r="D265" s="229" t="s">
        <v>5574</v>
      </c>
      <c r="E265" s="229" t="s">
        <v>5575</v>
      </c>
      <c r="F265" s="229" t="s">
        <v>5633</v>
      </c>
      <c r="G265" s="229" t="s">
        <v>5634</v>
      </c>
      <c r="H265" s="205" t="s">
        <v>5603</v>
      </c>
      <c r="I265" s="229" t="s">
        <v>5604</v>
      </c>
      <c r="J265" s="229" t="s">
        <v>5605</v>
      </c>
      <c r="K265" s="229" t="s">
        <v>5653</v>
      </c>
      <c r="BB265"/>
    </row>
    <row r="266" spans="1:54" x14ac:dyDescent="0.25">
      <c r="A266" s="208" t="str">
        <f t="shared" si="4"/>
        <v>Depreciation And Amortization Notes for Partial CF</v>
      </c>
      <c r="B266" s="201" t="s">
        <v>9</v>
      </c>
      <c r="C266" s="229" t="s">
        <v>5576</v>
      </c>
      <c r="D266" s="229" t="s">
        <v>5577</v>
      </c>
      <c r="E266" s="229" t="s">
        <v>5578</v>
      </c>
      <c r="F266" s="229" t="s">
        <v>5635</v>
      </c>
      <c r="G266" s="229" t="s">
        <v>5636</v>
      </c>
      <c r="H266" s="205" t="s">
        <v>5606</v>
      </c>
      <c r="I266" s="229" t="s">
        <v>5607</v>
      </c>
      <c r="J266" s="229" t="s">
        <v>5608</v>
      </c>
      <c r="K266" s="229" t="s">
        <v>5654</v>
      </c>
      <c r="BB266"/>
    </row>
    <row r="267" spans="1:54" x14ac:dyDescent="0.25">
      <c r="A267" s="208" t="str">
        <f t="shared" si="4"/>
        <v>Amortization Of Goodwill Notes for Partial CF</v>
      </c>
      <c r="B267" s="201" t="s">
        <v>10</v>
      </c>
      <c r="C267" s="229" t="s">
        <v>5579</v>
      </c>
      <c r="D267" s="229" t="s">
        <v>5580</v>
      </c>
      <c r="E267" s="229" t="s">
        <v>5581</v>
      </c>
      <c r="F267" s="229" t="s">
        <v>5637</v>
      </c>
      <c r="G267" s="229" t="s">
        <v>5638</v>
      </c>
      <c r="H267" s="205" t="s">
        <v>5609</v>
      </c>
      <c r="I267" s="229" t="s">
        <v>5610</v>
      </c>
      <c r="J267" s="229" t="s">
        <v>5611</v>
      </c>
      <c r="K267" s="229" t="s">
        <v>5655</v>
      </c>
      <c r="BB267"/>
    </row>
    <row r="268" spans="1:54" x14ac:dyDescent="0.25">
      <c r="A268" s="208" t="str">
        <f t="shared" si="4"/>
        <v>Depreciation (From Notes)</v>
      </c>
      <c r="B268" s="201" t="s">
        <v>610</v>
      </c>
      <c r="C268" s="229" t="s">
        <v>5582</v>
      </c>
      <c r="D268" s="229" t="s">
        <v>5583</v>
      </c>
      <c r="E268" s="229" t="s">
        <v>5584</v>
      </c>
      <c r="F268" s="229" t="s">
        <v>5639</v>
      </c>
      <c r="G268" s="229" t="s">
        <v>5640</v>
      </c>
      <c r="H268" s="205" t="s">
        <v>5612</v>
      </c>
      <c r="I268" s="229" t="s">
        <v>5613</v>
      </c>
      <c r="J268" s="229" t="s">
        <v>5614</v>
      </c>
      <c r="K268" s="229" t="s">
        <v>5656</v>
      </c>
      <c r="BB268"/>
    </row>
    <row r="269" spans="1:54" x14ac:dyDescent="0.25">
      <c r="A269" s="208" t="str">
        <f t="shared" si="4"/>
        <v>Depreciation on Right of Use Assets</v>
      </c>
      <c r="B269" s="201" t="s">
        <v>776</v>
      </c>
      <c r="C269" s="229" t="s">
        <v>5585</v>
      </c>
      <c r="D269" s="229" t="s">
        <v>5586</v>
      </c>
      <c r="E269" s="229" t="s">
        <v>5587</v>
      </c>
      <c r="F269" s="229" t="s">
        <v>5641</v>
      </c>
      <c r="G269" s="229" t="s">
        <v>5642</v>
      </c>
      <c r="H269" s="205" t="s">
        <v>5615</v>
      </c>
      <c r="I269" s="229" t="s">
        <v>5616</v>
      </c>
      <c r="J269" s="229" t="s">
        <v>5617</v>
      </c>
      <c r="K269" s="229" t="s">
        <v>5657</v>
      </c>
      <c r="BB269"/>
    </row>
    <row r="270" spans="1:54" x14ac:dyDescent="0.25">
      <c r="A270" s="208" t="str">
        <f t="shared" si="4"/>
        <v>Depreciation &amp; Amortization - CF, Excl. Operating Leases</v>
      </c>
      <c r="B270" s="201" t="s">
        <v>797</v>
      </c>
      <c r="C270" s="229" t="s">
        <v>5588</v>
      </c>
      <c r="D270" s="229" t="s">
        <v>5589</v>
      </c>
      <c r="E270" s="229" t="s">
        <v>5590</v>
      </c>
      <c r="F270" s="229" t="s">
        <v>5643</v>
      </c>
      <c r="G270" s="229" t="s">
        <v>5644</v>
      </c>
      <c r="H270" s="230" t="s">
        <v>5618</v>
      </c>
      <c r="I270" s="229" t="s">
        <v>5619</v>
      </c>
      <c r="J270" s="229" t="s">
        <v>5620</v>
      </c>
      <c r="K270" s="229" t="s">
        <v>5658</v>
      </c>
      <c r="BB270"/>
    </row>
    <row r="271" spans="1:54" x14ac:dyDescent="0.25">
      <c r="A271" s="208" t="str">
        <f t="shared" si="4"/>
        <v>Depreciation &amp; Amort., Total, Excl. Operating Leases</v>
      </c>
      <c r="B271" s="201" t="s">
        <v>798</v>
      </c>
      <c r="C271" s="229" t="s">
        <v>5591</v>
      </c>
      <c r="D271" s="229" t="s">
        <v>5592</v>
      </c>
      <c r="E271" s="229" t="s">
        <v>5593</v>
      </c>
      <c r="F271" s="229" t="s">
        <v>5645</v>
      </c>
      <c r="G271" s="229" t="s">
        <v>5646</v>
      </c>
      <c r="H271" s="230" t="s">
        <v>5621</v>
      </c>
      <c r="I271" s="229" t="s">
        <v>5622</v>
      </c>
      <c r="J271" s="229" t="s">
        <v>5623</v>
      </c>
      <c r="K271" s="229" t="s">
        <v>5659</v>
      </c>
      <c r="BB271"/>
    </row>
    <row r="272" spans="1:54" x14ac:dyDescent="0.25">
      <c r="A272" s="208" t="str">
        <f t="shared" si="4"/>
        <v>Amortization of Debt Issuance Costs</v>
      </c>
      <c r="B272" s="201" t="s">
        <v>770</v>
      </c>
      <c r="C272" s="229" t="s">
        <v>5594</v>
      </c>
      <c r="D272" s="229" t="s">
        <v>5595</v>
      </c>
      <c r="E272" s="229" t="s">
        <v>5596</v>
      </c>
      <c r="F272" s="229" t="s">
        <v>5647</v>
      </c>
      <c r="G272" s="229" t="s">
        <v>5648</v>
      </c>
      <c r="H272" s="205" t="s">
        <v>5624</v>
      </c>
      <c r="I272" s="229" t="s">
        <v>5625</v>
      </c>
      <c r="J272" s="229" t="s">
        <v>5626</v>
      </c>
      <c r="K272" s="229" t="s">
        <v>5660</v>
      </c>
      <c r="BB272"/>
    </row>
    <row r="273" spans="1:54" x14ac:dyDescent="0.25">
      <c r="A273" s="208" t="str">
        <f t="shared" si="4"/>
        <v>Amortization of Software Assets</v>
      </c>
      <c r="B273" s="201" t="s">
        <v>771</v>
      </c>
      <c r="C273" s="229" t="s">
        <v>5597</v>
      </c>
      <c r="D273" s="229" t="s">
        <v>5598</v>
      </c>
      <c r="E273" s="229" t="s">
        <v>5599</v>
      </c>
      <c r="F273" s="229" t="s">
        <v>5649</v>
      </c>
      <c r="G273" s="229" t="s">
        <v>5650</v>
      </c>
      <c r="H273" s="205" t="s">
        <v>5627</v>
      </c>
      <c r="I273" s="229" t="s">
        <v>5628</v>
      </c>
      <c r="J273" s="229" t="s">
        <v>5629</v>
      </c>
      <c r="K273" s="229" t="s">
        <v>5661</v>
      </c>
      <c r="BB273"/>
    </row>
    <row r="274" spans="1:54" x14ac:dyDescent="0.25">
      <c r="A274" s="208" t="str">
        <f t="shared" si="4"/>
        <v>Sale Proceeds from Rental Assets</v>
      </c>
      <c r="B274" s="201" t="s">
        <v>42</v>
      </c>
      <c r="C274" s="229" t="s">
        <v>5600</v>
      </c>
      <c r="D274" s="229" t="s">
        <v>5601</v>
      </c>
      <c r="E274" s="229" t="s">
        <v>5602</v>
      </c>
      <c r="F274" s="229" t="s">
        <v>5651</v>
      </c>
      <c r="G274" s="229" t="s">
        <v>5652</v>
      </c>
      <c r="H274" s="205" t="s">
        <v>5630</v>
      </c>
      <c r="I274" s="229" t="s">
        <v>5631</v>
      </c>
      <c r="J274" s="229" t="s">
        <v>5632</v>
      </c>
      <c r="K274" s="229" t="s">
        <v>5662</v>
      </c>
      <c r="BB274"/>
    </row>
    <row r="275" spans="1:54" x14ac:dyDescent="0.25">
      <c r="A275" s="208" t="str">
        <f t="shared" si="4"/>
        <v>Cash Interest Paid</v>
      </c>
      <c r="B275" s="201" t="s">
        <v>83</v>
      </c>
      <c r="C275" t="s">
        <v>7460</v>
      </c>
      <c r="D275" t="s">
        <v>7461</v>
      </c>
      <c r="E275" t="s">
        <v>7462</v>
      </c>
      <c r="F275" t="s">
        <v>7463</v>
      </c>
      <c r="G275" t="s">
        <v>7464</v>
      </c>
      <c r="H275" t="s">
        <v>7465</v>
      </c>
      <c r="I275" t="s">
        <v>7466</v>
      </c>
      <c r="J275" t="s">
        <v>7467</v>
      </c>
      <c r="K275" t="s">
        <v>7468</v>
      </c>
      <c r="BB275"/>
    </row>
    <row r="276" spans="1:54" x14ac:dyDescent="0.25">
      <c r="A276" s="208" t="str">
        <f t="shared" si="4"/>
        <v>Cash Interest Paid Net of Interest Received</v>
      </c>
      <c r="B276" s="201" t="s">
        <v>716</v>
      </c>
      <c r="C276" s="229" t="s">
        <v>1960</v>
      </c>
      <c r="D276" s="229" t="s">
        <v>1961</v>
      </c>
      <c r="E276" s="229" t="s">
        <v>1962</v>
      </c>
      <c r="F276" s="229" t="s">
        <v>1990</v>
      </c>
      <c r="G276" s="229" t="s">
        <v>1991</v>
      </c>
      <c r="H276" s="205" t="s">
        <v>1975</v>
      </c>
      <c r="I276" s="229" t="s">
        <v>1976</v>
      </c>
      <c r="J276" s="229" t="s">
        <v>1977</v>
      </c>
      <c r="K276" s="229" t="s">
        <v>2000</v>
      </c>
      <c r="BB276"/>
    </row>
    <row r="277" spans="1:54" x14ac:dyDescent="0.25">
      <c r="A277" s="208" t="str">
        <f t="shared" si="4"/>
        <v>Cash Dividend and Interest Received</v>
      </c>
      <c r="B277" s="244" t="s">
        <v>8280</v>
      </c>
      <c r="C277" s="229" t="s">
        <v>1963</v>
      </c>
      <c r="D277" s="229" t="s">
        <v>1964</v>
      </c>
      <c r="E277" s="229" t="s">
        <v>1965</v>
      </c>
      <c r="F277" s="229" t="s">
        <v>1992</v>
      </c>
      <c r="G277" s="229" t="s">
        <v>1993</v>
      </c>
      <c r="H277" s="205" t="s">
        <v>1978</v>
      </c>
      <c r="I277" s="229" t="s">
        <v>1979</v>
      </c>
      <c r="J277" s="229" t="s">
        <v>1980</v>
      </c>
      <c r="K277" s="229" t="s">
        <v>2001</v>
      </c>
      <c r="BB277"/>
    </row>
    <row r="278" spans="1:54" x14ac:dyDescent="0.25">
      <c r="A278" s="208" t="str">
        <f t="shared" si="4"/>
        <v>Cash Interest Paid - Operating Activities</v>
      </c>
      <c r="B278" s="201" t="s">
        <v>665</v>
      </c>
      <c r="C278" s="229" t="s">
        <v>1966</v>
      </c>
      <c r="D278" s="229" t="s">
        <v>1967</v>
      </c>
      <c r="E278" s="229" t="s">
        <v>1968</v>
      </c>
      <c r="F278" s="229" t="s">
        <v>1994</v>
      </c>
      <c r="G278" s="229" t="s">
        <v>1995</v>
      </c>
      <c r="H278" s="205" t="s">
        <v>1981</v>
      </c>
      <c r="I278" s="229" t="s">
        <v>1982</v>
      </c>
      <c r="J278" s="229" t="s">
        <v>1983</v>
      </c>
      <c r="K278" s="229" t="s">
        <v>2002</v>
      </c>
      <c r="BB278"/>
    </row>
    <row r="279" spans="1:54" x14ac:dyDescent="0.25">
      <c r="A279" s="208" t="str">
        <f t="shared" si="4"/>
        <v>Cash Interest Paid - Investing Activities</v>
      </c>
      <c r="B279" s="201" t="s">
        <v>666</v>
      </c>
      <c r="C279" s="229" t="s">
        <v>1969</v>
      </c>
      <c r="D279" s="229" t="s">
        <v>1970</v>
      </c>
      <c r="E279" s="229" t="s">
        <v>1971</v>
      </c>
      <c r="F279" s="229" t="s">
        <v>1996</v>
      </c>
      <c r="G279" s="229" t="s">
        <v>1997</v>
      </c>
      <c r="H279" s="205" t="s">
        <v>1984</v>
      </c>
      <c r="I279" s="229" t="s">
        <v>1985</v>
      </c>
      <c r="J279" s="229" t="s">
        <v>1986</v>
      </c>
      <c r="K279" s="229" t="s">
        <v>2003</v>
      </c>
      <c r="BB279"/>
    </row>
    <row r="280" spans="1:54" x14ac:dyDescent="0.25">
      <c r="A280" s="208" t="str">
        <f t="shared" si="4"/>
        <v>Cash Interest Paid - Financing Activities</v>
      </c>
      <c r="B280" s="201" t="s">
        <v>667</v>
      </c>
      <c r="C280" s="229" t="s">
        <v>1972</v>
      </c>
      <c r="D280" s="229" t="s">
        <v>1973</v>
      </c>
      <c r="E280" s="229" t="s">
        <v>1974</v>
      </c>
      <c r="F280" s="229" t="s">
        <v>1998</v>
      </c>
      <c r="G280" s="229" t="s">
        <v>1999</v>
      </c>
      <c r="H280" s="205" t="s">
        <v>1987</v>
      </c>
      <c r="I280" s="229" t="s">
        <v>1988</v>
      </c>
      <c r="J280" s="229" t="s">
        <v>1989</v>
      </c>
      <c r="K280" s="229" t="s">
        <v>2004</v>
      </c>
      <c r="BB280"/>
    </row>
    <row r="281" spans="1:54" x14ac:dyDescent="0.25">
      <c r="A281" s="208" t="str">
        <f t="shared" si="4"/>
        <v>Cash Taxes Paid</v>
      </c>
      <c r="B281" s="201" t="s">
        <v>84</v>
      </c>
      <c r="C281" s="201" t="s">
        <v>7469</v>
      </c>
      <c r="D281" t="s">
        <v>7470</v>
      </c>
      <c r="E281" t="s">
        <v>7471</v>
      </c>
      <c r="F281" t="s">
        <v>7472</v>
      </c>
      <c r="G281" t="s">
        <v>7473</v>
      </c>
      <c r="H281" t="s">
        <v>7474</v>
      </c>
      <c r="I281" t="s">
        <v>7475</v>
      </c>
      <c r="J281" t="s">
        <v>7476</v>
      </c>
      <c r="K281" t="s">
        <v>7477</v>
      </c>
      <c r="BB281"/>
    </row>
    <row r="282" spans="1:54" x14ac:dyDescent="0.25">
      <c r="A282" s="208" t="str">
        <f t="shared" si="4"/>
        <v>Cash Taxes Paid - Operating Activities</v>
      </c>
      <c r="B282" s="201" t="s">
        <v>668</v>
      </c>
      <c r="C282" s="229" t="s">
        <v>2005</v>
      </c>
      <c r="D282" s="229" t="s">
        <v>2006</v>
      </c>
      <c r="E282" s="229" t="s">
        <v>2007</v>
      </c>
      <c r="F282" s="229" t="s">
        <v>2041</v>
      </c>
      <c r="G282" s="229" t="s">
        <v>2042</v>
      </c>
      <c r="H282" s="205" t="s">
        <v>2023</v>
      </c>
      <c r="I282" s="229" t="s">
        <v>2024</v>
      </c>
      <c r="J282" s="229" t="s">
        <v>2025</v>
      </c>
      <c r="K282" s="229" t="s">
        <v>2053</v>
      </c>
      <c r="BB282"/>
    </row>
    <row r="283" spans="1:54" x14ac:dyDescent="0.25">
      <c r="A283" s="208" t="str">
        <f t="shared" si="4"/>
        <v>Cash Taxes Paid - Investing Activities</v>
      </c>
      <c r="B283" s="201" t="s">
        <v>669</v>
      </c>
      <c r="C283" s="229" t="s">
        <v>2008</v>
      </c>
      <c r="D283" s="229" t="s">
        <v>2009</v>
      </c>
      <c r="E283" s="229" t="s">
        <v>2010</v>
      </c>
      <c r="F283" s="229" t="s">
        <v>2043</v>
      </c>
      <c r="G283" s="229" t="s">
        <v>2044</v>
      </c>
      <c r="H283" s="205" t="s">
        <v>2026</v>
      </c>
      <c r="I283" s="229" t="s">
        <v>2027</v>
      </c>
      <c r="J283" s="229" t="s">
        <v>2028</v>
      </c>
      <c r="K283" s="229" t="s">
        <v>2054</v>
      </c>
      <c r="BB283"/>
    </row>
    <row r="284" spans="1:54" x14ac:dyDescent="0.25">
      <c r="A284" s="208" t="str">
        <f t="shared" si="4"/>
        <v>Cash Taxes Paid - Financing Activities</v>
      </c>
      <c r="B284" s="201" t="s">
        <v>670</v>
      </c>
      <c r="C284" s="229" t="s">
        <v>2011</v>
      </c>
      <c r="D284" s="229" t="s">
        <v>2012</v>
      </c>
      <c r="E284" s="229" t="s">
        <v>2013</v>
      </c>
      <c r="F284" s="229" t="s">
        <v>2045</v>
      </c>
      <c r="G284" s="229" t="s">
        <v>2046</v>
      </c>
      <c r="H284" s="205" t="s">
        <v>2029</v>
      </c>
      <c r="I284" s="229" t="s">
        <v>2030</v>
      </c>
      <c r="J284" s="229" t="s">
        <v>2031</v>
      </c>
      <c r="K284" s="229" t="s">
        <v>2055</v>
      </c>
      <c r="BB284"/>
    </row>
    <row r="285" spans="1:54" x14ac:dyDescent="0.25">
      <c r="A285" s="208" t="str">
        <f t="shared" si="4"/>
        <v>Deferred Income Taxes, Total</v>
      </c>
      <c r="B285" s="201" t="s">
        <v>675</v>
      </c>
      <c r="C285" s="229" t="s">
        <v>2014</v>
      </c>
      <c r="D285" s="229" t="s">
        <v>2015</v>
      </c>
      <c r="E285" s="229" t="s">
        <v>2016</v>
      </c>
      <c r="F285" s="229" t="s">
        <v>2047</v>
      </c>
      <c r="G285" s="229" t="s">
        <v>2048</v>
      </c>
      <c r="H285" s="205" t="s">
        <v>2032</v>
      </c>
      <c r="I285" s="229" t="s">
        <v>2033</v>
      </c>
      <c r="J285" s="229" t="s">
        <v>2034</v>
      </c>
      <c r="K285" s="229" t="s">
        <v>2056</v>
      </c>
      <c r="BB285"/>
    </row>
    <row r="286" spans="1:54" x14ac:dyDescent="0.25">
      <c r="A286" s="208" t="str">
        <f t="shared" si="4"/>
        <v>Change in Net Working Capital</v>
      </c>
      <c r="B286" s="201" t="s">
        <v>611</v>
      </c>
      <c r="C286" s="229" t="s">
        <v>2017</v>
      </c>
      <c r="D286" s="229" t="s">
        <v>2018</v>
      </c>
      <c r="E286" s="229" t="s">
        <v>2019</v>
      </c>
      <c r="F286" s="229" t="s">
        <v>2049</v>
      </c>
      <c r="G286" s="229" t="s">
        <v>2050</v>
      </c>
      <c r="H286" s="205" t="s">
        <v>2035</v>
      </c>
      <c r="I286" s="229" t="s">
        <v>2036</v>
      </c>
      <c r="J286" s="229" t="s">
        <v>2037</v>
      </c>
      <c r="K286" s="229" t="s">
        <v>2057</v>
      </c>
      <c r="BB286"/>
    </row>
    <row r="287" spans="1:54" x14ac:dyDescent="0.25">
      <c r="A287" s="208" t="str">
        <f t="shared" si="4"/>
        <v>Levered Free Cash Flow</v>
      </c>
      <c r="B287" s="244" t="s">
        <v>8281</v>
      </c>
      <c r="C287" s="229" t="s">
        <v>2020</v>
      </c>
      <c r="D287" s="229" t="s">
        <v>2021</v>
      </c>
      <c r="E287" s="229" t="s">
        <v>2022</v>
      </c>
      <c r="F287" s="229" t="s">
        <v>2051</v>
      </c>
      <c r="G287" s="229" t="s">
        <v>2052</v>
      </c>
      <c r="H287" s="205" t="s">
        <v>2038</v>
      </c>
      <c r="I287" s="229" t="s">
        <v>2039</v>
      </c>
      <c r="J287" s="229" t="s">
        <v>2040</v>
      </c>
      <c r="K287" s="229" t="s">
        <v>2058</v>
      </c>
      <c r="BB287"/>
    </row>
    <row r="288" spans="1:54" x14ac:dyDescent="0.25">
      <c r="A288" s="208" t="str">
        <f t="shared" si="4"/>
        <v>Unlevered Free Cash Flow</v>
      </c>
      <c r="B288" s="244" t="s">
        <v>8282</v>
      </c>
      <c r="C288" s="201" t="s">
        <v>7478</v>
      </c>
      <c r="D288" s="201" t="s">
        <v>7479</v>
      </c>
      <c r="E288" s="201" t="s">
        <v>7480</v>
      </c>
      <c r="F288" s="201" t="s">
        <v>7481</v>
      </c>
      <c r="G288" s="201" t="s">
        <v>7482</v>
      </c>
      <c r="H288" s="201" t="s">
        <v>7483</v>
      </c>
      <c r="I288" s="201" t="s">
        <v>7484</v>
      </c>
      <c r="J288" s="201" t="s">
        <v>7485</v>
      </c>
      <c r="K288" s="201" t="s">
        <v>7486</v>
      </c>
      <c r="BB288"/>
    </row>
    <row r="289" spans="1:54" x14ac:dyDescent="0.25">
      <c r="A289" s="208" t="str">
        <f t="shared" si="4"/>
        <v>Cash Flow per Share</v>
      </c>
      <c r="B289" s="201" t="s">
        <v>43</v>
      </c>
      <c r="C289" s="229" t="s">
        <v>2059</v>
      </c>
      <c r="D289" s="229" t="s">
        <v>2060</v>
      </c>
      <c r="E289" s="229" t="s">
        <v>2061</v>
      </c>
      <c r="F289" s="229" t="s">
        <v>2124</v>
      </c>
      <c r="G289" s="229" t="s">
        <v>2125</v>
      </c>
      <c r="H289" s="205" t="s">
        <v>2091</v>
      </c>
      <c r="I289" s="229" t="s">
        <v>2092</v>
      </c>
      <c r="J289" s="229" t="s">
        <v>2093</v>
      </c>
      <c r="K289" s="229" t="s">
        <v>2146</v>
      </c>
      <c r="BB289"/>
    </row>
    <row r="290" spans="1:54" x14ac:dyDescent="0.25">
      <c r="A290" s="208" t="str">
        <f t="shared" si="4"/>
        <v>Net Debt Issued</v>
      </c>
      <c r="B290" s="201" t="s">
        <v>158</v>
      </c>
      <c r="C290" s="229" t="s">
        <v>2062</v>
      </c>
      <c r="D290" s="229" t="s">
        <v>2063</v>
      </c>
      <c r="E290" s="229" t="s">
        <v>2064</v>
      </c>
      <c r="F290" s="229" t="s">
        <v>2126</v>
      </c>
      <c r="G290" s="229" t="s">
        <v>2127</v>
      </c>
      <c r="H290" s="205" t="s">
        <v>2094</v>
      </c>
      <c r="I290" s="229" t="s">
        <v>2095</v>
      </c>
      <c r="J290" s="229" t="s">
        <v>2096</v>
      </c>
      <c r="K290" s="229" t="s">
        <v>2147</v>
      </c>
      <c r="BB290"/>
    </row>
    <row r="291" spans="1:54" x14ac:dyDescent="0.25">
      <c r="A291" s="208" t="str">
        <f t="shared" si="4"/>
        <v>Maintenance CAPEX</v>
      </c>
      <c r="B291" s="201" t="s">
        <v>612</v>
      </c>
      <c r="C291" s="229" t="s">
        <v>2065</v>
      </c>
      <c r="D291" s="229" t="s">
        <v>2066</v>
      </c>
      <c r="E291" s="229" t="s">
        <v>612</v>
      </c>
      <c r="F291" s="229" t="s">
        <v>2128</v>
      </c>
      <c r="G291" s="229" t="s">
        <v>2129</v>
      </c>
      <c r="H291" s="205" t="s">
        <v>2097</v>
      </c>
      <c r="I291" s="229" t="s">
        <v>2098</v>
      </c>
      <c r="J291" s="229" t="s">
        <v>2099</v>
      </c>
      <c r="K291" s="229" t="s">
        <v>2148</v>
      </c>
      <c r="BB291"/>
    </row>
    <row r="292" spans="1:54" x14ac:dyDescent="0.25">
      <c r="A292" s="208" t="str">
        <f t="shared" si="4"/>
        <v>Net Cash from Discontinued Ops. - Investing</v>
      </c>
      <c r="B292" s="201" t="s">
        <v>44</v>
      </c>
      <c r="C292" s="229" t="s">
        <v>2067</v>
      </c>
      <c r="D292" s="229" t="s">
        <v>2068</v>
      </c>
      <c r="E292" s="229" t="s">
        <v>2069</v>
      </c>
      <c r="F292" s="229" t="s">
        <v>2130</v>
      </c>
      <c r="G292" s="229" t="s">
        <v>2131</v>
      </c>
      <c r="H292" s="205" t="s">
        <v>2100</v>
      </c>
      <c r="I292" s="229" t="s">
        <v>2101</v>
      </c>
      <c r="J292" s="229" t="s">
        <v>2102</v>
      </c>
      <c r="K292" s="229" t="s">
        <v>2149</v>
      </c>
      <c r="BB292"/>
    </row>
    <row r="293" spans="1:54" x14ac:dyDescent="0.25">
      <c r="A293" s="208" t="str">
        <f t="shared" si="4"/>
        <v>Net Cash from Discontinued Ops. - Financing</v>
      </c>
      <c r="B293" s="201" t="s">
        <v>45</v>
      </c>
      <c r="C293" s="229" t="s">
        <v>2070</v>
      </c>
      <c r="D293" s="229" t="s">
        <v>2071</v>
      </c>
      <c r="E293" s="229" t="s">
        <v>2072</v>
      </c>
      <c r="F293" s="229" t="s">
        <v>2132</v>
      </c>
      <c r="G293" s="229" t="s">
        <v>2133</v>
      </c>
      <c r="H293" s="205" t="s">
        <v>2103</v>
      </c>
      <c r="I293" s="229" t="s">
        <v>2104</v>
      </c>
      <c r="J293" s="229" t="s">
        <v>2105</v>
      </c>
      <c r="K293" s="229" t="s">
        <v>2150</v>
      </c>
      <c r="BB293"/>
    </row>
    <row r="294" spans="1:54" x14ac:dyDescent="0.25">
      <c r="A294" s="208" t="str">
        <f t="shared" si="4"/>
        <v>Operating Lease Payments</v>
      </c>
      <c r="B294" s="201" t="s">
        <v>777</v>
      </c>
      <c r="C294" s="229" t="s">
        <v>2073</v>
      </c>
      <c r="D294" s="229" t="s">
        <v>2074</v>
      </c>
      <c r="E294" s="229" t="s">
        <v>2075</v>
      </c>
      <c r="F294" s="229" t="s">
        <v>2134</v>
      </c>
      <c r="G294" s="229" t="s">
        <v>2135</v>
      </c>
      <c r="H294" s="230" t="s">
        <v>2106</v>
      </c>
      <c r="I294" s="229" t="s">
        <v>2107</v>
      </c>
      <c r="J294" s="229" t="s">
        <v>2108</v>
      </c>
      <c r="K294" s="229" t="s">
        <v>2151</v>
      </c>
      <c r="BB294"/>
    </row>
    <row r="295" spans="1:54" x14ac:dyDescent="0.25">
      <c r="A295" s="208" t="str">
        <f t="shared" si="4"/>
        <v>Change in Operating Lease Liabilities</v>
      </c>
      <c r="B295" s="201" t="s">
        <v>778</v>
      </c>
      <c r="C295" s="229" t="s">
        <v>2076</v>
      </c>
      <c r="D295" s="229" t="s">
        <v>2077</v>
      </c>
      <c r="E295" s="229" t="s">
        <v>2078</v>
      </c>
      <c r="F295" s="229" t="s">
        <v>2136</v>
      </c>
      <c r="G295" s="229" t="s">
        <v>2137</v>
      </c>
      <c r="H295" s="230" t="s">
        <v>2109</v>
      </c>
      <c r="I295" s="229" t="s">
        <v>2110</v>
      </c>
      <c r="J295" s="229" t="s">
        <v>2111</v>
      </c>
      <c r="K295" s="229" t="s">
        <v>2152</v>
      </c>
      <c r="BB295"/>
    </row>
    <row r="296" spans="1:54" x14ac:dyDescent="0.25">
      <c r="A296" s="208" t="str">
        <f t="shared" si="4"/>
        <v>Change in Operating Lease Liabilities Non-Cash</v>
      </c>
      <c r="B296" s="201" t="s">
        <v>779</v>
      </c>
      <c r="C296" s="229" t="s">
        <v>2079</v>
      </c>
      <c r="D296" s="229" t="s">
        <v>2080</v>
      </c>
      <c r="E296" s="229" t="s">
        <v>2081</v>
      </c>
      <c r="F296" s="229" t="s">
        <v>2138</v>
      </c>
      <c r="G296" s="229" t="s">
        <v>2139</v>
      </c>
      <c r="H296" s="230" t="s">
        <v>2112</v>
      </c>
      <c r="I296" s="229" t="s">
        <v>2113</v>
      </c>
      <c r="J296" s="229" t="s">
        <v>2114</v>
      </c>
      <c r="K296" s="229" t="s">
        <v>2153</v>
      </c>
      <c r="BB296"/>
    </row>
    <row r="297" spans="1:54" x14ac:dyDescent="0.25">
      <c r="A297" s="208" t="str">
        <f t="shared" si="4"/>
        <v>Long-Term Debt Repaid, Excl. Leases</v>
      </c>
      <c r="B297" s="201" t="s">
        <v>799</v>
      </c>
      <c r="C297" s="229" t="s">
        <v>2082</v>
      </c>
      <c r="D297" s="229" t="s">
        <v>2083</v>
      </c>
      <c r="E297" s="229" t="s">
        <v>2084</v>
      </c>
      <c r="F297" s="229" t="s">
        <v>2140</v>
      </c>
      <c r="G297" s="229" t="s">
        <v>2141</v>
      </c>
      <c r="H297" s="230" t="s">
        <v>2115</v>
      </c>
      <c r="I297" s="229" t="s">
        <v>2116</v>
      </c>
      <c r="J297" s="229" t="s">
        <v>2117</v>
      </c>
      <c r="K297" s="229" t="s">
        <v>2154</v>
      </c>
      <c r="BB297"/>
    </row>
    <row r="298" spans="1:54" x14ac:dyDescent="0.25">
      <c r="A298" s="208" t="str">
        <f t="shared" si="4"/>
        <v>Total Debt Repaid, Excl. Leases</v>
      </c>
      <c r="B298" s="201" t="s">
        <v>800</v>
      </c>
      <c r="C298" s="229" t="s">
        <v>2085</v>
      </c>
      <c r="D298" s="229" t="s">
        <v>2086</v>
      </c>
      <c r="E298" s="229" t="s">
        <v>2087</v>
      </c>
      <c r="F298" s="229" t="s">
        <v>2142</v>
      </c>
      <c r="G298" s="229" t="s">
        <v>2143</v>
      </c>
      <c r="H298" s="230" t="s">
        <v>2118</v>
      </c>
      <c r="I298" s="229" t="s">
        <v>2119</v>
      </c>
      <c r="J298" s="229" t="s">
        <v>2120</v>
      </c>
      <c r="K298" s="229" t="s">
        <v>2155</v>
      </c>
      <c r="BB298"/>
    </row>
    <row r="299" spans="1:54" x14ac:dyDescent="0.25">
      <c r="A299" s="208" t="str">
        <f t="shared" si="4"/>
        <v>Gain on Bargain Acquisition - (CF)</v>
      </c>
      <c r="B299" s="201" t="s">
        <v>801</v>
      </c>
      <c r="C299" s="229" t="s">
        <v>2088</v>
      </c>
      <c r="D299" s="229" t="s">
        <v>2089</v>
      </c>
      <c r="E299" s="229" t="s">
        <v>2090</v>
      </c>
      <c r="F299" s="229" t="s">
        <v>2144</v>
      </c>
      <c r="G299" s="229" t="s">
        <v>2145</v>
      </c>
      <c r="H299" s="230" t="s">
        <v>2121</v>
      </c>
      <c r="I299" s="229" t="s">
        <v>2122</v>
      </c>
      <c r="J299" s="229" t="s">
        <v>2123</v>
      </c>
      <c r="K299" s="229" t="s">
        <v>2156</v>
      </c>
      <c r="BB299"/>
    </row>
    <row r="300" spans="1:54" x14ac:dyDescent="0.25">
      <c r="A300" s="208" t="str">
        <f t="shared" si="4"/>
        <v>ASSETS</v>
      </c>
      <c r="B300" s="201" t="s">
        <v>78</v>
      </c>
      <c r="C300" s="201" t="s">
        <v>6475</v>
      </c>
      <c r="D300" s="201" t="s">
        <v>6476</v>
      </c>
      <c r="E300" s="201" t="s">
        <v>6477</v>
      </c>
      <c r="F300" s="201" t="s">
        <v>6478</v>
      </c>
      <c r="G300" s="201" t="s">
        <v>6479</v>
      </c>
      <c r="H300" s="201" t="s">
        <v>6480</v>
      </c>
      <c r="I300" s="201" t="s">
        <v>6481</v>
      </c>
      <c r="J300" s="201" t="s">
        <v>6482</v>
      </c>
      <c r="K300" s="201" t="s">
        <v>6483</v>
      </c>
      <c r="BB300"/>
    </row>
    <row r="301" spans="1:54" x14ac:dyDescent="0.25">
      <c r="A301" s="208" t="str">
        <f t="shared" si="4"/>
        <v>Cash And Equivalents</v>
      </c>
      <c r="B301" s="201" t="s">
        <v>121</v>
      </c>
      <c r="C301" s="201" t="s">
        <v>6271</v>
      </c>
      <c r="D301" s="201" t="s">
        <v>6272</v>
      </c>
      <c r="E301" s="201" t="s">
        <v>6273</v>
      </c>
      <c r="F301" s="201" t="s">
        <v>6274</v>
      </c>
      <c r="G301" s="201" t="s">
        <v>6275</v>
      </c>
      <c r="H301" s="201" t="s">
        <v>6276</v>
      </c>
      <c r="I301" s="201" t="s">
        <v>6277</v>
      </c>
      <c r="J301" s="201" t="s">
        <v>6278</v>
      </c>
      <c r="K301" s="201" t="s">
        <v>6279</v>
      </c>
      <c r="BB301"/>
    </row>
    <row r="302" spans="1:54" x14ac:dyDescent="0.25">
      <c r="A302" s="208" t="str">
        <f t="shared" si="4"/>
        <v>Short Term Investments</v>
      </c>
      <c r="B302" s="201" t="s">
        <v>122</v>
      </c>
      <c r="C302" s="201" t="s">
        <v>6484</v>
      </c>
      <c r="D302" s="201" t="s">
        <v>6485</v>
      </c>
      <c r="E302" s="201" t="s">
        <v>6486</v>
      </c>
      <c r="F302" s="201" t="s">
        <v>6487</v>
      </c>
      <c r="G302" s="201" t="s">
        <v>6488</v>
      </c>
      <c r="H302" s="201" t="s">
        <v>6489</v>
      </c>
      <c r="I302" s="201" t="s">
        <v>6490</v>
      </c>
      <c r="J302" s="201" t="s">
        <v>6491</v>
      </c>
      <c r="K302" s="201" t="s">
        <v>6492</v>
      </c>
      <c r="BB302"/>
    </row>
    <row r="303" spans="1:54" x14ac:dyDescent="0.25">
      <c r="A303" s="208" t="str">
        <f t="shared" si="4"/>
        <v>Trading Asset Securities</v>
      </c>
      <c r="B303" s="201" t="s">
        <v>206</v>
      </c>
      <c r="C303" s="201" t="s">
        <v>7487</v>
      </c>
      <c r="D303" s="201" t="s">
        <v>7488</v>
      </c>
      <c r="E303" s="201" t="s">
        <v>7489</v>
      </c>
      <c r="F303" s="201" t="s">
        <v>7493</v>
      </c>
      <c r="G303" s="201" t="s">
        <v>7494</v>
      </c>
      <c r="H303" s="201" t="s">
        <v>7490</v>
      </c>
      <c r="I303" s="201" t="s">
        <v>7491</v>
      </c>
      <c r="J303" s="201" t="s">
        <v>7492</v>
      </c>
      <c r="K303" s="201" t="s">
        <v>7495</v>
      </c>
      <c r="BB303"/>
    </row>
    <row r="304" spans="1:54" x14ac:dyDescent="0.25">
      <c r="A304" s="208" t="str">
        <f t="shared" si="4"/>
        <v>Total Cash &amp; ST Investments</v>
      </c>
      <c r="B304" s="201" t="s">
        <v>123</v>
      </c>
      <c r="C304" s="201" t="s">
        <v>6493</v>
      </c>
      <c r="D304" t="s">
        <v>6494</v>
      </c>
      <c r="E304" t="s">
        <v>6495</v>
      </c>
      <c r="F304" t="s">
        <v>6496</v>
      </c>
      <c r="G304" t="s">
        <v>6497</v>
      </c>
      <c r="H304" t="s">
        <v>6498</v>
      </c>
      <c r="I304" t="s">
        <v>6499</v>
      </c>
      <c r="J304" t="s">
        <v>6500</v>
      </c>
      <c r="K304" t="s">
        <v>6501</v>
      </c>
      <c r="BB304"/>
    </row>
    <row r="305" spans="1:54" x14ac:dyDescent="0.25">
      <c r="A305" s="208" t="str">
        <f t="shared" si="4"/>
        <v>Accounts Receivable</v>
      </c>
      <c r="B305" s="201" t="s">
        <v>90</v>
      </c>
      <c r="C305" t="s">
        <v>6502</v>
      </c>
      <c r="D305" t="s">
        <v>6503</v>
      </c>
      <c r="E305" s="201" t="s">
        <v>6504</v>
      </c>
      <c r="F305" s="201" t="s">
        <v>6505</v>
      </c>
      <c r="G305" s="201" t="s">
        <v>6506</v>
      </c>
      <c r="H305" s="201" t="s">
        <v>6507</v>
      </c>
      <c r="I305" s="201" t="s">
        <v>6508</v>
      </c>
      <c r="J305" s="201" t="s">
        <v>6509</v>
      </c>
      <c r="K305" s="201" t="s">
        <v>6510</v>
      </c>
      <c r="BB305"/>
    </row>
    <row r="306" spans="1:54" x14ac:dyDescent="0.25">
      <c r="A306" s="208" t="str">
        <f t="shared" si="4"/>
        <v>Other Receivables</v>
      </c>
      <c r="B306" s="201" t="s">
        <v>207</v>
      </c>
      <c r="C306" s="201" t="s">
        <v>6511</v>
      </c>
      <c r="D306" t="s">
        <v>6512</v>
      </c>
      <c r="E306" s="201" t="s">
        <v>6513</v>
      </c>
      <c r="F306" s="201" t="s">
        <v>6514</v>
      </c>
      <c r="G306" s="201" t="s">
        <v>6515</v>
      </c>
      <c r="H306" s="201" t="s">
        <v>6516</v>
      </c>
      <c r="I306" s="201" t="s">
        <v>6517</v>
      </c>
      <c r="J306" s="201" t="s">
        <v>6518</v>
      </c>
      <c r="K306" s="201" t="s">
        <v>6519</v>
      </c>
      <c r="BB306"/>
    </row>
    <row r="307" spans="1:54" x14ac:dyDescent="0.25">
      <c r="A307" s="208" t="str">
        <f t="shared" si="4"/>
        <v>Notes Receivable</v>
      </c>
      <c r="B307" s="201" t="s">
        <v>124</v>
      </c>
      <c r="C307" s="201" t="s">
        <v>6520</v>
      </c>
      <c r="D307" t="s">
        <v>6521</v>
      </c>
      <c r="E307" s="201" t="s">
        <v>6522</v>
      </c>
      <c r="F307" s="201" t="s">
        <v>6523</v>
      </c>
      <c r="G307" s="201" t="s">
        <v>6524</v>
      </c>
      <c r="H307" s="201" t="s">
        <v>6525</v>
      </c>
      <c r="I307" s="201" t="s">
        <v>6526</v>
      </c>
      <c r="J307" s="201" t="s">
        <v>6527</v>
      </c>
      <c r="K307" s="201" t="s">
        <v>6528</v>
      </c>
      <c r="BB307"/>
    </row>
    <row r="308" spans="1:54" x14ac:dyDescent="0.25">
      <c r="A308" s="208" t="str">
        <f t="shared" si="4"/>
        <v>Total Receivables</v>
      </c>
      <c r="B308" s="201" t="s">
        <v>125</v>
      </c>
      <c r="C308" t="s">
        <v>6280</v>
      </c>
      <c r="D308" t="s">
        <v>6281</v>
      </c>
      <c r="E308" t="s">
        <v>6282</v>
      </c>
      <c r="F308" t="s">
        <v>6283</v>
      </c>
      <c r="G308" t="s">
        <v>6284</v>
      </c>
      <c r="H308" t="s">
        <v>6285</v>
      </c>
      <c r="I308" t="s">
        <v>6286</v>
      </c>
      <c r="J308" t="s">
        <v>6287</v>
      </c>
      <c r="K308" t="s">
        <v>6288</v>
      </c>
      <c r="BB308"/>
    </row>
    <row r="309" spans="1:54" x14ac:dyDescent="0.25">
      <c r="A309" s="208" t="str">
        <f t="shared" si="4"/>
        <v>Inventory</v>
      </c>
      <c r="B309" s="201" t="s">
        <v>126</v>
      </c>
      <c r="C309" t="s">
        <v>6529</v>
      </c>
      <c r="D309" t="s">
        <v>6530</v>
      </c>
      <c r="E309" t="s">
        <v>6531</v>
      </c>
      <c r="F309" t="s">
        <v>6532</v>
      </c>
      <c r="G309" t="s">
        <v>6533</v>
      </c>
      <c r="H309" t="s">
        <v>6534</v>
      </c>
      <c r="I309" t="s">
        <v>6535</v>
      </c>
      <c r="J309" t="s">
        <v>6533</v>
      </c>
      <c r="K309" t="s">
        <v>6536</v>
      </c>
      <c r="BB309"/>
    </row>
    <row r="310" spans="1:54" x14ac:dyDescent="0.25">
      <c r="A310" s="208" t="str">
        <f t="shared" si="4"/>
        <v>Prepaid Exp.</v>
      </c>
      <c r="B310" s="201" t="s">
        <v>127</v>
      </c>
      <c r="C310" s="201" t="s">
        <v>6537</v>
      </c>
      <c r="D310" s="201" t="s">
        <v>6538</v>
      </c>
      <c r="E310" s="201" t="s">
        <v>6539</v>
      </c>
      <c r="F310" s="201" t="s">
        <v>6540</v>
      </c>
      <c r="G310" s="201" t="s">
        <v>6541</v>
      </c>
      <c r="H310" s="201" t="s">
        <v>6542</v>
      </c>
      <c r="I310" s="201" t="s">
        <v>6543</v>
      </c>
      <c r="J310" s="201" t="s">
        <v>6544</v>
      </c>
      <c r="K310" s="201" t="s">
        <v>6545</v>
      </c>
      <c r="BB310"/>
    </row>
    <row r="311" spans="1:54" x14ac:dyDescent="0.25">
      <c r="A311" s="208" t="str">
        <f t="shared" si="4"/>
        <v>Finance Div. Loans and Leases, ST</v>
      </c>
      <c r="B311" s="201" t="s">
        <v>208</v>
      </c>
      <c r="C311" s="229" t="s">
        <v>5448</v>
      </c>
      <c r="D311" s="229" t="s">
        <v>5449</v>
      </c>
      <c r="E311" s="229" t="s">
        <v>5450</v>
      </c>
      <c r="F311" s="229" t="s">
        <v>5460</v>
      </c>
      <c r="G311" s="229" t="s">
        <v>5461</v>
      </c>
      <c r="H311" s="230" t="s">
        <v>5454</v>
      </c>
      <c r="I311" s="229" t="s">
        <v>5455</v>
      </c>
      <c r="J311" s="229" t="s">
        <v>5456</v>
      </c>
      <c r="K311" s="229" t="s">
        <v>5464</v>
      </c>
      <c r="BB311"/>
    </row>
    <row r="312" spans="1:54" x14ac:dyDescent="0.25">
      <c r="A312" s="208" t="str">
        <f t="shared" si="4"/>
        <v>Finance Div. Other Curr. Assets</v>
      </c>
      <c r="B312" s="201" t="s">
        <v>209</v>
      </c>
      <c r="C312" s="229" t="s">
        <v>5451</v>
      </c>
      <c r="D312" s="229" t="s">
        <v>5452</v>
      </c>
      <c r="E312" s="229" t="s">
        <v>5453</v>
      </c>
      <c r="F312" s="229" t="s">
        <v>5462</v>
      </c>
      <c r="G312" s="229" t="s">
        <v>5463</v>
      </c>
      <c r="H312" s="230" t="s">
        <v>5457</v>
      </c>
      <c r="I312" s="229" t="s">
        <v>5458</v>
      </c>
      <c r="J312" s="229" t="s">
        <v>5459</v>
      </c>
      <c r="K312" s="229" t="s">
        <v>5465</v>
      </c>
      <c r="BB312"/>
    </row>
    <row r="313" spans="1:54" x14ac:dyDescent="0.25">
      <c r="A313" s="208" t="str">
        <f t="shared" si="4"/>
        <v>Loans Held For Sale</v>
      </c>
      <c r="B313" s="201" t="s">
        <v>210</v>
      </c>
      <c r="C313" s="201" t="s">
        <v>7496</v>
      </c>
      <c r="D313" s="201" t="s">
        <v>7497</v>
      </c>
      <c r="E313" s="201" t="s">
        <v>7498</v>
      </c>
      <c r="F313" s="201" t="s">
        <v>7514</v>
      </c>
      <c r="G313" s="201" t="s">
        <v>7515</v>
      </c>
      <c r="H313" s="201" t="s">
        <v>7505</v>
      </c>
      <c r="I313" s="201" t="s">
        <v>7506</v>
      </c>
      <c r="J313" s="201" t="s">
        <v>7507</v>
      </c>
      <c r="K313" s="201" t="s">
        <v>7520</v>
      </c>
      <c r="BB313"/>
    </row>
    <row r="314" spans="1:54" x14ac:dyDescent="0.25">
      <c r="A314" s="208" t="str">
        <f t="shared" si="4"/>
        <v>Deferred Tax Assets, Curr.</v>
      </c>
      <c r="B314" s="201" t="s">
        <v>166</v>
      </c>
      <c r="C314" s="201" t="s">
        <v>7499</v>
      </c>
      <c r="D314" s="201" t="s">
        <v>7500</v>
      </c>
      <c r="E314" s="201" t="s">
        <v>7501</v>
      </c>
      <c r="F314" s="201" t="s">
        <v>7516</v>
      </c>
      <c r="G314" s="201" t="s">
        <v>7517</v>
      </c>
      <c r="H314" s="201" t="s">
        <v>7508</v>
      </c>
      <c r="I314" s="201" t="s">
        <v>7509</v>
      </c>
      <c r="J314" s="201" t="s">
        <v>7510</v>
      </c>
      <c r="K314" s="201" t="s">
        <v>7521</v>
      </c>
      <c r="BB314"/>
    </row>
    <row r="315" spans="1:54" x14ac:dyDescent="0.25">
      <c r="A315" s="208" t="str">
        <f t="shared" si="4"/>
        <v>Restricted Cash</v>
      </c>
      <c r="B315" s="201" t="s">
        <v>211</v>
      </c>
      <c r="C315" s="201" t="s">
        <v>7502</v>
      </c>
      <c r="D315" s="201" t="s">
        <v>7503</v>
      </c>
      <c r="E315" s="201" t="s">
        <v>7504</v>
      </c>
      <c r="F315" s="201" t="s">
        <v>7518</v>
      </c>
      <c r="G315" s="201" t="s">
        <v>7519</v>
      </c>
      <c r="H315" s="201" t="s">
        <v>7511</v>
      </c>
      <c r="I315" s="201" t="s">
        <v>7512</v>
      </c>
      <c r="J315" s="201" t="s">
        <v>7513</v>
      </c>
      <c r="K315" s="201" t="s">
        <v>7522</v>
      </c>
      <c r="BB315"/>
    </row>
    <row r="316" spans="1:54" x14ac:dyDescent="0.25">
      <c r="A316" s="208" t="str">
        <f t="shared" si="4"/>
        <v>Other Current Assets</v>
      </c>
      <c r="B316" s="201" t="s">
        <v>167</v>
      </c>
      <c r="C316" t="s">
        <v>6289</v>
      </c>
      <c r="D316" t="s">
        <v>6290</v>
      </c>
      <c r="E316" t="s">
        <v>6291</v>
      </c>
      <c r="F316" t="s">
        <v>6292</v>
      </c>
      <c r="G316" t="s">
        <v>6293</v>
      </c>
      <c r="H316" t="s">
        <v>6294</v>
      </c>
      <c r="I316" t="s">
        <v>6295</v>
      </c>
      <c r="J316" t="s">
        <v>6296</v>
      </c>
      <c r="K316" t="s">
        <v>6297</v>
      </c>
      <c r="BB316"/>
    </row>
    <row r="317" spans="1:54" x14ac:dyDescent="0.25">
      <c r="A317" s="208" t="str">
        <f t="shared" si="4"/>
        <v>Total Current Assets</v>
      </c>
      <c r="B317" s="201" t="s">
        <v>79</v>
      </c>
      <c r="C317" t="s">
        <v>6298</v>
      </c>
      <c r="D317" t="s">
        <v>6299</v>
      </c>
      <c r="E317" t="s">
        <v>6300</v>
      </c>
      <c r="F317" t="s">
        <v>6301</v>
      </c>
      <c r="G317" t="s">
        <v>6302</v>
      </c>
      <c r="H317" t="s">
        <v>6303</v>
      </c>
      <c r="I317" t="s">
        <v>6304</v>
      </c>
      <c r="J317" t="s">
        <v>6305</v>
      </c>
      <c r="K317" t="s">
        <v>6306</v>
      </c>
      <c r="BB317"/>
    </row>
    <row r="318" spans="1:54" x14ac:dyDescent="0.25">
      <c r="A318" s="208" t="str">
        <f t="shared" si="4"/>
        <v>Gross Property, Plant &amp; Equipment</v>
      </c>
      <c r="B318" s="201" t="s">
        <v>128</v>
      </c>
      <c r="C318" s="201" t="s">
        <v>6546</v>
      </c>
      <c r="D318" s="201" t="s">
        <v>6547</v>
      </c>
      <c r="E318" s="201" t="s">
        <v>6548</v>
      </c>
      <c r="F318" s="201" t="s">
        <v>6549</v>
      </c>
      <c r="G318" s="201" t="s">
        <v>6550</v>
      </c>
      <c r="H318" s="201" t="s">
        <v>6551</v>
      </c>
      <c r="I318" s="201" t="s">
        <v>6552</v>
      </c>
      <c r="J318" s="201" t="s">
        <v>6553</v>
      </c>
      <c r="K318" s="201" t="s">
        <v>6554</v>
      </c>
      <c r="BB318"/>
    </row>
    <row r="319" spans="1:54" x14ac:dyDescent="0.25">
      <c r="A319" s="208" t="str">
        <f t="shared" si="4"/>
        <v>Accumulated Depreciation</v>
      </c>
      <c r="B319" s="201" t="s">
        <v>129</v>
      </c>
      <c r="C319" s="201" t="s">
        <v>6555</v>
      </c>
      <c r="D319" s="201" t="s">
        <v>6556</v>
      </c>
      <c r="E319" s="201" t="s">
        <v>6557</v>
      </c>
      <c r="F319" s="201" t="s">
        <v>6558</v>
      </c>
      <c r="G319" s="201" t="s">
        <v>6559</v>
      </c>
      <c r="H319" s="201" t="s">
        <v>6560</v>
      </c>
      <c r="I319" s="201" t="s">
        <v>6561</v>
      </c>
      <c r="J319" s="201" t="s">
        <v>6562</v>
      </c>
      <c r="K319" s="201" t="s">
        <v>6563</v>
      </c>
      <c r="BB319"/>
    </row>
    <row r="320" spans="1:54" x14ac:dyDescent="0.25">
      <c r="A320" s="208" t="str">
        <f t="shared" si="4"/>
        <v>Net Property, Plant &amp; Equipment</v>
      </c>
      <c r="B320" s="201" t="s">
        <v>130</v>
      </c>
      <c r="C320" t="s">
        <v>6307</v>
      </c>
      <c r="D320" t="s">
        <v>6308</v>
      </c>
      <c r="E320" t="s">
        <v>6309</v>
      </c>
      <c r="F320" t="s">
        <v>6310</v>
      </c>
      <c r="G320" t="s">
        <v>6311</v>
      </c>
      <c r="H320" t="s">
        <v>6312</v>
      </c>
      <c r="I320" t="s">
        <v>6313</v>
      </c>
      <c r="J320" t="s">
        <v>6314</v>
      </c>
      <c r="K320" t="s">
        <v>6315</v>
      </c>
      <c r="BB320"/>
    </row>
    <row r="321" spans="1:54" x14ac:dyDescent="0.25">
      <c r="A321" s="208" t="str">
        <f t="shared" si="4"/>
        <v>Long-term Investments</v>
      </c>
      <c r="B321" s="201" t="s">
        <v>212</v>
      </c>
      <c r="C321" t="s">
        <v>6564</v>
      </c>
      <c r="D321" t="s">
        <v>6565</v>
      </c>
      <c r="E321" t="s">
        <v>6566</v>
      </c>
      <c r="F321" t="s">
        <v>6567</v>
      </c>
      <c r="G321" t="s">
        <v>6568</v>
      </c>
      <c r="H321" t="s">
        <v>6565</v>
      </c>
      <c r="I321" t="s">
        <v>6569</v>
      </c>
      <c r="J321" t="s">
        <v>6570</v>
      </c>
      <c r="K321" t="s">
        <v>6571</v>
      </c>
      <c r="BB321"/>
    </row>
    <row r="322" spans="1:54" x14ac:dyDescent="0.25">
      <c r="A322" s="208" t="str">
        <f t="shared" si="4"/>
        <v>Goodwill</v>
      </c>
      <c r="B322" s="201" t="s">
        <v>91</v>
      </c>
      <c r="C322" s="201" t="s">
        <v>6572</v>
      </c>
      <c r="D322" s="201" t="s">
        <v>6573</v>
      </c>
      <c r="E322" s="201" t="s">
        <v>6574</v>
      </c>
      <c r="F322" s="201" t="s">
        <v>91</v>
      </c>
      <c r="G322" s="201" t="s">
        <v>6575</v>
      </c>
      <c r="H322" s="201" t="s">
        <v>6576</v>
      </c>
      <c r="I322" s="201" t="s">
        <v>6577</v>
      </c>
      <c r="J322" s="201" t="s">
        <v>6578</v>
      </c>
      <c r="K322" s="201" t="s">
        <v>6579</v>
      </c>
      <c r="BB322"/>
    </row>
    <row r="323" spans="1:54" x14ac:dyDescent="0.25">
      <c r="A323" s="208" t="str">
        <f t="shared" si="4"/>
        <v>Other Intangibles</v>
      </c>
      <c r="B323" s="201" t="s">
        <v>131</v>
      </c>
      <c r="C323" s="201" t="s">
        <v>6580</v>
      </c>
      <c r="D323" s="201" t="s">
        <v>6581</v>
      </c>
      <c r="E323" s="201" t="s">
        <v>6582</v>
      </c>
      <c r="F323" s="201" t="s">
        <v>6583</v>
      </c>
      <c r="G323" s="201" t="s">
        <v>6584</v>
      </c>
      <c r="H323" s="201" t="s">
        <v>6585</v>
      </c>
      <c r="I323" s="201" t="s">
        <v>6586</v>
      </c>
      <c r="J323" s="201" t="s">
        <v>6587</v>
      </c>
      <c r="K323" s="201" t="s">
        <v>6588</v>
      </c>
      <c r="BB323"/>
    </row>
    <row r="324" spans="1:54" x14ac:dyDescent="0.25">
      <c r="A324" s="208" t="str">
        <f t="shared" si="4"/>
        <v>Finance Div. Loans and Leases, LT</v>
      </c>
      <c r="B324" s="201" t="s">
        <v>213</v>
      </c>
      <c r="C324" s="229" t="s">
        <v>5466</v>
      </c>
      <c r="D324" s="229" t="s">
        <v>5467</v>
      </c>
      <c r="E324" s="229" t="s">
        <v>5468</v>
      </c>
      <c r="F324" s="229" t="s">
        <v>5490</v>
      </c>
      <c r="G324" s="229" t="s">
        <v>5491</v>
      </c>
      <c r="H324" s="230" t="s">
        <v>5478</v>
      </c>
      <c r="I324" s="229" t="s">
        <v>5479</v>
      </c>
      <c r="J324" s="229" t="s">
        <v>5480</v>
      </c>
      <c r="K324" s="229" t="s">
        <v>5497</v>
      </c>
      <c r="BB324"/>
    </row>
    <row r="325" spans="1:54" x14ac:dyDescent="0.25">
      <c r="A325" s="208" t="str">
        <f t="shared" si="4"/>
        <v>Finance Div. Other LT Assets</v>
      </c>
      <c r="B325" s="201" t="s">
        <v>214</v>
      </c>
      <c r="C325" s="229" t="s">
        <v>5469</v>
      </c>
      <c r="D325" s="229" t="s">
        <v>5470</v>
      </c>
      <c r="E325" s="229" t="s">
        <v>5471</v>
      </c>
      <c r="F325" s="229" t="s">
        <v>5492</v>
      </c>
      <c r="G325" s="229" t="s">
        <v>5493</v>
      </c>
      <c r="H325" s="230" t="s">
        <v>5481</v>
      </c>
      <c r="I325" s="229" t="s">
        <v>5482</v>
      </c>
      <c r="J325" s="229" t="s">
        <v>5483</v>
      </c>
      <c r="K325" s="229" t="s">
        <v>5498</v>
      </c>
      <c r="BB325"/>
    </row>
    <row r="326" spans="1:54" x14ac:dyDescent="0.25">
      <c r="A326" s="208" t="str">
        <f t="shared" si="4"/>
        <v>Accounts Receivable Long-Term</v>
      </c>
      <c r="B326" s="201" t="s">
        <v>215</v>
      </c>
      <c r="C326" s="229" t="s">
        <v>5472</v>
      </c>
      <c r="D326" s="229" t="s">
        <v>5473</v>
      </c>
      <c r="E326" s="229" t="s">
        <v>5474</v>
      </c>
      <c r="F326" s="229" t="s">
        <v>5494</v>
      </c>
      <c r="G326" s="229" t="s">
        <v>5495</v>
      </c>
      <c r="H326" s="230" t="s">
        <v>5484</v>
      </c>
      <c r="I326" s="229" t="s">
        <v>5485</v>
      </c>
      <c r="J326" s="229" t="s">
        <v>5486</v>
      </c>
      <c r="K326" s="229" t="s">
        <v>5499</v>
      </c>
      <c r="BB326"/>
    </row>
    <row r="327" spans="1:54" x14ac:dyDescent="0.25">
      <c r="A327" s="208" t="str">
        <f t="shared" si="4"/>
        <v>Loans Receivable Long-Term</v>
      </c>
      <c r="B327" s="201" t="s">
        <v>168</v>
      </c>
      <c r="C327" s="229" t="s">
        <v>5475</v>
      </c>
      <c r="D327" s="229" t="s">
        <v>5476</v>
      </c>
      <c r="E327" s="229" t="s">
        <v>5477</v>
      </c>
      <c r="F327" s="229" t="s">
        <v>5496</v>
      </c>
      <c r="G327" s="229" t="s">
        <v>5495</v>
      </c>
      <c r="H327" s="230" t="s">
        <v>5487</v>
      </c>
      <c r="I327" s="229" t="s">
        <v>5488</v>
      </c>
      <c r="J327" s="229" t="s">
        <v>5489</v>
      </c>
      <c r="K327" s="229" t="s">
        <v>5500</v>
      </c>
      <c r="BB327"/>
    </row>
    <row r="328" spans="1:54" x14ac:dyDescent="0.25">
      <c r="A328" s="208" t="str">
        <f t="shared" si="4"/>
        <v>Deferred Tax Assets, LT</v>
      </c>
      <c r="B328" s="201" t="s">
        <v>169</v>
      </c>
      <c r="C328" s="201" t="s">
        <v>6589</v>
      </c>
      <c r="D328" s="201" t="s">
        <v>6590</v>
      </c>
      <c r="E328" s="201" t="s">
        <v>6591</v>
      </c>
      <c r="F328" s="201" t="s">
        <v>6592</v>
      </c>
      <c r="G328" s="201" t="s">
        <v>6593</v>
      </c>
      <c r="H328" s="201" t="s">
        <v>6594</v>
      </c>
      <c r="I328" s="201" t="s">
        <v>6595</v>
      </c>
      <c r="J328" s="201" t="s">
        <v>6596</v>
      </c>
      <c r="K328" s="201" t="s">
        <v>6597</v>
      </c>
      <c r="BB328"/>
    </row>
    <row r="329" spans="1:54" x14ac:dyDescent="0.25">
      <c r="A329" s="208" t="str">
        <f t="shared" ref="A329:A392" si="5">INDEX($B329:$CV329,$A$4)</f>
        <v>Deferred Charges, LT</v>
      </c>
      <c r="B329" s="201" t="s">
        <v>216</v>
      </c>
      <c r="C329" s="201" t="s">
        <v>6598</v>
      </c>
      <c r="D329" s="201" t="s">
        <v>6599</v>
      </c>
      <c r="E329" s="201" t="s">
        <v>6600</v>
      </c>
      <c r="F329" s="201" t="s">
        <v>6601</v>
      </c>
      <c r="G329" s="201" t="s">
        <v>6602</v>
      </c>
      <c r="H329" s="201" t="s">
        <v>6603</v>
      </c>
      <c r="I329" s="201" t="s">
        <v>6604</v>
      </c>
      <c r="J329" s="201" t="s">
        <v>6605</v>
      </c>
      <c r="K329" s="201" t="s">
        <v>6606</v>
      </c>
      <c r="BB329"/>
    </row>
    <row r="330" spans="1:54" x14ac:dyDescent="0.25">
      <c r="A330" s="208" t="str">
        <f t="shared" si="5"/>
        <v>Other Long-Term Assets</v>
      </c>
      <c r="B330" s="201" t="s">
        <v>170</v>
      </c>
      <c r="C330" t="s">
        <v>6607</v>
      </c>
      <c r="D330" t="s">
        <v>6608</v>
      </c>
      <c r="E330" t="s">
        <v>6609</v>
      </c>
      <c r="F330" t="s">
        <v>6610</v>
      </c>
      <c r="G330" t="s">
        <v>6611</v>
      </c>
      <c r="H330" t="s">
        <v>6612</v>
      </c>
      <c r="I330" t="s">
        <v>6613</v>
      </c>
      <c r="J330" t="s">
        <v>6614</v>
      </c>
      <c r="K330" t="s">
        <v>6615</v>
      </c>
      <c r="BB330"/>
    </row>
    <row r="331" spans="1:54" x14ac:dyDescent="0.25">
      <c r="A331" s="208" t="str">
        <f t="shared" si="5"/>
        <v>Total Assets</v>
      </c>
      <c r="B331" s="201" t="s">
        <v>365</v>
      </c>
      <c r="C331" s="198" t="s">
        <v>8253</v>
      </c>
      <c r="D331" s="198" t="s">
        <v>8254</v>
      </c>
      <c r="E331" s="198" t="s">
        <v>6316</v>
      </c>
      <c r="F331" t="s">
        <v>6317</v>
      </c>
      <c r="G331" t="s">
        <v>6318</v>
      </c>
      <c r="H331" t="s">
        <v>6319</v>
      </c>
      <c r="I331" t="s">
        <v>6320</v>
      </c>
      <c r="J331" t="s">
        <v>6321</v>
      </c>
      <c r="K331" t="s">
        <v>6322</v>
      </c>
      <c r="BB331"/>
    </row>
    <row r="332" spans="1:54" x14ac:dyDescent="0.25">
      <c r="A332" s="208" t="str">
        <f t="shared" si="5"/>
        <v>LIABILITIES</v>
      </c>
      <c r="B332" s="201" t="s">
        <v>80</v>
      </c>
      <c r="C332" s="201" t="s">
        <v>6616</v>
      </c>
      <c r="D332" s="201" t="s">
        <v>6617</v>
      </c>
      <c r="E332" s="201" t="s">
        <v>6618</v>
      </c>
      <c r="F332" s="201" t="s">
        <v>6619</v>
      </c>
      <c r="G332" s="201" t="s">
        <v>6620</v>
      </c>
      <c r="H332" s="201" t="s">
        <v>6617</v>
      </c>
      <c r="I332" s="201" t="s">
        <v>6621</v>
      </c>
      <c r="J332" s="201" t="s">
        <v>6622</v>
      </c>
      <c r="K332" s="201" t="s">
        <v>6623</v>
      </c>
      <c r="BB332"/>
    </row>
    <row r="333" spans="1:54" x14ac:dyDescent="0.25">
      <c r="A333" s="208" t="str">
        <f t="shared" si="5"/>
        <v>Accounts Payable</v>
      </c>
      <c r="B333" s="201" t="s">
        <v>85</v>
      </c>
      <c r="C333" t="s">
        <v>6323</v>
      </c>
      <c r="D333" t="s">
        <v>6324</v>
      </c>
      <c r="E333" t="s">
        <v>6325</v>
      </c>
      <c r="F333" t="s">
        <v>6326</v>
      </c>
      <c r="G333" t="s">
        <v>6327</v>
      </c>
      <c r="H333" t="s">
        <v>6328</v>
      </c>
      <c r="I333" t="s">
        <v>6329</v>
      </c>
      <c r="J333" t="s">
        <v>6330</v>
      </c>
      <c r="K333" t="s">
        <v>6331</v>
      </c>
      <c r="BB333"/>
    </row>
    <row r="334" spans="1:54" x14ac:dyDescent="0.25">
      <c r="A334" s="208" t="str">
        <f t="shared" si="5"/>
        <v>Accrued Exp.</v>
      </c>
      <c r="B334" s="201" t="s">
        <v>132</v>
      </c>
      <c r="C334" s="201" t="s">
        <v>6624</v>
      </c>
      <c r="D334" s="201" t="s">
        <v>6625</v>
      </c>
      <c r="E334" s="201" t="s">
        <v>6626</v>
      </c>
      <c r="F334" s="201" t="s">
        <v>6627</v>
      </c>
      <c r="G334" s="201" t="s">
        <v>6628</v>
      </c>
      <c r="H334" s="201" t="s">
        <v>6629</v>
      </c>
      <c r="I334" s="201" t="s">
        <v>6630</v>
      </c>
      <c r="J334" s="201" t="s">
        <v>6631</v>
      </c>
      <c r="K334" s="201" t="s">
        <v>6632</v>
      </c>
      <c r="BB334"/>
    </row>
    <row r="335" spans="1:54" x14ac:dyDescent="0.25">
      <c r="A335" s="208" t="str">
        <f t="shared" si="5"/>
        <v>Short-term Borrowings</v>
      </c>
      <c r="B335" s="201" t="s">
        <v>217</v>
      </c>
      <c r="C335" s="201" t="s">
        <v>6633</v>
      </c>
      <c r="D335" s="201" t="s">
        <v>6634</v>
      </c>
      <c r="E335" s="201" t="s">
        <v>6635</v>
      </c>
      <c r="F335" s="201" t="s">
        <v>6636</v>
      </c>
      <c r="G335" s="201" t="s">
        <v>6637</v>
      </c>
      <c r="H335" s="201" t="s">
        <v>6638</v>
      </c>
      <c r="I335" s="201" t="s">
        <v>6639</v>
      </c>
      <c r="J335" s="201" t="s">
        <v>6640</v>
      </c>
      <c r="K335" s="201" t="s">
        <v>6641</v>
      </c>
      <c r="BB335"/>
    </row>
    <row r="336" spans="1:54" x14ac:dyDescent="0.25">
      <c r="A336" s="208" t="str">
        <f t="shared" si="5"/>
        <v>Current Portion of Long Term Debt</v>
      </c>
      <c r="B336" s="201" t="s">
        <v>218</v>
      </c>
      <c r="C336" t="s">
        <v>6332</v>
      </c>
      <c r="D336" t="s">
        <v>6333</v>
      </c>
      <c r="E336" t="s">
        <v>6334</v>
      </c>
      <c r="F336" t="s">
        <v>6335</v>
      </c>
      <c r="G336" t="s">
        <v>6336</v>
      </c>
      <c r="H336" t="s">
        <v>6337</v>
      </c>
      <c r="I336" t="s">
        <v>6338</v>
      </c>
      <c r="J336" t="s">
        <v>6339</v>
      </c>
      <c r="K336" t="s">
        <v>6340</v>
      </c>
      <c r="BB336"/>
    </row>
    <row r="337" spans="1:54" x14ac:dyDescent="0.25">
      <c r="A337" s="208" t="str">
        <f t="shared" si="5"/>
        <v>Current Portion of Leases</v>
      </c>
      <c r="B337" s="201" t="s">
        <v>802</v>
      </c>
      <c r="C337" s="229" t="s">
        <v>5501</v>
      </c>
      <c r="D337" s="229" t="s">
        <v>5502</v>
      </c>
      <c r="E337" s="229" t="s">
        <v>5503</v>
      </c>
      <c r="F337" s="229" t="s">
        <v>5519</v>
      </c>
      <c r="G337" s="229" t="s">
        <v>5520</v>
      </c>
      <c r="H337" s="230" t="s">
        <v>5510</v>
      </c>
      <c r="I337" s="229" t="s">
        <v>5511</v>
      </c>
      <c r="J337" s="229" t="s">
        <v>5512</v>
      </c>
      <c r="K337" s="229" t="s">
        <v>5525</v>
      </c>
      <c r="BB337"/>
    </row>
    <row r="338" spans="1:54" x14ac:dyDescent="0.25">
      <c r="A338" s="208" t="str">
        <f t="shared" si="5"/>
        <v>Finance Div. Debt Current</v>
      </c>
      <c r="B338" s="201" t="s">
        <v>219</v>
      </c>
      <c r="C338" s="229" t="s">
        <v>5504</v>
      </c>
      <c r="D338" s="229" t="s">
        <v>5505</v>
      </c>
      <c r="E338" s="229" t="s">
        <v>5506</v>
      </c>
      <c r="F338" s="229" t="s">
        <v>5521</v>
      </c>
      <c r="G338" s="229" t="s">
        <v>5522</v>
      </c>
      <c r="H338" s="230" t="s">
        <v>5513</v>
      </c>
      <c r="I338" s="229" t="s">
        <v>5514</v>
      </c>
      <c r="J338" s="229" t="s">
        <v>5515</v>
      </c>
      <c r="K338" s="229" t="s">
        <v>5526</v>
      </c>
      <c r="BB338"/>
    </row>
    <row r="339" spans="1:54" x14ac:dyDescent="0.25">
      <c r="A339" s="208" t="str">
        <f t="shared" si="5"/>
        <v>Finance Div. Other Curr. Liab.</v>
      </c>
      <c r="B339" s="201" t="s">
        <v>220</v>
      </c>
      <c r="C339" s="229" t="s">
        <v>5507</v>
      </c>
      <c r="D339" s="229" t="s">
        <v>5508</v>
      </c>
      <c r="E339" s="229" t="s">
        <v>5509</v>
      </c>
      <c r="F339" s="229" t="s">
        <v>5523</v>
      </c>
      <c r="G339" s="229" t="s">
        <v>5524</v>
      </c>
      <c r="H339" s="230" t="s">
        <v>5516</v>
      </c>
      <c r="I339" s="229" t="s">
        <v>5517</v>
      </c>
      <c r="J339" s="229" t="s">
        <v>5518</v>
      </c>
      <c r="K339" s="229" t="s">
        <v>5527</v>
      </c>
      <c r="BB339"/>
    </row>
    <row r="340" spans="1:54" x14ac:dyDescent="0.25">
      <c r="A340" s="208" t="str">
        <f t="shared" si="5"/>
        <v>Curr. Income Taxes Payable</v>
      </c>
      <c r="B340" s="201" t="s">
        <v>221</v>
      </c>
      <c r="C340" t="s">
        <v>6642</v>
      </c>
      <c r="D340" t="s">
        <v>6643</v>
      </c>
      <c r="E340" s="201" t="s">
        <v>6644</v>
      </c>
      <c r="F340" s="201" t="s">
        <v>6645</v>
      </c>
      <c r="G340" s="201" t="s">
        <v>6646</v>
      </c>
      <c r="H340" s="201" t="s">
        <v>6647</v>
      </c>
      <c r="I340" s="201" t="s">
        <v>6648</v>
      </c>
      <c r="J340" s="201" t="s">
        <v>6649</v>
      </c>
      <c r="K340" s="201" t="s">
        <v>6650</v>
      </c>
      <c r="BB340"/>
    </row>
    <row r="341" spans="1:54" x14ac:dyDescent="0.25">
      <c r="A341" s="208" t="str">
        <f t="shared" si="5"/>
        <v>Unearned Revenue, Current</v>
      </c>
      <c r="B341" s="201" t="s">
        <v>171</v>
      </c>
      <c r="C341" s="201" t="s">
        <v>6651</v>
      </c>
      <c r="D341" t="s">
        <v>6652</v>
      </c>
      <c r="E341" s="201" t="s">
        <v>6653</v>
      </c>
      <c r="F341" s="201" t="s">
        <v>6654</v>
      </c>
      <c r="G341" s="201" t="s">
        <v>6655</v>
      </c>
      <c r="H341" s="201" t="s">
        <v>6656</v>
      </c>
      <c r="I341" s="201" t="s">
        <v>6657</v>
      </c>
      <c r="J341" s="201" t="s">
        <v>6658</v>
      </c>
      <c r="K341" s="201" t="s">
        <v>6659</v>
      </c>
      <c r="BB341"/>
    </row>
    <row r="342" spans="1:54" x14ac:dyDescent="0.25">
      <c r="A342" s="208" t="str">
        <f t="shared" si="5"/>
        <v>Def. Tax Liability, Curr.</v>
      </c>
      <c r="B342" s="201" t="s">
        <v>222</v>
      </c>
      <c r="C342" s="229" t="s">
        <v>5528</v>
      </c>
      <c r="D342" s="229" t="s">
        <v>5529</v>
      </c>
      <c r="E342" s="229" t="s">
        <v>5530</v>
      </c>
      <c r="F342" s="229" t="s">
        <v>5534</v>
      </c>
      <c r="G342" s="229" t="s">
        <v>5535</v>
      </c>
      <c r="H342" s="230" t="s">
        <v>5531</v>
      </c>
      <c r="I342" s="229" t="s">
        <v>5532</v>
      </c>
      <c r="J342" s="229" t="s">
        <v>5533</v>
      </c>
      <c r="K342" s="229" t="s">
        <v>5536</v>
      </c>
      <c r="BB342"/>
    </row>
    <row r="343" spans="1:54" x14ac:dyDescent="0.25">
      <c r="A343" s="208" t="str">
        <f t="shared" si="5"/>
        <v>Other Current Liabilities</v>
      </c>
      <c r="B343" s="201" t="s">
        <v>172</v>
      </c>
      <c r="C343" s="201" t="s">
        <v>6341</v>
      </c>
      <c r="D343" t="s">
        <v>6342</v>
      </c>
      <c r="E343" t="s">
        <v>6343</v>
      </c>
      <c r="F343" t="s">
        <v>6344</v>
      </c>
      <c r="G343" t="s">
        <v>6345</v>
      </c>
      <c r="H343" t="s">
        <v>6346</v>
      </c>
      <c r="I343" t="s">
        <v>6347</v>
      </c>
      <c r="J343" t="s">
        <v>6348</v>
      </c>
      <c r="K343" t="s">
        <v>6349</v>
      </c>
      <c r="BB343"/>
    </row>
    <row r="344" spans="1:54" x14ac:dyDescent="0.25">
      <c r="A344" s="208" t="str">
        <f t="shared" si="5"/>
        <v>Total Current Liabilities</v>
      </c>
      <c r="B344" s="201" t="s">
        <v>133</v>
      </c>
      <c r="C344" t="s">
        <v>6350</v>
      </c>
      <c r="D344" t="s">
        <v>6351</v>
      </c>
      <c r="E344" t="s">
        <v>6352</v>
      </c>
      <c r="F344" t="s">
        <v>6353</v>
      </c>
      <c r="G344" t="s">
        <v>6354</v>
      </c>
      <c r="H344" t="s">
        <v>6355</v>
      </c>
      <c r="I344" t="s">
        <v>6356</v>
      </c>
      <c r="J344" t="s">
        <v>6357</v>
      </c>
      <c r="K344" t="s">
        <v>6358</v>
      </c>
      <c r="BB344"/>
    </row>
    <row r="345" spans="1:54" x14ac:dyDescent="0.25">
      <c r="A345" s="208" t="str">
        <f t="shared" si="5"/>
        <v>Long-Term Debt</v>
      </c>
      <c r="B345" s="201" t="s">
        <v>223</v>
      </c>
      <c r="C345" s="201" t="s">
        <v>6359</v>
      </c>
      <c r="D345" t="s">
        <v>6360</v>
      </c>
      <c r="E345" t="s">
        <v>6361</v>
      </c>
      <c r="F345" t="s">
        <v>6362</v>
      </c>
      <c r="G345" t="s">
        <v>6363</v>
      </c>
      <c r="H345" t="s">
        <v>6364</v>
      </c>
      <c r="I345" t="s">
        <v>6365</v>
      </c>
      <c r="J345" t="s">
        <v>6366</v>
      </c>
      <c r="K345" t="s">
        <v>2855</v>
      </c>
      <c r="BB345"/>
    </row>
    <row r="346" spans="1:54" x14ac:dyDescent="0.25">
      <c r="A346" s="208" t="str">
        <f t="shared" si="5"/>
        <v>Long-Term Leases</v>
      </c>
      <c r="B346" s="201" t="s">
        <v>803</v>
      </c>
      <c r="C346" t="s">
        <v>6367</v>
      </c>
      <c r="D346" t="s">
        <v>6368</v>
      </c>
      <c r="E346" t="s">
        <v>6369</v>
      </c>
      <c r="F346" t="s">
        <v>6370</v>
      </c>
      <c r="G346" t="s">
        <v>6371</v>
      </c>
      <c r="H346" t="s">
        <v>6372</v>
      </c>
      <c r="I346" t="s">
        <v>6373</v>
      </c>
      <c r="J346" t="s">
        <v>6374</v>
      </c>
      <c r="K346" t="s">
        <v>6375</v>
      </c>
      <c r="BB346"/>
    </row>
    <row r="347" spans="1:54" x14ac:dyDescent="0.25">
      <c r="A347" s="208" t="str">
        <f t="shared" si="5"/>
        <v>Finance Div. Debt Non-Curr.</v>
      </c>
      <c r="B347" s="201" t="s">
        <v>225</v>
      </c>
      <c r="C347" s="229" t="s">
        <v>5537</v>
      </c>
      <c r="D347" s="229" t="s">
        <v>5538</v>
      </c>
      <c r="E347" s="229" t="s">
        <v>5539</v>
      </c>
      <c r="F347" s="229" t="s">
        <v>5555</v>
      </c>
      <c r="G347" s="229" t="s">
        <v>5556</v>
      </c>
      <c r="H347" s="230" t="s">
        <v>5546</v>
      </c>
      <c r="I347" s="229" t="s">
        <v>5547</v>
      </c>
      <c r="J347" s="229" t="s">
        <v>5548</v>
      </c>
      <c r="K347" s="229" t="s">
        <v>5561</v>
      </c>
      <c r="BB347"/>
    </row>
    <row r="348" spans="1:54" x14ac:dyDescent="0.25">
      <c r="A348" s="208" t="str">
        <f t="shared" si="5"/>
        <v>Finance Div. Other Non-Curr. Liab.</v>
      </c>
      <c r="B348" s="201" t="s">
        <v>226</v>
      </c>
      <c r="C348" s="229" t="s">
        <v>5540</v>
      </c>
      <c r="D348" s="229" t="s">
        <v>5541</v>
      </c>
      <c r="E348" s="229" t="s">
        <v>5542</v>
      </c>
      <c r="F348" s="229" t="s">
        <v>5557</v>
      </c>
      <c r="G348" s="229" t="s">
        <v>5558</v>
      </c>
      <c r="H348" s="230" t="s">
        <v>5549</v>
      </c>
      <c r="I348" s="229" t="s">
        <v>5550</v>
      </c>
      <c r="J348" s="229" t="s">
        <v>5551</v>
      </c>
      <c r="K348" s="229" t="s">
        <v>5562</v>
      </c>
      <c r="BB348"/>
    </row>
    <row r="349" spans="1:54" x14ac:dyDescent="0.25">
      <c r="A349" s="208" t="str">
        <f t="shared" si="5"/>
        <v>Unearned Revenue, Non-Current</v>
      </c>
      <c r="B349" s="201" t="s">
        <v>227</v>
      </c>
      <c r="C349" s="229" t="s">
        <v>5543</v>
      </c>
      <c r="D349" s="229" t="s">
        <v>5544</v>
      </c>
      <c r="E349" s="229" t="s">
        <v>5545</v>
      </c>
      <c r="F349" s="229" t="s">
        <v>5559</v>
      </c>
      <c r="G349" s="229" t="s">
        <v>5560</v>
      </c>
      <c r="H349" s="230" t="s">
        <v>5552</v>
      </c>
      <c r="I349" s="229" t="s">
        <v>5553</v>
      </c>
      <c r="J349" s="229" t="s">
        <v>5554</v>
      </c>
      <c r="K349" s="229" t="s">
        <v>5563</v>
      </c>
      <c r="BB349"/>
    </row>
    <row r="350" spans="1:54" x14ac:dyDescent="0.25">
      <c r="A350" s="208" t="str">
        <f t="shared" si="5"/>
        <v>Pension &amp; Other Post-Retire. Benefits</v>
      </c>
      <c r="B350" s="201" t="s">
        <v>228</v>
      </c>
      <c r="C350" s="201" t="s">
        <v>6660</v>
      </c>
      <c r="D350" s="201" t="s">
        <v>6661</v>
      </c>
      <c r="E350" s="201" t="s">
        <v>6662</v>
      </c>
      <c r="F350" s="201" t="s">
        <v>6663</v>
      </c>
      <c r="G350" s="201" t="s">
        <v>6664</v>
      </c>
      <c r="H350" s="201" t="s">
        <v>6665</v>
      </c>
      <c r="I350" s="201" t="s">
        <v>6666</v>
      </c>
      <c r="J350" s="201" t="s">
        <v>6667</v>
      </c>
      <c r="K350" s="201" t="s">
        <v>6668</v>
      </c>
      <c r="BB350"/>
    </row>
    <row r="351" spans="1:54" x14ac:dyDescent="0.25">
      <c r="A351" s="208" t="str">
        <f t="shared" si="5"/>
        <v>Def. Tax Liability, Non-Curr.</v>
      </c>
      <c r="B351" s="201" t="s">
        <v>173</v>
      </c>
      <c r="C351" s="201" t="s">
        <v>6669</v>
      </c>
      <c r="D351" s="201" t="s">
        <v>6670</v>
      </c>
      <c r="E351" s="201" t="s">
        <v>6671</v>
      </c>
      <c r="F351" s="201" t="s">
        <v>6672</v>
      </c>
      <c r="G351" s="201" t="s">
        <v>6673</v>
      </c>
      <c r="H351" s="201" t="s">
        <v>6674</v>
      </c>
      <c r="I351" s="201" t="s">
        <v>6675</v>
      </c>
      <c r="J351" s="201" t="s">
        <v>6676</v>
      </c>
      <c r="K351" s="201" t="s">
        <v>6677</v>
      </c>
      <c r="BB351"/>
    </row>
    <row r="352" spans="1:54" x14ac:dyDescent="0.25">
      <c r="A352" s="208" t="str">
        <f t="shared" si="5"/>
        <v>Other Non-Current Liabilities</v>
      </c>
      <c r="B352" s="201" t="s">
        <v>174</v>
      </c>
      <c r="C352" t="s">
        <v>6376</v>
      </c>
      <c r="D352" t="s">
        <v>6377</v>
      </c>
      <c r="E352" t="s">
        <v>6378</v>
      </c>
      <c r="F352" t="s">
        <v>6379</v>
      </c>
      <c r="G352" t="s">
        <v>6380</v>
      </c>
      <c r="H352" t="s">
        <v>6381</v>
      </c>
      <c r="I352" t="s">
        <v>6382</v>
      </c>
      <c r="J352" t="s">
        <v>6383</v>
      </c>
      <c r="K352" t="s">
        <v>6384</v>
      </c>
      <c r="BB352"/>
    </row>
    <row r="353" spans="1:54" x14ac:dyDescent="0.25">
      <c r="A353" s="208" t="str">
        <f t="shared" si="5"/>
        <v>Total Liabilities</v>
      </c>
      <c r="B353" s="244" t="s">
        <v>8283</v>
      </c>
      <c r="C353" t="s">
        <v>6385</v>
      </c>
      <c r="D353" t="s">
        <v>6386</v>
      </c>
      <c r="E353" t="s">
        <v>6387</v>
      </c>
      <c r="F353" t="s">
        <v>6388</v>
      </c>
      <c r="G353" t="s">
        <v>6389</v>
      </c>
      <c r="H353" t="s">
        <v>6390</v>
      </c>
      <c r="I353" t="s">
        <v>6391</v>
      </c>
      <c r="J353" t="s">
        <v>6392</v>
      </c>
      <c r="K353" t="s">
        <v>6393</v>
      </c>
      <c r="BB353"/>
    </row>
    <row r="354" spans="1:54" x14ac:dyDescent="0.25">
      <c r="A354" s="208" t="str">
        <f t="shared" si="5"/>
        <v>EQUITY</v>
      </c>
      <c r="B354" s="201" t="s">
        <v>53</v>
      </c>
      <c r="C354" s="201" t="s">
        <v>7523</v>
      </c>
      <c r="D354" s="201" t="s">
        <v>7524</v>
      </c>
      <c r="E354" s="201" t="s">
        <v>7525</v>
      </c>
      <c r="F354" s="201" t="s">
        <v>7526</v>
      </c>
      <c r="G354" s="201" t="s">
        <v>7527</v>
      </c>
      <c r="H354" s="201" t="s">
        <v>6717</v>
      </c>
      <c r="I354" s="244" t="s">
        <v>8304</v>
      </c>
      <c r="J354" s="201" t="s">
        <v>7525</v>
      </c>
      <c r="K354" s="201" t="s">
        <v>7528</v>
      </c>
      <c r="BB354"/>
    </row>
    <row r="355" spans="1:54" x14ac:dyDescent="0.25">
      <c r="A355" s="208" t="str">
        <f t="shared" si="5"/>
        <v>Pref. Stock, Redeemable</v>
      </c>
      <c r="B355" s="201" t="s">
        <v>229</v>
      </c>
      <c r="C355" s="229" t="s">
        <v>5421</v>
      </c>
      <c r="D355" s="229" t="s">
        <v>5422</v>
      </c>
      <c r="E355" s="229" t="s">
        <v>5423</v>
      </c>
      <c r="F355" s="229" t="s">
        <v>5439</v>
      </c>
      <c r="G355" s="229" t="s">
        <v>5440</v>
      </c>
      <c r="H355" s="230" t="s">
        <v>5430</v>
      </c>
      <c r="I355" s="229" t="s">
        <v>5431</v>
      </c>
      <c r="J355" s="229" t="s">
        <v>5432</v>
      </c>
      <c r="K355" s="229" t="s">
        <v>5445</v>
      </c>
      <c r="BB355"/>
    </row>
    <row r="356" spans="1:54" x14ac:dyDescent="0.25">
      <c r="A356" s="208" t="str">
        <f t="shared" si="5"/>
        <v>Pref. Stock, Non-Redeem.</v>
      </c>
      <c r="B356" s="201" t="s">
        <v>230</v>
      </c>
      <c r="C356" s="229" t="s">
        <v>5424</v>
      </c>
      <c r="D356" s="229" t="s">
        <v>5425</v>
      </c>
      <c r="E356" s="229" t="s">
        <v>5426</v>
      </c>
      <c r="F356" s="229" t="s">
        <v>5441</v>
      </c>
      <c r="G356" s="229" t="s">
        <v>5442</v>
      </c>
      <c r="H356" s="230" t="s">
        <v>5433</v>
      </c>
      <c r="I356" s="229" t="s">
        <v>5434</v>
      </c>
      <c r="J356" s="229" t="s">
        <v>5435</v>
      </c>
      <c r="K356" s="229" t="s">
        <v>5446</v>
      </c>
      <c r="BB356"/>
    </row>
    <row r="357" spans="1:54" x14ac:dyDescent="0.25">
      <c r="A357" s="208" t="str">
        <f t="shared" si="5"/>
        <v>Pref. Stock, Convertible</v>
      </c>
      <c r="B357" s="201" t="s">
        <v>231</v>
      </c>
      <c r="C357" s="229" t="s">
        <v>5427</v>
      </c>
      <c r="D357" s="229" t="s">
        <v>5428</v>
      </c>
      <c r="E357" s="229" t="s">
        <v>5429</v>
      </c>
      <c r="F357" s="229" t="s">
        <v>5443</v>
      </c>
      <c r="G357" s="229" t="s">
        <v>5444</v>
      </c>
      <c r="H357" s="230" t="s">
        <v>5436</v>
      </c>
      <c r="I357" s="229" t="s">
        <v>5437</v>
      </c>
      <c r="J357" s="229" t="s">
        <v>5438</v>
      </c>
      <c r="K357" s="229" t="s">
        <v>5447</v>
      </c>
      <c r="BB357"/>
    </row>
    <row r="358" spans="1:54" x14ac:dyDescent="0.25">
      <c r="A358" s="208" t="str">
        <f t="shared" si="5"/>
        <v>Pref. Stock, Other</v>
      </c>
      <c r="B358" s="201" t="s">
        <v>232</v>
      </c>
      <c r="C358" s="201" t="s">
        <v>7529</v>
      </c>
      <c r="D358" s="201" t="s">
        <v>7530</v>
      </c>
      <c r="E358" s="201" t="s">
        <v>7531</v>
      </c>
      <c r="F358" s="201" t="s">
        <v>7532</v>
      </c>
      <c r="G358" s="201" t="s">
        <v>7533</v>
      </c>
      <c r="H358" s="201" t="s">
        <v>7534</v>
      </c>
      <c r="I358" s="201" t="s">
        <v>7535</v>
      </c>
      <c r="J358" s="201" t="s">
        <v>7536</v>
      </c>
      <c r="K358" s="201" t="s">
        <v>7537</v>
      </c>
      <c r="BB358"/>
    </row>
    <row r="359" spans="1:54" x14ac:dyDescent="0.25">
      <c r="A359" s="208" t="str">
        <f t="shared" si="5"/>
        <v>Total Pref. Equity</v>
      </c>
      <c r="B359" s="244" t="s">
        <v>8284</v>
      </c>
      <c r="C359" s="198" t="s">
        <v>8285</v>
      </c>
      <c r="D359" s="198" t="s">
        <v>8286</v>
      </c>
      <c r="E359" s="198" t="s">
        <v>8287</v>
      </c>
      <c r="F359" s="198" t="s">
        <v>8288</v>
      </c>
      <c r="G359" s="198" t="s">
        <v>8289</v>
      </c>
      <c r="H359" s="198" t="s">
        <v>8290</v>
      </c>
      <c r="I359" s="198" t="s">
        <v>8291</v>
      </c>
      <c r="J359" s="198" t="s">
        <v>8292</v>
      </c>
      <c r="K359" s="198" t="s">
        <v>8293</v>
      </c>
      <c r="BB359"/>
    </row>
    <row r="360" spans="1:54" x14ac:dyDescent="0.25">
      <c r="A360" s="208" t="str">
        <f t="shared" si="5"/>
        <v>Common Stock</v>
      </c>
      <c r="B360" s="201" t="s">
        <v>82</v>
      </c>
      <c r="C360" s="201" t="s">
        <v>6678</v>
      </c>
      <c r="D360" s="201" t="s">
        <v>6678</v>
      </c>
      <c r="E360" s="201" t="s">
        <v>6679</v>
      </c>
      <c r="F360" s="201" t="s">
        <v>6680</v>
      </c>
      <c r="G360" s="201" t="s">
        <v>6681</v>
      </c>
      <c r="H360" s="201" t="s">
        <v>6682</v>
      </c>
      <c r="I360" s="201" t="s">
        <v>6683</v>
      </c>
      <c r="J360" s="201" t="s">
        <v>6684</v>
      </c>
      <c r="K360" s="201" t="s">
        <v>6685</v>
      </c>
      <c r="BB360"/>
    </row>
    <row r="361" spans="1:54" x14ac:dyDescent="0.25">
      <c r="A361" s="208" t="str">
        <f t="shared" si="5"/>
        <v>Additional Paid In Capital</v>
      </c>
      <c r="B361" s="201" t="s">
        <v>175</v>
      </c>
      <c r="C361" s="201" t="s">
        <v>6686</v>
      </c>
      <c r="D361" s="201" t="s">
        <v>6687</v>
      </c>
      <c r="E361" s="201" t="s">
        <v>6688</v>
      </c>
      <c r="F361" s="201" t="s">
        <v>6689</v>
      </c>
      <c r="G361" s="201" t="s">
        <v>6690</v>
      </c>
      <c r="H361" s="201" t="s">
        <v>6691</v>
      </c>
      <c r="I361" s="201" t="s">
        <v>6692</v>
      </c>
      <c r="J361" s="201" t="s">
        <v>6693</v>
      </c>
      <c r="K361" s="201" t="s">
        <v>6694</v>
      </c>
      <c r="BB361"/>
    </row>
    <row r="362" spans="1:54" x14ac:dyDescent="0.25">
      <c r="A362" s="208" t="str">
        <f t="shared" si="5"/>
        <v>Retained Earnings</v>
      </c>
      <c r="B362" s="201" t="s">
        <v>134</v>
      </c>
      <c r="C362" s="201" t="s">
        <v>6695</v>
      </c>
      <c r="D362" s="201" t="s">
        <v>6695</v>
      </c>
      <c r="E362" s="201" t="s">
        <v>6696</v>
      </c>
      <c r="F362" s="201" t="s">
        <v>6697</v>
      </c>
      <c r="G362" s="201" t="s">
        <v>6698</v>
      </c>
      <c r="H362" s="201" t="s">
        <v>6699</v>
      </c>
      <c r="I362" s="201" t="s">
        <v>6700</v>
      </c>
      <c r="J362" s="201" t="s">
        <v>6701</v>
      </c>
      <c r="K362" s="201" t="s">
        <v>6702</v>
      </c>
      <c r="BB362"/>
    </row>
    <row r="363" spans="1:54" x14ac:dyDescent="0.25">
      <c r="A363" s="208" t="str">
        <f t="shared" si="5"/>
        <v>Treasury Stock</v>
      </c>
      <c r="B363" s="201" t="s">
        <v>89</v>
      </c>
      <c r="C363" s="201" t="s">
        <v>7538</v>
      </c>
      <c r="D363" s="201" t="s">
        <v>7539</v>
      </c>
      <c r="E363" s="201" t="s">
        <v>7540</v>
      </c>
      <c r="F363" s="201" t="s">
        <v>7544</v>
      </c>
      <c r="G363" s="201" t="s">
        <v>7545</v>
      </c>
      <c r="H363" s="201" t="s">
        <v>7541</v>
      </c>
      <c r="I363" s="201" t="s">
        <v>7542</v>
      </c>
      <c r="J363" s="201" t="s">
        <v>7543</v>
      </c>
      <c r="K363" s="201" t="s">
        <v>7546</v>
      </c>
      <c r="BB363"/>
    </row>
    <row r="364" spans="1:54" x14ac:dyDescent="0.25">
      <c r="A364" s="208" t="str">
        <f t="shared" si="5"/>
        <v>Comprehensive Inc. and Other</v>
      </c>
      <c r="B364" s="201" t="s">
        <v>176</v>
      </c>
      <c r="C364" s="201" t="s">
        <v>6703</v>
      </c>
      <c r="D364" s="201" t="s">
        <v>6704</v>
      </c>
      <c r="E364" s="201" t="s">
        <v>6705</v>
      </c>
      <c r="F364" s="201" t="s">
        <v>6706</v>
      </c>
      <c r="G364" s="201" t="s">
        <v>6707</v>
      </c>
      <c r="H364" s="201" t="s">
        <v>6708</v>
      </c>
      <c r="I364" s="201" t="s">
        <v>6709</v>
      </c>
      <c r="J364" s="201" t="s">
        <v>6710</v>
      </c>
      <c r="K364" s="201" t="s">
        <v>6711</v>
      </c>
      <c r="BB364"/>
    </row>
    <row r="365" spans="1:54" x14ac:dyDescent="0.25">
      <c r="A365" s="208" t="str">
        <f t="shared" si="5"/>
        <v>Total Common Equity</v>
      </c>
      <c r="B365" s="201" t="s">
        <v>135</v>
      </c>
      <c r="C365" t="s">
        <v>6712</v>
      </c>
      <c r="D365" t="s">
        <v>6713</v>
      </c>
      <c r="E365" t="s">
        <v>6714</v>
      </c>
      <c r="F365" t="s">
        <v>6715</v>
      </c>
      <c r="G365" t="s">
        <v>6716</v>
      </c>
      <c r="H365" t="s">
        <v>6717</v>
      </c>
      <c r="I365" t="s">
        <v>6718</v>
      </c>
      <c r="J365" t="s">
        <v>6719</v>
      </c>
      <c r="K365" t="s">
        <v>6720</v>
      </c>
      <c r="BB365"/>
    </row>
    <row r="366" spans="1:54" x14ac:dyDescent="0.25">
      <c r="A366" s="208" t="str">
        <f t="shared" si="5"/>
        <v>Minority Interest</v>
      </c>
      <c r="B366" s="201" t="s">
        <v>224</v>
      </c>
      <c r="C366" t="s">
        <v>7547</v>
      </c>
      <c r="D366" t="s">
        <v>7548</v>
      </c>
      <c r="E366" t="s">
        <v>7549</v>
      </c>
      <c r="F366" t="s">
        <v>7550</v>
      </c>
      <c r="G366" t="s">
        <v>7551</v>
      </c>
      <c r="H366" t="s">
        <v>5415</v>
      </c>
      <c r="I366" t="s">
        <v>7552</v>
      </c>
      <c r="J366" t="s">
        <v>7553</v>
      </c>
      <c r="K366" t="s">
        <v>7554</v>
      </c>
      <c r="BB366"/>
    </row>
    <row r="367" spans="1:54" x14ac:dyDescent="0.25">
      <c r="A367" s="208" t="str">
        <f t="shared" si="5"/>
        <v>Total Equity</v>
      </c>
      <c r="B367" s="201" t="s">
        <v>81</v>
      </c>
      <c r="C367" s="198" t="s">
        <v>6721</v>
      </c>
      <c r="D367" s="198" t="s">
        <v>6722</v>
      </c>
      <c r="E367" s="198" t="s">
        <v>6723</v>
      </c>
      <c r="F367" s="198" t="s">
        <v>6724</v>
      </c>
      <c r="G367" s="198" t="s">
        <v>6725</v>
      </c>
      <c r="H367" s="198" t="s">
        <v>6726</v>
      </c>
      <c r="I367" s="198" t="s">
        <v>6727</v>
      </c>
      <c r="J367" s="198" t="s">
        <v>6728</v>
      </c>
      <c r="K367" s="198" t="s">
        <v>6729</v>
      </c>
      <c r="BB367"/>
    </row>
    <row r="368" spans="1:54" x14ac:dyDescent="0.25">
      <c r="A368" s="208" t="str">
        <f t="shared" si="5"/>
        <v>Total Liabilities And Equity</v>
      </c>
      <c r="B368" s="201" t="s">
        <v>136</v>
      </c>
      <c r="C368" t="s">
        <v>6730</v>
      </c>
      <c r="D368" t="s">
        <v>6731</v>
      </c>
      <c r="E368" t="s">
        <v>6732</v>
      </c>
      <c r="F368" t="s">
        <v>6733</v>
      </c>
      <c r="G368" t="s">
        <v>6734</v>
      </c>
      <c r="H368" t="s">
        <v>6735</v>
      </c>
      <c r="I368" t="s">
        <v>6736</v>
      </c>
      <c r="J368" t="s">
        <v>6737</v>
      </c>
      <c r="K368" t="s">
        <v>6738</v>
      </c>
      <c r="BB368"/>
    </row>
    <row r="369" spans="1:54" x14ac:dyDescent="0.25">
      <c r="A369" s="208" t="str">
        <f t="shared" si="5"/>
        <v>Right-of-Use Asset-Gross</v>
      </c>
      <c r="B369" s="201" t="s">
        <v>780</v>
      </c>
      <c r="C369" s="229" t="s">
        <v>2157</v>
      </c>
      <c r="D369" s="229" t="s">
        <v>2158</v>
      </c>
      <c r="E369" s="229" t="s">
        <v>2159</v>
      </c>
      <c r="F369" s="229" t="s">
        <v>2247</v>
      </c>
      <c r="G369" s="229" t="s">
        <v>2248</v>
      </c>
      <c r="H369" s="230" t="s">
        <v>2202</v>
      </c>
      <c r="I369" s="229" t="s">
        <v>2203</v>
      </c>
      <c r="J369" s="229" t="s">
        <v>2204</v>
      </c>
      <c r="K369" s="229" t="s">
        <v>2277</v>
      </c>
      <c r="BB369"/>
    </row>
    <row r="370" spans="1:54" x14ac:dyDescent="0.25">
      <c r="A370" s="208" t="str">
        <f t="shared" si="5"/>
        <v>Right-of-Use Asset-Accumulated Depreciation</v>
      </c>
      <c r="B370" s="201" t="s">
        <v>781</v>
      </c>
      <c r="C370" s="229" t="s">
        <v>2160</v>
      </c>
      <c r="D370" s="229" t="s">
        <v>2161</v>
      </c>
      <c r="E370" s="229" t="s">
        <v>2162</v>
      </c>
      <c r="F370" s="229" t="s">
        <v>2249</v>
      </c>
      <c r="G370" s="229" t="s">
        <v>2250</v>
      </c>
      <c r="H370" s="230" t="s">
        <v>2205</v>
      </c>
      <c r="I370" s="229" t="s">
        <v>2206</v>
      </c>
      <c r="J370" s="229" t="s">
        <v>2207</v>
      </c>
      <c r="K370" s="229" t="s">
        <v>2278</v>
      </c>
      <c r="BB370"/>
    </row>
    <row r="371" spans="1:54" x14ac:dyDescent="0.25">
      <c r="A371" s="208" t="str">
        <f t="shared" si="5"/>
        <v>Right-of-Use Asset-Net</v>
      </c>
      <c r="B371" s="201" t="s">
        <v>782</v>
      </c>
      <c r="C371" s="229" t="s">
        <v>2163</v>
      </c>
      <c r="D371" s="229" t="s">
        <v>2164</v>
      </c>
      <c r="E371" s="229" t="s">
        <v>2165</v>
      </c>
      <c r="F371" s="229" t="s">
        <v>2251</v>
      </c>
      <c r="G371" s="229" t="s">
        <v>2252</v>
      </c>
      <c r="H371" s="230" t="s">
        <v>2208</v>
      </c>
      <c r="I371" s="229" t="s">
        <v>2209</v>
      </c>
      <c r="J371" s="229" t="s">
        <v>2210</v>
      </c>
      <c r="K371" s="229" t="s">
        <v>2279</v>
      </c>
      <c r="BB371"/>
    </row>
    <row r="372" spans="1:54" x14ac:dyDescent="0.25">
      <c r="A372" s="208" t="str">
        <f t="shared" si="5"/>
        <v>Right-of-Use Asset-Capital Lease-Gross</v>
      </c>
      <c r="B372" s="201" t="s">
        <v>783</v>
      </c>
      <c r="C372" s="229" t="s">
        <v>2166</v>
      </c>
      <c r="D372" s="229" t="s">
        <v>2167</v>
      </c>
      <c r="E372" s="229" t="s">
        <v>2168</v>
      </c>
      <c r="F372" s="229" t="s">
        <v>2253</v>
      </c>
      <c r="G372" s="229" t="s">
        <v>2254</v>
      </c>
      <c r="H372" s="230" t="s">
        <v>2211</v>
      </c>
      <c r="I372" s="229" t="s">
        <v>2212</v>
      </c>
      <c r="J372" s="229" t="s">
        <v>2213</v>
      </c>
      <c r="K372" s="229" t="s">
        <v>2280</v>
      </c>
      <c r="BB372"/>
    </row>
    <row r="373" spans="1:54" x14ac:dyDescent="0.25">
      <c r="A373" s="208" t="str">
        <f t="shared" si="5"/>
        <v>Right-of-Use Asset-Capital Lease-Accumulated Depreciation</v>
      </c>
      <c r="B373" s="201" t="s">
        <v>784</v>
      </c>
      <c r="C373" s="229" t="s">
        <v>2169</v>
      </c>
      <c r="D373" s="229" t="s">
        <v>2170</v>
      </c>
      <c r="E373" s="229" t="s">
        <v>2171</v>
      </c>
      <c r="F373" s="229" t="s">
        <v>2255</v>
      </c>
      <c r="G373" s="229" t="s">
        <v>2256</v>
      </c>
      <c r="H373" s="230" t="s">
        <v>2214</v>
      </c>
      <c r="I373" s="229" t="s">
        <v>2215</v>
      </c>
      <c r="J373" s="229" t="s">
        <v>2216</v>
      </c>
      <c r="K373" s="229" t="s">
        <v>2281</v>
      </c>
      <c r="BB373"/>
    </row>
    <row r="374" spans="1:54" x14ac:dyDescent="0.25">
      <c r="A374" s="208" t="str">
        <f t="shared" si="5"/>
        <v>Right-of-Use Asset-Capital Lease-Net</v>
      </c>
      <c r="B374" s="201" t="s">
        <v>785</v>
      </c>
      <c r="C374" s="229" t="s">
        <v>2172</v>
      </c>
      <c r="D374" s="229" t="s">
        <v>2173</v>
      </c>
      <c r="E374" s="229" t="s">
        <v>2174</v>
      </c>
      <c r="F374" s="229" t="s">
        <v>2257</v>
      </c>
      <c r="G374" s="229" t="s">
        <v>2258</v>
      </c>
      <c r="H374" s="230" t="s">
        <v>2217</v>
      </c>
      <c r="I374" s="229" t="s">
        <v>2218</v>
      </c>
      <c r="J374" s="229" t="s">
        <v>2219</v>
      </c>
      <c r="K374" s="229" t="s">
        <v>2282</v>
      </c>
      <c r="BB374"/>
    </row>
    <row r="375" spans="1:54" x14ac:dyDescent="0.25">
      <c r="A375" s="208" t="str">
        <f t="shared" si="5"/>
        <v>Right-of-Use Asset-Operating Lease-Gross</v>
      </c>
      <c r="B375" s="201" t="s">
        <v>786</v>
      </c>
      <c r="C375" s="229" t="s">
        <v>2175</v>
      </c>
      <c r="D375" s="229" t="s">
        <v>2176</v>
      </c>
      <c r="E375" s="229" t="s">
        <v>2177</v>
      </c>
      <c r="F375" s="229" t="s">
        <v>2259</v>
      </c>
      <c r="G375" s="229" t="s">
        <v>2260</v>
      </c>
      <c r="H375" s="230" t="s">
        <v>2220</v>
      </c>
      <c r="I375" s="229" t="s">
        <v>2221</v>
      </c>
      <c r="J375" s="229" t="s">
        <v>2222</v>
      </c>
      <c r="K375" s="229" t="s">
        <v>2283</v>
      </c>
      <c r="BB375"/>
    </row>
    <row r="376" spans="1:54" x14ac:dyDescent="0.25">
      <c r="A376" s="208" t="str">
        <f t="shared" si="5"/>
        <v>Right-of-Use Asset-Operating Lease-Accumulated Depreciation</v>
      </c>
      <c r="B376" s="201" t="s">
        <v>787</v>
      </c>
      <c r="C376" s="229" t="s">
        <v>2178</v>
      </c>
      <c r="D376" s="229" t="s">
        <v>2179</v>
      </c>
      <c r="E376" s="229" t="s">
        <v>2180</v>
      </c>
      <c r="F376" s="229" t="s">
        <v>2261</v>
      </c>
      <c r="G376" s="229" t="s">
        <v>2262</v>
      </c>
      <c r="H376" s="230" t="s">
        <v>2223</v>
      </c>
      <c r="I376" s="229" t="s">
        <v>2224</v>
      </c>
      <c r="J376" s="229" t="s">
        <v>2225</v>
      </c>
      <c r="K376" s="229" t="s">
        <v>2284</v>
      </c>
      <c r="BB376"/>
    </row>
    <row r="377" spans="1:54" x14ac:dyDescent="0.25">
      <c r="A377" s="208" t="str">
        <f t="shared" si="5"/>
        <v>Right-of-Use Asset-Operating Lease-Net</v>
      </c>
      <c r="B377" s="201" t="s">
        <v>788</v>
      </c>
      <c r="C377" s="229" t="s">
        <v>2181</v>
      </c>
      <c r="D377" s="229" t="s">
        <v>2182</v>
      </c>
      <c r="E377" s="229" t="s">
        <v>2183</v>
      </c>
      <c r="F377" s="229" t="s">
        <v>2263</v>
      </c>
      <c r="G377" s="229" t="s">
        <v>2264</v>
      </c>
      <c r="H377" s="230" t="s">
        <v>2226</v>
      </c>
      <c r="I377" s="229" t="s">
        <v>2227</v>
      </c>
      <c r="J377" s="229" t="s">
        <v>2228</v>
      </c>
      <c r="K377" s="229" t="s">
        <v>2285</v>
      </c>
      <c r="BB377"/>
    </row>
    <row r="378" spans="1:54" x14ac:dyDescent="0.25">
      <c r="A378" s="208" t="str">
        <f t="shared" si="5"/>
        <v>Gross PP&amp;E, Excl. Operating Leases</v>
      </c>
      <c r="B378" s="201" t="s">
        <v>804</v>
      </c>
      <c r="C378" s="229" t="s">
        <v>2184</v>
      </c>
      <c r="D378" s="229" t="s">
        <v>2185</v>
      </c>
      <c r="E378" s="229" t="s">
        <v>2186</v>
      </c>
      <c r="F378" s="229" t="s">
        <v>2265</v>
      </c>
      <c r="G378" s="229" t="s">
        <v>2266</v>
      </c>
      <c r="H378" s="230" t="s">
        <v>2229</v>
      </c>
      <c r="I378" s="229" t="s">
        <v>2230</v>
      </c>
      <c r="J378" s="229" t="s">
        <v>2231</v>
      </c>
      <c r="K378" s="229" t="s">
        <v>2286</v>
      </c>
      <c r="BB378"/>
    </row>
    <row r="379" spans="1:54" x14ac:dyDescent="0.25">
      <c r="A379" s="208" t="str">
        <f t="shared" si="5"/>
        <v>Accumulated Depreciation, Excl. Operating Leases</v>
      </c>
      <c r="B379" s="201" t="s">
        <v>805</v>
      </c>
      <c r="C379" s="229" t="s">
        <v>2187</v>
      </c>
      <c r="D379" s="229" t="s">
        <v>2188</v>
      </c>
      <c r="E379" s="229" t="s">
        <v>2189</v>
      </c>
      <c r="F379" s="229" t="s">
        <v>2267</v>
      </c>
      <c r="G379" s="229" t="s">
        <v>2268</v>
      </c>
      <c r="H379" s="230" t="s">
        <v>2232</v>
      </c>
      <c r="I379" s="229" t="s">
        <v>2233</v>
      </c>
      <c r="J379" s="229" t="s">
        <v>2234</v>
      </c>
      <c r="K379" s="229" t="s">
        <v>2287</v>
      </c>
      <c r="BB379"/>
    </row>
    <row r="380" spans="1:54" x14ac:dyDescent="0.25">
      <c r="A380" s="208" t="str">
        <f t="shared" si="5"/>
        <v>Net PP&amp;E, Excl. Operating Leases</v>
      </c>
      <c r="B380" s="201" t="s">
        <v>806</v>
      </c>
      <c r="C380" s="229" t="s">
        <v>2190</v>
      </c>
      <c r="D380" s="229" t="s">
        <v>2191</v>
      </c>
      <c r="E380" s="229" t="s">
        <v>2192</v>
      </c>
      <c r="F380" s="229" t="s">
        <v>2269</v>
      </c>
      <c r="G380" s="229" t="s">
        <v>2270</v>
      </c>
      <c r="H380" s="230" t="s">
        <v>2235</v>
      </c>
      <c r="I380" s="229" t="s">
        <v>2236</v>
      </c>
      <c r="J380" s="229" t="s">
        <v>2237</v>
      </c>
      <c r="K380" s="229" t="s">
        <v>2288</v>
      </c>
      <c r="BB380"/>
    </row>
    <row r="381" spans="1:54" x14ac:dyDescent="0.25">
      <c r="A381" s="208" t="str">
        <f t="shared" si="5"/>
        <v>Finance Leases, Current</v>
      </c>
      <c r="B381" s="201" t="s">
        <v>807</v>
      </c>
      <c r="C381" s="229" t="s">
        <v>2193</v>
      </c>
      <c r="D381" s="229" t="s">
        <v>2194</v>
      </c>
      <c r="E381" s="229" t="s">
        <v>2195</v>
      </c>
      <c r="F381" s="229" t="s">
        <v>2271</v>
      </c>
      <c r="G381" s="229" t="s">
        <v>2272</v>
      </c>
      <c r="H381" s="230" t="s">
        <v>2238</v>
      </c>
      <c r="I381" s="229" t="s">
        <v>2239</v>
      </c>
      <c r="J381" s="229" t="s">
        <v>2240</v>
      </c>
      <c r="K381" s="229" t="s">
        <v>2289</v>
      </c>
      <c r="BB381"/>
    </row>
    <row r="382" spans="1:54" x14ac:dyDescent="0.25">
      <c r="A382" s="208" t="str">
        <f t="shared" si="5"/>
        <v>Finance Leases, Long Term</v>
      </c>
      <c r="B382" s="201" t="s">
        <v>808</v>
      </c>
      <c r="C382" s="229" t="s">
        <v>2196</v>
      </c>
      <c r="D382" s="229" t="s">
        <v>2197</v>
      </c>
      <c r="E382" s="229" t="s">
        <v>2198</v>
      </c>
      <c r="F382" s="229" t="s">
        <v>2273</v>
      </c>
      <c r="G382" s="229" t="s">
        <v>2274</v>
      </c>
      <c r="H382" s="230" t="s">
        <v>2241</v>
      </c>
      <c r="I382" s="229" t="s">
        <v>2242</v>
      </c>
      <c r="J382" s="229" t="s">
        <v>2243</v>
      </c>
      <c r="K382" s="229" t="s">
        <v>2290</v>
      </c>
      <c r="BB382"/>
    </row>
    <row r="383" spans="1:54" x14ac:dyDescent="0.25">
      <c r="A383" s="208" t="str">
        <f t="shared" si="5"/>
        <v>Total Finance Leases</v>
      </c>
      <c r="B383" s="201" t="s">
        <v>809</v>
      </c>
      <c r="C383" s="229" t="s">
        <v>2199</v>
      </c>
      <c r="D383" s="229" t="s">
        <v>2200</v>
      </c>
      <c r="E383" s="229" t="s">
        <v>2201</v>
      </c>
      <c r="F383" s="229" t="s">
        <v>2275</v>
      </c>
      <c r="G383" s="229" t="s">
        <v>2276</v>
      </c>
      <c r="H383" s="230" t="s">
        <v>2244</v>
      </c>
      <c r="I383" s="229" t="s">
        <v>2245</v>
      </c>
      <c r="J383" s="229" t="s">
        <v>2246</v>
      </c>
      <c r="K383" s="229" t="s">
        <v>2291</v>
      </c>
      <c r="BB383"/>
    </row>
    <row r="384" spans="1:54" x14ac:dyDescent="0.25">
      <c r="A384" s="208" t="str">
        <f t="shared" si="5"/>
        <v>Current Portion of Operating Lease Liabilities</v>
      </c>
      <c r="B384" s="201" t="s">
        <v>810</v>
      </c>
      <c r="C384" s="229" t="s">
        <v>2292</v>
      </c>
      <c r="D384" s="229" t="s">
        <v>2293</v>
      </c>
      <c r="E384" s="229" t="s">
        <v>2294</v>
      </c>
      <c r="F384" s="229" t="s">
        <v>2310</v>
      </c>
      <c r="G384" s="229" t="s">
        <v>2311</v>
      </c>
      <c r="H384" s="230" t="s">
        <v>2301</v>
      </c>
      <c r="I384" s="229" t="s">
        <v>2302</v>
      </c>
      <c r="J384" s="229" t="s">
        <v>2303</v>
      </c>
      <c r="K384" s="229" t="s">
        <v>2316</v>
      </c>
      <c r="BB384"/>
    </row>
    <row r="385" spans="1:54" x14ac:dyDescent="0.25">
      <c r="A385" s="208" t="str">
        <f t="shared" si="5"/>
        <v>Long-Term Portion of Operating Lease Liabilities</v>
      </c>
      <c r="B385" s="201" t="s">
        <v>811</v>
      </c>
      <c r="C385" s="229" t="s">
        <v>2295</v>
      </c>
      <c r="D385" s="229" t="s">
        <v>2296</v>
      </c>
      <c r="E385" s="229" t="s">
        <v>2297</v>
      </c>
      <c r="F385" s="229" t="s">
        <v>2312</v>
      </c>
      <c r="G385" s="229" t="s">
        <v>2313</v>
      </c>
      <c r="H385" s="230" t="s">
        <v>2304</v>
      </c>
      <c r="I385" s="229" t="s">
        <v>2305</v>
      </c>
      <c r="J385" s="229" t="s">
        <v>2306</v>
      </c>
      <c r="K385" s="229" t="s">
        <v>2317</v>
      </c>
      <c r="BB385"/>
    </row>
    <row r="386" spans="1:54" x14ac:dyDescent="0.25">
      <c r="A386" s="208" t="str">
        <f t="shared" si="5"/>
        <v>Total Operating Leases</v>
      </c>
      <c r="B386" s="201" t="s">
        <v>812</v>
      </c>
      <c r="C386" s="229" t="s">
        <v>2298</v>
      </c>
      <c r="D386" s="229" t="s">
        <v>2299</v>
      </c>
      <c r="E386" s="229" t="s">
        <v>2300</v>
      </c>
      <c r="F386" s="229" t="s">
        <v>2314</v>
      </c>
      <c r="G386" s="229" t="s">
        <v>2315</v>
      </c>
      <c r="H386" s="230" t="s">
        <v>2307</v>
      </c>
      <c r="I386" s="229" t="s">
        <v>2308</v>
      </c>
      <c r="J386" s="229" t="s">
        <v>2309</v>
      </c>
      <c r="K386" s="229" t="s">
        <v>2318</v>
      </c>
      <c r="BB386"/>
    </row>
    <row r="387" spans="1:54" x14ac:dyDescent="0.25">
      <c r="A387" s="208" t="str">
        <f t="shared" si="5"/>
        <v>Total Leases</v>
      </c>
      <c r="B387" s="201" t="s">
        <v>813</v>
      </c>
      <c r="C387" s="229" t="s">
        <v>7555</v>
      </c>
      <c r="D387" s="229" t="s">
        <v>7556</v>
      </c>
      <c r="E387" s="201" t="s">
        <v>7557</v>
      </c>
      <c r="F387" s="201" t="s">
        <v>7558</v>
      </c>
      <c r="G387" s="201" t="s">
        <v>6284</v>
      </c>
      <c r="H387" s="201" t="s">
        <v>7559</v>
      </c>
      <c r="I387" s="201" t="s">
        <v>7560</v>
      </c>
      <c r="J387" s="201" t="s">
        <v>7561</v>
      </c>
      <c r="K387" s="201" t="s">
        <v>7562</v>
      </c>
      <c r="BB387"/>
    </row>
    <row r="388" spans="1:54" x14ac:dyDescent="0.25">
      <c r="A388" s="208" t="str">
        <f t="shared" si="5"/>
        <v>Current Financing Obligations, Excl. Operating Leases</v>
      </c>
      <c r="B388" s="201" t="s">
        <v>814</v>
      </c>
      <c r="C388" s="229" t="s">
        <v>2319</v>
      </c>
      <c r="D388" s="229" t="s">
        <v>2320</v>
      </c>
      <c r="E388" s="229" t="s">
        <v>2321</v>
      </c>
      <c r="F388" s="229" t="s">
        <v>2391</v>
      </c>
      <c r="G388" s="229" t="s">
        <v>2392</v>
      </c>
      <c r="H388" s="230" t="s">
        <v>2355</v>
      </c>
      <c r="I388" s="229" t="s">
        <v>2356</v>
      </c>
      <c r="J388" s="229" t="s">
        <v>2357</v>
      </c>
      <c r="K388" s="229" t="s">
        <v>2415</v>
      </c>
      <c r="BB388"/>
    </row>
    <row r="389" spans="1:54" x14ac:dyDescent="0.25">
      <c r="A389" s="208" t="str">
        <f t="shared" si="5"/>
        <v>Non-Current Financing Obligations Excl. Operating Leases</v>
      </c>
      <c r="B389" s="201" t="s">
        <v>815</v>
      </c>
      <c r="C389" s="229" t="s">
        <v>2322</v>
      </c>
      <c r="D389" s="229" t="s">
        <v>2323</v>
      </c>
      <c r="E389" s="229" t="s">
        <v>2324</v>
      </c>
      <c r="F389" s="229" t="s">
        <v>2393</v>
      </c>
      <c r="G389" s="229" t="s">
        <v>2394</v>
      </c>
      <c r="H389" s="230" t="s">
        <v>2358</v>
      </c>
      <c r="I389" s="229" t="s">
        <v>2359</v>
      </c>
      <c r="J389" s="229" t="s">
        <v>2360</v>
      </c>
      <c r="K389" s="229" t="s">
        <v>2416</v>
      </c>
      <c r="BB389"/>
    </row>
    <row r="390" spans="1:54" x14ac:dyDescent="0.25">
      <c r="A390" s="208" t="str">
        <f t="shared" si="5"/>
        <v>Total Debt, Excl. Operating Leases</v>
      </c>
      <c r="B390" s="201" t="s">
        <v>816</v>
      </c>
      <c r="C390" s="229" t="s">
        <v>2325</v>
      </c>
      <c r="D390" s="229" t="s">
        <v>2326</v>
      </c>
      <c r="E390" s="229" t="s">
        <v>2327</v>
      </c>
      <c r="F390" s="229" t="s">
        <v>2395</v>
      </c>
      <c r="G390" s="229" t="s">
        <v>2396</v>
      </c>
      <c r="H390" s="230" t="s">
        <v>2361</v>
      </c>
      <c r="I390" s="229" t="s">
        <v>2362</v>
      </c>
      <c r="J390" s="229" t="s">
        <v>2363</v>
      </c>
      <c r="K390" s="229" t="s">
        <v>2417</v>
      </c>
      <c r="BB390"/>
    </row>
    <row r="391" spans="1:54" x14ac:dyDescent="0.25">
      <c r="A391" s="208" t="str">
        <f t="shared" si="5"/>
        <v>Total Debt, Excl. Leases</v>
      </c>
      <c r="B391" s="201" t="s">
        <v>817</v>
      </c>
      <c r="C391" s="229" t="s">
        <v>2328</v>
      </c>
      <c r="D391" s="229" t="s">
        <v>2329</v>
      </c>
      <c r="E391" s="229" t="s">
        <v>2330</v>
      </c>
      <c r="F391" s="229" t="s">
        <v>2397</v>
      </c>
      <c r="G391" s="229" t="s">
        <v>2398</v>
      </c>
      <c r="H391" s="230" t="s">
        <v>2364</v>
      </c>
      <c r="I391" s="229" t="s">
        <v>2365</v>
      </c>
      <c r="J391" s="229" t="s">
        <v>2366</v>
      </c>
      <c r="K391" s="229" t="s">
        <v>2418</v>
      </c>
      <c r="BB391"/>
    </row>
    <row r="392" spans="1:54" x14ac:dyDescent="0.25">
      <c r="A392" s="208" t="str">
        <f t="shared" si="5"/>
        <v>IFRS 16 / ASC 842 Items</v>
      </c>
      <c r="B392" s="201" t="s">
        <v>818</v>
      </c>
      <c r="C392" s="229" t="s">
        <v>2331</v>
      </c>
      <c r="D392" s="229" t="s">
        <v>2332</v>
      </c>
      <c r="E392" s="229" t="s">
        <v>2333</v>
      </c>
      <c r="F392" s="229" t="s">
        <v>2399</v>
      </c>
      <c r="G392" s="229" t="s">
        <v>2400</v>
      </c>
      <c r="H392" s="230" t="s">
        <v>2367</v>
      </c>
      <c r="I392" s="229" t="s">
        <v>2368</v>
      </c>
      <c r="J392" s="229" t="s">
        <v>2369</v>
      </c>
      <c r="K392" s="229" t="s">
        <v>2419</v>
      </c>
      <c r="BB392"/>
    </row>
    <row r="393" spans="1:54" x14ac:dyDescent="0.25">
      <c r="A393" s="208" t="str">
        <f t="shared" ref="A393:A456" si="6">INDEX($B393:$CV393,$A$4)</f>
        <v>Total Shares Out. on Filing Date</v>
      </c>
      <c r="B393" s="201" t="s">
        <v>726</v>
      </c>
      <c r="C393" s="229" t="s">
        <v>2334</v>
      </c>
      <c r="D393" s="229" t="s">
        <v>2335</v>
      </c>
      <c r="E393" s="229" t="s">
        <v>2336</v>
      </c>
      <c r="F393" s="229" t="s">
        <v>2401</v>
      </c>
      <c r="G393" s="229" t="s">
        <v>2402</v>
      </c>
      <c r="H393" s="205" t="s">
        <v>2370</v>
      </c>
      <c r="I393" s="229" t="s">
        <v>2371</v>
      </c>
      <c r="J393" s="229" t="s">
        <v>2372</v>
      </c>
      <c r="K393" s="229" t="s">
        <v>2420</v>
      </c>
      <c r="BB393"/>
    </row>
    <row r="394" spans="1:54" x14ac:dyDescent="0.25">
      <c r="A394" s="208" t="str">
        <f t="shared" si="6"/>
        <v>Total Shares Out. on Balance Sheet Date</v>
      </c>
      <c r="B394" s="201" t="s">
        <v>414</v>
      </c>
      <c r="C394" s="229" t="s">
        <v>2337</v>
      </c>
      <c r="D394" s="229" t="s">
        <v>2338</v>
      </c>
      <c r="E394" s="229" t="s">
        <v>2339</v>
      </c>
      <c r="F394" s="229" t="s">
        <v>2403</v>
      </c>
      <c r="G394" s="229" t="s">
        <v>2404</v>
      </c>
      <c r="H394" s="205" t="s">
        <v>2373</v>
      </c>
      <c r="I394" s="229" t="s">
        <v>2374</v>
      </c>
      <c r="J394" s="229" t="s">
        <v>2375</v>
      </c>
      <c r="K394" s="229" t="s">
        <v>2421</v>
      </c>
      <c r="BB394"/>
    </row>
    <row r="395" spans="1:54" x14ac:dyDescent="0.25">
      <c r="A395" s="208" t="str">
        <f t="shared" si="6"/>
        <v>Book Value/Share</v>
      </c>
      <c r="B395" s="201" t="s">
        <v>137</v>
      </c>
      <c r="C395" s="229" t="s">
        <v>2340</v>
      </c>
      <c r="D395" s="229" t="s">
        <v>2341</v>
      </c>
      <c r="E395" s="229" t="s">
        <v>2342</v>
      </c>
      <c r="F395" s="229" t="s">
        <v>2405</v>
      </c>
      <c r="G395" s="229" t="s">
        <v>2406</v>
      </c>
      <c r="H395" s="205" t="s">
        <v>2376</v>
      </c>
      <c r="I395" s="229" t="s">
        <v>2377</v>
      </c>
      <c r="J395" s="229" t="s">
        <v>2378</v>
      </c>
      <c r="K395" s="229" t="s">
        <v>2422</v>
      </c>
      <c r="BB395"/>
    </row>
    <row r="396" spans="1:54" x14ac:dyDescent="0.25">
      <c r="A396" s="208" t="str">
        <f t="shared" si="6"/>
        <v>Book Value/Share (Reported)</v>
      </c>
      <c r="B396" s="201" t="s">
        <v>60</v>
      </c>
      <c r="C396" s="229" t="s">
        <v>2343</v>
      </c>
      <c r="D396" s="198" t="s">
        <v>2344</v>
      </c>
      <c r="E396" s="229" t="s">
        <v>2345</v>
      </c>
      <c r="F396" s="229" t="s">
        <v>2407</v>
      </c>
      <c r="G396" s="229" t="s">
        <v>2408</v>
      </c>
      <c r="H396" s="205" t="s">
        <v>2379</v>
      </c>
      <c r="I396" s="229" t="s">
        <v>2380</v>
      </c>
      <c r="J396" s="229" t="s">
        <v>2381</v>
      </c>
      <c r="K396" s="229" t="s">
        <v>2423</v>
      </c>
      <c r="BB396"/>
    </row>
    <row r="397" spans="1:54" x14ac:dyDescent="0.25">
      <c r="A397" s="208" t="str">
        <f t="shared" si="6"/>
        <v>Tangible Book Value/Share</v>
      </c>
      <c r="B397" s="201" t="s">
        <v>253</v>
      </c>
      <c r="C397" s="229" t="s">
        <v>2346</v>
      </c>
      <c r="D397" s="229" t="s">
        <v>2347</v>
      </c>
      <c r="E397" s="229" t="s">
        <v>2348</v>
      </c>
      <c r="F397" s="229" t="s">
        <v>2409</v>
      </c>
      <c r="G397" s="229" t="s">
        <v>2410</v>
      </c>
      <c r="H397" s="205" t="s">
        <v>2382</v>
      </c>
      <c r="I397" s="229" t="s">
        <v>2383</v>
      </c>
      <c r="J397" s="229" t="s">
        <v>2384</v>
      </c>
      <c r="K397" s="229" t="s">
        <v>2424</v>
      </c>
      <c r="BB397"/>
    </row>
    <row r="398" spans="1:54" x14ac:dyDescent="0.25">
      <c r="A398" s="208" t="str">
        <f t="shared" si="6"/>
        <v>Tangible Book Value Per Share (Reported)</v>
      </c>
      <c r="B398" s="201" t="s">
        <v>743</v>
      </c>
      <c r="C398" s="229" t="s">
        <v>2349</v>
      </c>
      <c r="D398" s="229" t="s">
        <v>2350</v>
      </c>
      <c r="E398" s="229" t="s">
        <v>2351</v>
      </c>
      <c r="F398" s="229" t="s">
        <v>2411</v>
      </c>
      <c r="G398" s="229" t="s">
        <v>2412</v>
      </c>
      <c r="H398" s="205" t="s">
        <v>2385</v>
      </c>
      <c r="I398" s="229" t="s">
        <v>2386</v>
      </c>
      <c r="J398" s="229" t="s">
        <v>2387</v>
      </c>
      <c r="K398" s="229" t="s">
        <v>2425</v>
      </c>
      <c r="BB398"/>
    </row>
    <row r="399" spans="1:54" x14ac:dyDescent="0.25">
      <c r="A399" s="208" t="str">
        <f t="shared" si="6"/>
        <v>Tangible Book Value</v>
      </c>
      <c r="B399" s="201" t="s">
        <v>413</v>
      </c>
      <c r="C399" s="229" t="s">
        <v>2352</v>
      </c>
      <c r="D399" s="229" t="s">
        <v>2353</v>
      </c>
      <c r="E399" s="229" t="s">
        <v>2354</v>
      </c>
      <c r="F399" s="229" t="s">
        <v>2413</v>
      </c>
      <c r="G399" s="229" t="s">
        <v>2414</v>
      </c>
      <c r="H399" s="205" t="s">
        <v>2388</v>
      </c>
      <c r="I399" s="229" t="s">
        <v>2389</v>
      </c>
      <c r="J399" s="229" t="s">
        <v>2390</v>
      </c>
      <c r="K399" s="229" t="s">
        <v>2426</v>
      </c>
      <c r="BB399"/>
    </row>
    <row r="400" spans="1:54" x14ac:dyDescent="0.25">
      <c r="A400" s="208" t="str">
        <f t="shared" si="6"/>
        <v>Total Intangibles</v>
      </c>
      <c r="B400" s="201" t="s">
        <v>747</v>
      </c>
      <c r="C400" s="229" t="s">
        <v>7563</v>
      </c>
      <c r="D400" s="229" t="s">
        <v>7564</v>
      </c>
      <c r="E400" s="201" t="s">
        <v>7565</v>
      </c>
      <c r="F400" s="201" t="s">
        <v>7569</v>
      </c>
      <c r="G400" s="201" t="s">
        <v>7570</v>
      </c>
      <c r="H400" s="201" t="s">
        <v>7566</v>
      </c>
      <c r="I400" s="201" t="s">
        <v>7567</v>
      </c>
      <c r="J400" s="201" t="s">
        <v>7568</v>
      </c>
      <c r="K400" s="201" t="s">
        <v>5327</v>
      </c>
      <c r="BB400"/>
    </row>
    <row r="401" spans="1:54" x14ac:dyDescent="0.25">
      <c r="A401" s="208" t="str">
        <f t="shared" si="6"/>
        <v>Cash per Share</v>
      </c>
      <c r="B401" s="201" t="s">
        <v>613</v>
      </c>
      <c r="C401" s="229" t="s">
        <v>2427</v>
      </c>
      <c r="D401" s="229" t="s">
        <v>2428</v>
      </c>
      <c r="E401" s="229" t="s">
        <v>2429</v>
      </c>
      <c r="F401" s="229" t="s">
        <v>2433</v>
      </c>
      <c r="G401" s="229" t="s">
        <v>2125</v>
      </c>
      <c r="H401" s="205" t="s">
        <v>2430</v>
      </c>
      <c r="I401" s="229" t="s">
        <v>2431</v>
      </c>
      <c r="J401" s="229" t="s">
        <v>2432</v>
      </c>
      <c r="K401" s="229" t="s">
        <v>2434</v>
      </c>
      <c r="BB401"/>
    </row>
    <row r="402" spans="1:54" x14ac:dyDescent="0.25">
      <c r="A402" s="208" t="str">
        <f t="shared" si="6"/>
        <v>Total Debt</v>
      </c>
      <c r="B402" s="201" t="s">
        <v>86</v>
      </c>
      <c r="C402" s="201" t="s">
        <v>7571</v>
      </c>
      <c r="D402" s="229" t="s">
        <v>7572</v>
      </c>
      <c r="E402" s="198" t="s">
        <v>7573</v>
      </c>
      <c r="F402" s="198" t="s">
        <v>7574</v>
      </c>
      <c r="G402" s="198" t="s">
        <v>7575</v>
      </c>
      <c r="H402" s="198" t="s">
        <v>7576</v>
      </c>
      <c r="I402" s="205" t="s">
        <v>7577</v>
      </c>
      <c r="J402" s="198" t="s">
        <v>7578</v>
      </c>
      <c r="K402" s="205" t="s">
        <v>6393</v>
      </c>
      <c r="BB402"/>
    </row>
    <row r="403" spans="1:54" x14ac:dyDescent="0.25">
      <c r="A403" s="208" t="str">
        <f t="shared" si="6"/>
        <v>Total Debt Current</v>
      </c>
      <c r="B403" s="201" t="s">
        <v>659</v>
      </c>
      <c r="C403" s="229" t="s">
        <v>2435</v>
      </c>
      <c r="D403" s="229" t="s">
        <v>2436</v>
      </c>
      <c r="E403" s="229" t="s">
        <v>2437</v>
      </c>
      <c r="F403" s="229" t="s">
        <v>2447</v>
      </c>
      <c r="G403" s="229" t="s">
        <v>2448</v>
      </c>
      <c r="H403" s="205" t="s">
        <v>2441</v>
      </c>
      <c r="I403" s="229" t="s">
        <v>2442</v>
      </c>
      <c r="J403" s="229" t="s">
        <v>2443</v>
      </c>
      <c r="K403" s="229" t="s">
        <v>2451</v>
      </c>
      <c r="BB403"/>
    </row>
    <row r="404" spans="1:54" x14ac:dyDescent="0.25">
      <c r="A404" s="208" t="str">
        <f t="shared" si="6"/>
        <v>Total Non-Current Debt</v>
      </c>
      <c r="B404" s="244" t="s">
        <v>8294</v>
      </c>
      <c r="C404" s="229" t="s">
        <v>2438</v>
      </c>
      <c r="D404" s="229" t="s">
        <v>2439</v>
      </c>
      <c r="E404" s="229" t="s">
        <v>2440</v>
      </c>
      <c r="F404" s="229" t="s">
        <v>2449</v>
      </c>
      <c r="G404" s="229" t="s">
        <v>2450</v>
      </c>
      <c r="H404" s="205" t="s">
        <v>2444</v>
      </c>
      <c r="I404" s="229" t="s">
        <v>2445</v>
      </c>
      <c r="J404" s="229" t="s">
        <v>2446</v>
      </c>
      <c r="K404" s="229" t="s">
        <v>2452</v>
      </c>
      <c r="BB404"/>
    </row>
    <row r="405" spans="1:54" x14ac:dyDescent="0.25">
      <c r="A405" s="208" t="str">
        <f t="shared" si="6"/>
        <v>Net Debt</v>
      </c>
      <c r="B405" s="201" t="s">
        <v>138</v>
      </c>
      <c r="C405" s="198" t="s">
        <v>7579</v>
      </c>
      <c r="D405" s="229" t="s">
        <v>7580</v>
      </c>
      <c r="E405" s="201" t="s">
        <v>7581</v>
      </c>
      <c r="F405" s="201" t="s">
        <v>4805</v>
      </c>
      <c r="G405" s="201" t="s">
        <v>7582</v>
      </c>
      <c r="H405" s="201" t="s">
        <v>7583</v>
      </c>
      <c r="I405" s="201" t="s">
        <v>7584</v>
      </c>
      <c r="J405" s="201" t="s">
        <v>7585</v>
      </c>
      <c r="K405" s="201" t="s">
        <v>7586</v>
      </c>
      <c r="BB405"/>
    </row>
    <row r="406" spans="1:54" x14ac:dyDescent="0.25">
      <c r="A406" s="208" t="str">
        <f t="shared" si="6"/>
        <v>Minority Interest, Total</v>
      </c>
      <c r="B406" s="201" t="s">
        <v>629</v>
      </c>
      <c r="C406" s="229" t="s">
        <v>5412</v>
      </c>
      <c r="D406" s="229" t="s">
        <v>5413</v>
      </c>
      <c r="E406" s="229" t="s">
        <v>5414</v>
      </c>
      <c r="F406" s="229" t="s">
        <v>5418</v>
      </c>
      <c r="G406" s="229" t="s">
        <v>5419</v>
      </c>
      <c r="H406" s="205" t="s">
        <v>5415</v>
      </c>
      <c r="I406" s="229" t="s">
        <v>5416</v>
      </c>
      <c r="J406" s="229" t="s">
        <v>5417</v>
      </c>
      <c r="K406" s="229" t="s">
        <v>5420</v>
      </c>
      <c r="BB406"/>
    </row>
    <row r="407" spans="1:54" x14ac:dyDescent="0.25">
      <c r="A407" s="208" t="str">
        <f t="shared" si="6"/>
        <v>Total Capitalization</v>
      </c>
      <c r="B407" s="201" t="s">
        <v>254</v>
      </c>
      <c r="C407" s="229" t="s">
        <v>7587</v>
      </c>
      <c r="D407" s="229" t="s">
        <v>7588</v>
      </c>
      <c r="E407" s="201" t="s">
        <v>7589</v>
      </c>
      <c r="F407" s="201" t="s">
        <v>7590</v>
      </c>
      <c r="G407" s="201" t="s">
        <v>7591</v>
      </c>
      <c r="H407" s="201" t="s">
        <v>7592</v>
      </c>
      <c r="I407" s="201" t="s">
        <v>7593</v>
      </c>
      <c r="J407" s="201" t="s">
        <v>7594</v>
      </c>
      <c r="K407" s="201" t="s">
        <v>7595</v>
      </c>
      <c r="BB407"/>
    </row>
    <row r="408" spans="1:54" x14ac:dyDescent="0.25">
      <c r="A408" s="208" t="str">
        <f t="shared" si="6"/>
        <v>Working Capital</v>
      </c>
      <c r="B408" s="201" t="s">
        <v>614</v>
      </c>
      <c r="C408" s="229" t="s">
        <v>5394</v>
      </c>
      <c r="D408" s="229" t="s">
        <v>5395</v>
      </c>
      <c r="E408" s="229" t="s">
        <v>5396</v>
      </c>
      <c r="F408" s="229" t="s">
        <v>5406</v>
      </c>
      <c r="G408" s="229" t="s">
        <v>5407</v>
      </c>
      <c r="H408" s="205" t="s">
        <v>5400</v>
      </c>
      <c r="I408" s="229" t="s">
        <v>5401</v>
      </c>
      <c r="J408" s="229" t="s">
        <v>5402</v>
      </c>
      <c r="K408" s="229" t="s">
        <v>5410</v>
      </c>
      <c r="BB408"/>
    </row>
    <row r="409" spans="1:54" x14ac:dyDescent="0.25">
      <c r="A409" s="208" t="str">
        <f t="shared" si="6"/>
        <v>Net Working Capital</v>
      </c>
      <c r="B409" s="201" t="s">
        <v>615</v>
      </c>
      <c r="C409" s="229" t="s">
        <v>5397</v>
      </c>
      <c r="D409" s="229" t="s">
        <v>5398</v>
      </c>
      <c r="E409" s="229" t="s">
        <v>5399</v>
      </c>
      <c r="F409" s="229" t="s">
        <v>5408</v>
      </c>
      <c r="G409" s="229" t="s">
        <v>5409</v>
      </c>
      <c r="H409" s="205" t="s">
        <v>5403</v>
      </c>
      <c r="I409" s="229" t="s">
        <v>5404</v>
      </c>
      <c r="J409" s="229" t="s">
        <v>5405</v>
      </c>
      <c r="K409" s="229" t="s">
        <v>5411</v>
      </c>
      <c r="BB409"/>
    </row>
    <row r="410" spans="1:54" x14ac:dyDescent="0.25">
      <c r="A410" s="208" t="str">
        <f t="shared" si="6"/>
        <v>Accumulated Allowance for Doubtful Accounts</v>
      </c>
      <c r="B410" s="201" t="s">
        <v>628</v>
      </c>
      <c r="C410" s="201" t="s">
        <v>7596</v>
      </c>
      <c r="D410" s="201" t="s">
        <v>7597</v>
      </c>
      <c r="E410" s="201" t="s">
        <v>7598</v>
      </c>
      <c r="F410" s="201" t="s">
        <v>7599</v>
      </c>
      <c r="G410" s="201" t="s">
        <v>7600</v>
      </c>
      <c r="H410" s="201" t="s">
        <v>7601</v>
      </c>
      <c r="I410" s="201" t="s">
        <v>7602</v>
      </c>
      <c r="J410" s="201" t="s">
        <v>7603</v>
      </c>
      <c r="K410" s="201" t="s">
        <v>7604</v>
      </c>
      <c r="BB410"/>
    </row>
    <row r="411" spans="1:54" x14ac:dyDescent="0.25">
      <c r="A411" s="208" t="str">
        <f t="shared" si="6"/>
        <v>Equity Method Investments</v>
      </c>
      <c r="B411" s="201" t="s">
        <v>616</v>
      </c>
      <c r="C411" s="201" t="s">
        <v>7605</v>
      </c>
      <c r="D411" s="201" t="s">
        <v>7606</v>
      </c>
      <c r="E411" s="201" t="s">
        <v>7607</v>
      </c>
      <c r="F411" s="201" t="s">
        <v>7608</v>
      </c>
      <c r="G411" s="201" t="s">
        <v>7609</v>
      </c>
      <c r="H411" s="201" t="s">
        <v>7610</v>
      </c>
      <c r="I411" s="201" t="s">
        <v>7611</v>
      </c>
      <c r="J411" s="201" t="s">
        <v>7612</v>
      </c>
      <c r="K411" s="201" t="s">
        <v>7613</v>
      </c>
      <c r="BB411"/>
    </row>
    <row r="412" spans="1:54" x14ac:dyDescent="0.25">
      <c r="A412" s="208" t="str">
        <f t="shared" si="6"/>
        <v>Accounts Receivables - Unbilled</v>
      </c>
      <c r="B412" s="201" t="s">
        <v>61</v>
      </c>
      <c r="C412" s="229" t="s">
        <v>5367</v>
      </c>
      <c r="D412" s="229" t="s">
        <v>5368</v>
      </c>
      <c r="E412" s="229" t="s">
        <v>5369</v>
      </c>
      <c r="F412" s="229" t="s">
        <v>5385</v>
      </c>
      <c r="G412" s="229" t="s">
        <v>5386</v>
      </c>
      <c r="H412" s="205" t="s">
        <v>5376</v>
      </c>
      <c r="I412" s="229" t="s">
        <v>5377</v>
      </c>
      <c r="J412" s="229" t="s">
        <v>5378</v>
      </c>
      <c r="K412" s="229" t="s">
        <v>5391</v>
      </c>
      <c r="BB412"/>
    </row>
    <row r="413" spans="1:54" x14ac:dyDescent="0.25">
      <c r="A413" s="208" t="str">
        <f t="shared" si="6"/>
        <v>Inventory Method</v>
      </c>
      <c r="B413" s="201" t="s">
        <v>617</v>
      </c>
      <c r="C413" s="198" t="s">
        <v>5370</v>
      </c>
      <c r="D413" s="198" t="s">
        <v>5371</v>
      </c>
      <c r="E413" s="229" t="s">
        <v>5372</v>
      </c>
      <c r="F413" s="229" t="s">
        <v>5387</v>
      </c>
      <c r="G413" s="229" t="s">
        <v>5388</v>
      </c>
      <c r="H413" s="205" t="s">
        <v>5379</v>
      </c>
      <c r="I413" s="229" t="s">
        <v>5380</v>
      </c>
      <c r="J413" s="229" t="s">
        <v>5381</v>
      </c>
      <c r="K413" s="229" t="s">
        <v>5392</v>
      </c>
      <c r="BB413"/>
    </row>
    <row r="414" spans="1:54" x14ac:dyDescent="0.25">
      <c r="A414" s="208" t="str">
        <f t="shared" si="6"/>
        <v>LIFO Reserve</v>
      </c>
      <c r="B414" s="201" t="s">
        <v>255</v>
      </c>
      <c r="C414" s="198" t="s">
        <v>5373</v>
      </c>
      <c r="D414" s="198" t="s">
        <v>5374</v>
      </c>
      <c r="E414" s="229" t="s">
        <v>5375</v>
      </c>
      <c r="F414" s="229" t="s">
        <v>5389</v>
      </c>
      <c r="G414" s="229" t="s">
        <v>5390</v>
      </c>
      <c r="H414" s="205" t="s">
        <v>5382</v>
      </c>
      <c r="I414" s="229" t="s">
        <v>5383</v>
      </c>
      <c r="J414" s="229" t="s">
        <v>5384</v>
      </c>
      <c r="K414" s="229" t="s">
        <v>5393</v>
      </c>
      <c r="BB414"/>
    </row>
    <row r="415" spans="1:54" x14ac:dyDescent="0.25">
      <c r="A415" s="208" t="str">
        <f t="shared" si="6"/>
        <v>Raw Materials Inventory</v>
      </c>
      <c r="B415" s="201" t="s">
        <v>256</v>
      </c>
      <c r="C415" s="201" t="s">
        <v>6739</v>
      </c>
      <c r="D415" s="201" t="s">
        <v>6740</v>
      </c>
      <c r="E415" s="201" t="s">
        <v>6741</v>
      </c>
      <c r="F415" s="201" t="s">
        <v>6742</v>
      </c>
      <c r="G415" s="201" t="s">
        <v>6743</v>
      </c>
      <c r="H415" s="201" t="s">
        <v>6744</v>
      </c>
      <c r="I415" s="201" t="s">
        <v>6745</v>
      </c>
      <c r="J415" s="201" t="s">
        <v>6746</v>
      </c>
      <c r="K415" s="201" t="s">
        <v>6747</v>
      </c>
      <c r="BB415"/>
    </row>
    <row r="416" spans="1:54" x14ac:dyDescent="0.25">
      <c r="A416" s="208" t="str">
        <f t="shared" si="6"/>
        <v>Work in Progress Inventory</v>
      </c>
      <c r="B416" s="201" t="s">
        <v>257</v>
      </c>
      <c r="C416" s="201" t="s">
        <v>6748</v>
      </c>
      <c r="D416" s="201" t="s">
        <v>6749</v>
      </c>
      <c r="E416" s="201" t="s">
        <v>6750</v>
      </c>
      <c r="F416" s="201" t="s">
        <v>6751</v>
      </c>
      <c r="G416" s="201" t="s">
        <v>6752</v>
      </c>
      <c r="H416" s="201" t="s">
        <v>6753</v>
      </c>
      <c r="I416" s="201" t="s">
        <v>6754</v>
      </c>
      <c r="J416" s="201" t="s">
        <v>6755</v>
      </c>
      <c r="K416" s="201" t="s">
        <v>6756</v>
      </c>
      <c r="BB416"/>
    </row>
    <row r="417" spans="1:54" x14ac:dyDescent="0.25">
      <c r="A417" s="208" t="str">
        <f t="shared" si="6"/>
        <v>Finished Goods Inventory</v>
      </c>
      <c r="B417" s="201" t="s">
        <v>258</v>
      </c>
      <c r="C417" s="201" t="s">
        <v>6757</v>
      </c>
      <c r="D417" s="201" t="s">
        <v>6758</v>
      </c>
      <c r="E417" s="201" t="s">
        <v>6759</v>
      </c>
      <c r="F417" s="201" t="s">
        <v>6760</v>
      </c>
      <c r="G417" s="201" t="s">
        <v>6761</v>
      </c>
      <c r="H417" s="201" t="s">
        <v>6762</v>
      </c>
      <c r="I417" s="201" t="s">
        <v>6763</v>
      </c>
      <c r="J417" s="201" t="s">
        <v>6764</v>
      </c>
      <c r="K417" s="201" t="s">
        <v>6765</v>
      </c>
      <c r="BB417"/>
    </row>
    <row r="418" spans="1:54" x14ac:dyDescent="0.25">
      <c r="A418" s="208" t="str">
        <f t="shared" si="6"/>
        <v>Other Inventory Accounts</v>
      </c>
      <c r="B418" s="201" t="s">
        <v>259</v>
      </c>
      <c r="C418" s="201" t="s">
        <v>6766</v>
      </c>
      <c r="D418" s="201" t="s">
        <v>6767</v>
      </c>
      <c r="E418" s="201" t="s">
        <v>6768</v>
      </c>
      <c r="F418" s="201" t="s">
        <v>6769</v>
      </c>
      <c r="G418" s="201" t="s">
        <v>6770</v>
      </c>
      <c r="H418" s="201" t="s">
        <v>6771</v>
      </c>
      <c r="I418" s="201" t="s">
        <v>6772</v>
      </c>
      <c r="J418" s="201" t="s">
        <v>6773</v>
      </c>
      <c r="K418" s="201" t="s">
        <v>6774</v>
      </c>
      <c r="BB418"/>
    </row>
    <row r="419" spans="1:54" x14ac:dyDescent="0.25">
      <c r="A419" s="208" t="str">
        <f t="shared" si="6"/>
        <v>Land</v>
      </c>
      <c r="B419" s="201" t="s">
        <v>260</v>
      </c>
      <c r="C419" s="201" t="s">
        <v>6775</v>
      </c>
      <c r="D419" s="201" t="s">
        <v>6775</v>
      </c>
      <c r="E419" s="201" t="s">
        <v>6776</v>
      </c>
      <c r="F419" s="201" t="s">
        <v>260</v>
      </c>
      <c r="G419" s="201" t="s">
        <v>6777</v>
      </c>
      <c r="H419" s="201" t="s">
        <v>6775</v>
      </c>
      <c r="I419" s="201" t="s">
        <v>6778</v>
      </c>
      <c r="J419" s="201" t="s">
        <v>6779</v>
      </c>
      <c r="K419" s="201" t="s">
        <v>6780</v>
      </c>
      <c r="BB419"/>
    </row>
    <row r="420" spans="1:54" x14ac:dyDescent="0.25">
      <c r="A420" s="208" t="str">
        <f t="shared" si="6"/>
        <v>Buildings</v>
      </c>
      <c r="B420" s="201" t="s">
        <v>261</v>
      </c>
      <c r="C420" s="201" t="s">
        <v>6781</v>
      </c>
      <c r="D420" s="201" t="s">
        <v>6782</v>
      </c>
      <c r="E420" s="201" t="s">
        <v>6783</v>
      </c>
      <c r="F420" s="201" t="s">
        <v>6784</v>
      </c>
      <c r="G420" s="201" t="s">
        <v>6785</v>
      </c>
      <c r="H420" s="201" t="s">
        <v>6786</v>
      </c>
      <c r="I420" s="201" t="s">
        <v>6787</v>
      </c>
      <c r="J420" s="201" t="s">
        <v>6788</v>
      </c>
      <c r="K420" s="201" t="s">
        <v>6789</v>
      </c>
      <c r="BB420"/>
    </row>
    <row r="421" spans="1:54" x14ac:dyDescent="0.25">
      <c r="A421" s="208" t="str">
        <f t="shared" si="6"/>
        <v>Machinery</v>
      </c>
      <c r="B421" s="201" t="s">
        <v>262</v>
      </c>
      <c r="C421" s="201" t="s">
        <v>6790</v>
      </c>
      <c r="D421" s="201" t="s">
        <v>6791</v>
      </c>
      <c r="E421" s="201" t="s">
        <v>6792</v>
      </c>
      <c r="F421" s="201" t="s">
        <v>6793</v>
      </c>
      <c r="G421" s="201" t="s">
        <v>6794</v>
      </c>
      <c r="H421" s="201" t="s">
        <v>6795</v>
      </c>
      <c r="I421" s="201" t="s">
        <v>6796</v>
      </c>
      <c r="J421" s="201" t="s">
        <v>6797</v>
      </c>
      <c r="K421" s="201" t="s">
        <v>6798</v>
      </c>
      <c r="BB421"/>
    </row>
    <row r="422" spans="1:54" x14ac:dyDescent="0.25">
      <c r="A422" s="208" t="str">
        <f t="shared" si="6"/>
        <v>Capitalized/Purchased Software</v>
      </c>
      <c r="B422" s="201" t="s">
        <v>38</v>
      </c>
      <c r="C422" s="198" t="s">
        <v>2453</v>
      </c>
      <c r="D422" s="198" t="s">
        <v>2454</v>
      </c>
      <c r="E422" s="229" t="s">
        <v>2455</v>
      </c>
      <c r="F422" s="229" t="s">
        <v>2602</v>
      </c>
      <c r="G422" s="229" t="s">
        <v>2603</v>
      </c>
      <c r="H422" s="205" t="s">
        <v>2527</v>
      </c>
      <c r="I422" s="229" t="s">
        <v>2528</v>
      </c>
      <c r="J422" s="229" t="s">
        <v>2529</v>
      </c>
      <c r="K422" s="229" t="s">
        <v>2652</v>
      </c>
      <c r="BB422"/>
    </row>
    <row r="423" spans="1:54" x14ac:dyDescent="0.25">
      <c r="A423" s="208" t="str">
        <f t="shared" si="6"/>
        <v>Natural Resources, at Cost</v>
      </c>
      <c r="B423" s="244" t="s">
        <v>8255</v>
      </c>
      <c r="C423" s="229" t="s">
        <v>2456</v>
      </c>
      <c r="D423" s="229" t="s">
        <v>2457</v>
      </c>
      <c r="E423" s="229" t="s">
        <v>2458</v>
      </c>
      <c r="F423" s="229" t="s">
        <v>2604</v>
      </c>
      <c r="G423" s="229" t="s">
        <v>2605</v>
      </c>
      <c r="H423" s="205" t="s">
        <v>2530</v>
      </c>
      <c r="I423" s="229" t="s">
        <v>2531</v>
      </c>
      <c r="J423" s="229" t="s">
        <v>2532</v>
      </c>
      <c r="K423" s="229" t="s">
        <v>2653</v>
      </c>
      <c r="BB423"/>
    </row>
    <row r="424" spans="1:54" x14ac:dyDescent="0.25">
      <c r="A424" s="208" t="str">
        <f t="shared" si="6"/>
        <v>Construction in Progress</v>
      </c>
      <c r="B424" s="201" t="s">
        <v>749</v>
      </c>
      <c r="C424" s="229" t="s">
        <v>2459</v>
      </c>
      <c r="D424" s="229" t="s">
        <v>2459</v>
      </c>
      <c r="E424" s="229" t="s">
        <v>2460</v>
      </c>
      <c r="F424" s="229" t="s">
        <v>2606</v>
      </c>
      <c r="G424" s="229" t="s">
        <v>2607</v>
      </c>
      <c r="H424" s="205" t="s">
        <v>2533</v>
      </c>
      <c r="I424" s="229" t="s">
        <v>2534</v>
      </c>
      <c r="J424" s="229" t="s">
        <v>2535</v>
      </c>
      <c r="K424" s="229" t="s">
        <v>2654</v>
      </c>
      <c r="BB424"/>
    </row>
    <row r="425" spans="1:54" x14ac:dyDescent="0.25">
      <c r="A425" s="208" t="str">
        <f t="shared" si="6"/>
        <v>Leasehold Improvements</v>
      </c>
      <c r="B425" s="201" t="s">
        <v>750</v>
      </c>
      <c r="C425" s="229" t="s">
        <v>2461</v>
      </c>
      <c r="D425" s="229" t="s">
        <v>2462</v>
      </c>
      <c r="E425" s="229" t="s">
        <v>2463</v>
      </c>
      <c r="F425" s="229" t="s">
        <v>2608</v>
      </c>
      <c r="G425" s="229" t="s">
        <v>2609</v>
      </c>
      <c r="H425" s="205" t="s">
        <v>2536</v>
      </c>
      <c r="I425" s="229" t="s">
        <v>2537</v>
      </c>
      <c r="J425" s="229" t="s">
        <v>2538</v>
      </c>
      <c r="K425" s="229" t="s">
        <v>2655</v>
      </c>
      <c r="BB425"/>
    </row>
    <row r="426" spans="1:54" x14ac:dyDescent="0.25">
      <c r="A426" s="208" t="str">
        <f t="shared" si="6"/>
        <v>Redeemable Minority Interest</v>
      </c>
      <c r="B426" s="201" t="s">
        <v>34</v>
      </c>
      <c r="C426" s="229" t="s">
        <v>2464</v>
      </c>
      <c r="D426" s="229" t="s">
        <v>2465</v>
      </c>
      <c r="E426" s="229" t="s">
        <v>2466</v>
      </c>
      <c r="F426" s="229" t="s">
        <v>2610</v>
      </c>
      <c r="G426" s="229" t="s">
        <v>2611</v>
      </c>
      <c r="H426" s="205" t="s">
        <v>2539</v>
      </c>
      <c r="I426" s="229" t="s">
        <v>2540</v>
      </c>
      <c r="J426" s="229" t="s">
        <v>2541</v>
      </c>
      <c r="K426" s="229" t="s">
        <v>2656</v>
      </c>
      <c r="BB426"/>
    </row>
    <row r="427" spans="1:54" x14ac:dyDescent="0.25">
      <c r="A427" s="208" t="str">
        <f t="shared" si="6"/>
        <v>Finance Division Redeemable Minority Interest</v>
      </c>
      <c r="B427" s="201" t="s">
        <v>35</v>
      </c>
      <c r="C427" s="229" t="s">
        <v>2467</v>
      </c>
      <c r="D427" s="229" t="s">
        <v>2468</v>
      </c>
      <c r="E427" s="229" t="s">
        <v>2469</v>
      </c>
      <c r="F427" s="229" t="s">
        <v>2612</v>
      </c>
      <c r="G427" s="229" t="s">
        <v>2613</v>
      </c>
      <c r="H427" s="205" t="s">
        <v>2542</v>
      </c>
      <c r="I427" s="229" t="s">
        <v>2543</v>
      </c>
      <c r="J427" s="229" t="s">
        <v>2544</v>
      </c>
      <c r="K427" s="229" t="s">
        <v>2657</v>
      </c>
      <c r="BB427"/>
    </row>
    <row r="428" spans="1:54" x14ac:dyDescent="0.25">
      <c r="A428" s="208" t="str">
        <f t="shared" si="6"/>
        <v>Total Redeemable Minority Interest</v>
      </c>
      <c r="B428" s="201" t="s">
        <v>36</v>
      </c>
      <c r="C428" s="229" t="s">
        <v>2470</v>
      </c>
      <c r="D428" s="229" t="s">
        <v>2471</v>
      </c>
      <c r="E428" s="229" t="s">
        <v>2472</v>
      </c>
      <c r="F428" s="229" t="s">
        <v>2614</v>
      </c>
      <c r="G428" s="229" t="s">
        <v>2615</v>
      </c>
      <c r="H428" s="205" t="s">
        <v>2545</v>
      </c>
      <c r="I428" s="229" t="s">
        <v>2546</v>
      </c>
      <c r="J428" s="229" t="s">
        <v>2547</v>
      </c>
      <c r="K428" s="229" t="s">
        <v>2658</v>
      </c>
      <c r="BB428"/>
    </row>
    <row r="429" spans="1:54" x14ac:dyDescent="0.25">
      <c r="A429" s="208" t="str">
        <f t="shared" si="6"/>
        <v>Finance Division Minority Interest</v>
      </c>
      <c r="B429" s="201" t="s">
        <v>37</v>
      </c>
      <c r="C429" s="229" t="s">
        <v>2473</v>
      </c>
      <c r="D429" s="229" t="s">
        <v>2474</v>
      </c>
      <c r="E429" s="229" t="s">
        <v>2475</v>
      </c>
      <c r="F429" s="229" t="s">
        <v>2616</v>
      </c>
      <c r="G429" s="229" t="s">
        <v>2617</v>
      </c>
      <c r="H429" s="205" t="s">
        <v>2548</v>
      </c>
      <c r="I429" s="229" t="s">
        <v>2549</v>
      </c>
      <c r="J429" s="229" t="s">
        <v>2550</v>
      </c>
      <c r="K429" s="229" t="s">
        <v>2659</v>
      </c>
      <c r="BB429"/>
    </row>
    <row r="430" spans="1:54" x14ac:dyDescent="0.25">
      <c r="A430" s="208" t="str">
        <f t="shared" si="6"/>
        <v>Deferred Tax Valuation Allowance</v>
      </c>
      <c r="B430" s="201" t="s">
        <v>772</v>
      </c>
      <c r="C430" s="229" t="s">
        <v>2476</v>
      </c>
      <c r="D430" s="229" t="s">
        <v>2477</v>
      </c>
      <c r="E430" s="229" t="s">
        <v>2478</v>
      </c>
      <c r="F430" s="229" t="s">
        <v>2618</v>
      </c>
      <c r="G430" s="229" t="s">
        <v>2619</v>
      </c>
      <c r="H430" s="230" t="s">
        <v>2551</v>
      </c>
      <c r="I430" s="229" t="s">
        <v>2552</v>
      </c>
      <c r="J430" s="229" t="s">
        <v>2553</v>
      </c>
      <c r="K430" s="229" t="s">
        <v>2660</v>
      </c>
      <c r="BB430"/>
    </row>
    <row r="431" spans="1:54" x14ac:dyDescent="0.25">
      <c r="A431" s="208" t="str">
        <f t="shared" si="6"/>
        <v>General Partner - Common Equity</v>
      </c>
      <c r="B431" s="201" t="s">
        <v>5</v>
      </c>
      <c r="C431" s="229" t="s">
        <v>2479</v>
      </c>
      <c r="D431" s="229" t="s">
        <v>2480</v>
      </c>
      <c r="E431" s="229" t="s">
        <v>2481</v>
      </c>
      <c r="F431" s="229" t="s">
        <v>2620</v>
      </c>
      <c r="G431" s="229" t="s">
        <v>2621</v>
      </c>
      <c r="H431" s="205" t="s">
        <v>2554</v>
      </c>
      <c r="I431" s="229" t="s">
        <v>2555</v>
      </c>
      <c r="J431" s="229" t="s">
        <v>2556</v>
      </c>
      <c r="K431" s="229" t="s">
        <v>2661</v>
      </c>
      <c r="BB431"/>
    </row>
    <row r="432" spans="1:54" x14ac:dyDescent="0.25">
      <c r="A432" s="208" t="str">
        <f t="shared" si="6"/>
        <v>General Partner - Preferred Equity</v>
      </c>
      <c r="B432" s="201" t="s">
        <v>6</v>
      </c>
      <c r="C432" s="229" t="s">
        <v>2482</v>
      </c>
      <c r="D432" s="229" t="s">
        <v>2483</v>
      </c>
      <c r="E432" s="229" t="s">
        <v>2484</v>
      </c>
      <c r="F432" s="229" t="s">
        <v>2622</v>
      </c>
      <c r="G432" s="229" t="s">
        <v>2623</v>
      </c>
      <c r="H432" s="205" t="s">
        <v>2557</v>
      </c>
      <c r="I432" s="229" t="s">
        <v>2558</v>
      </c>
      <c r="J432" s="229" t="s">
        <v>2559</v>
      </c>
      <c r="K432" s="229" t="s">
        <v>2662</v>
      </c>
      <c r="BB432"/>
    </row>
    <row r="433" spans="1:54" x14ac:dyDescent="0.25">
      <c r="A433" s="208" t="str">
        <f t="shared" si="6"/>
        <v>General Partner - Minority Interest</v>
      </c>
      <c r="B433" s="201" t="s">
        <v>7</v>
      </c>
      <c r="C433" s="229" t="s">
        <v>2485</v>
      </c>
      <c r="D433" s="229" t="s">
        <v>2486</v>
      </c>
      <c r="E433" s="229" t="s">
        <v>2487</v>
      </c>
      <c r="F433" s="229" t="s">
        <v>2624</v>
      </c>
      <c r="G433" s="229" t="s">
        <v>2625</v>
      </c>
      <c r="H433" s="205" t="s">
        <v>2560</v>
      </c>
      <c r="I433" s="229" t="s">
        <v>2561</v>
      </c>
      <c r="J433" s="229" t="s">
        <v>2562</v>
      </c>
      <c r="K433" s="229" t="s">
        <v>2663</v>
      </c>
      <c r="BB433"/>
    </row>
    <row r="434" spans="1:54" x14ac:dyDescent="0.25">
      <c r="A434" s="208" t="str">
        <f t="shared" si="6"/>
        <v>General Partner Interest (Supple)</v>
      </c>
      <c r="B434" s="201" t="s">
        <v>8</v>
      </c>
      <c r="C434" s="229" t="s">
        <v>2488</v>
      </c>
      <c r="D434" s="229" t="s">
        <v>2489</v>
      </c>
      <c r="E434" s="229" t="s">
        <v>2490</v>
      </c>
      <c r="F434" s="229" t="s">
        <v>2626</v>
      </c>
      <c r="G434" s="229" t="s">
        <v>2627</v>
      </c>
      <c r="H434" s="205" t="s">
        <v>2563</v>
      </c>
      <c r="I434" s="229" t="s">
        <v>2564</v>
      </c>
      <c r="J434" s="229" t="s">
        <v>2565</v>
      </c>
      <c r="K434" s="229" t="s">
        <v>2664</v>
      </c>
      <c r="BB434"/>
    </row>
    <row r="435" spans="1:54" x14ac:dyDescent="0.25">
      <c r="A435" s="208" t="str">
        <f t="shared" si="6"/>
        <v>Liquidation Value of Preferred Stock - Convertible</v>
      </c>
      <c r="B435" s="201" t="s">
        <v>703</v>
      </c>
      <c r="C435" s="229" t="s">
        <v>2491</v>
      </c>
      <c r="D435" s="229" t="s">
        <v>2492</v>
      </c>
      <c r="E435" s="229" t="s">
        <v>2493</v>
      </c>
      <c r="F435" s="229" t="s">
        <v>2628</v>
      </c>
      <c r="G435" s="229" t="s">
        <v>2629</v>
      </c>
      <c r="H435" s="205" t="s">
        <v>2566</v>
      </c>
      <c r="I435" s="229" t="s">
        <v>2567</v>
      </c>
      <c r="J435" s="229" t="s">
        <v>2568</v>
      </c>
      <c r="K435" s="229" t="s">
        <v>2665</v>
      </c>
      <c r="BB435"/>
    </row>
    <row r="436" spans="1:54" x14ac:dyDescent="0.25">
      <c r="A436" s="208" t="str">
        <f t="shared" si="6"/>
        <v>Liquidation Value of Preferred Stock - Non-Redeemable</v>
      </c>
      <c r="B436" s="201" t="s">
        <v>704</v>
      </c>
      <c r="C436" s="229" t="s">
        <v>2494</v>
      </c>
      <c r="D436" s="229" t="s">
        <v>2495</v>
      </c>
      <c r="E436" s="229" t="s">
        <v>2496</v>
      </c>
      <c r="F436" s="229" t="s">
        <v>2630</v>
      </c>
      <c r="G436" s="229" t="s">
        <v>2631</v>
      </c>
      <c r="H436" s="205" t="s">
        <v>2569</v>
      </c>
      <c r="I436" s="229" t="s">
        <v>2570</v>
      </c>
      <c r="J436" s="229" t="s">
        <v>2571</v>
      </c>
      <c r="K436" s="229" t="s">
        <v>2666</v>
      </c>
      <c r="BB436"/>
    </row>
    <row r="437" spans="1:54" x14ac:dyDescent="0.25">
      <c r="A437" s="208" t="str">
        <f t="shared" si="6"/>
        <v>Liquidation Value of Preferred Stock - Redeemable</v>
      </c>
      <c r="B437" s="201" t="s">
        <v>705</v>
      </c>
      <c r="C437" s="229" t="s">
        <v>2497</v>
      </c>
      <c r="D437" s="229" t="s">
        <v>2498</v>
      </c>
      <c r="E437" s="229" t="s">
        <v>2499</v>
      </c>
      <c r="F437" s="229" t="s">
        <v>2632</v>
      </c>
      <c r="G437" s="229" t="s">
        <v>2633</v>
      </c>
      <c r="H437" s="205" t="s">
        <v>2572</v>
      </c>
      <c r="I437" s="229" t="s">
        <v>2573</v>
      </c>
      <c r="J437" s="229" t="s">
        <v>2574</v>
      </c>
      <c r="K437" s="229" t="s">
        <v>2667</v>
      </c>
      <c r="BB437"/>
    </row>
    <row r="438" spans="1:54" x14ac:dyDescent="0.25">
      <c r="A438" s="208" t="str">
        <f t="shared" si="6"/>
        <v>Level 1 Assets - Quoted Prices</v>
      </c>
      <c r="B438" s="201" t="s">
        <v>706</v>
      </c>
      <c r="C438" s="229" t="s">
        <v>2500</v>
      </c>
      <c r="D438" s="229" t="s">
        <v>2501</v>
      </c>
      <c r="E438" s="229" t="s">
        <v>2502</v>
      </c>
      <c r="F438" s="229" t="s">
        <v>2634</v>
      </c>
      <c r="G438" s="229" t="s">
        <v>2635</v>
      </c>
      <c r="H438" s="205" t="s">
        <v>2575</v>
      </c>
      <c r="I438" s="229" t="s">
        <v>2576</v>
      </c>
      <c r="J438" s="229" t="s">
        <v>2577</v>
      </c>
      <c r="K438" s="229" t="s">
        <v>2668</v>
      </c>
      <c r="BB438"/>
    </row>
    <row r="439" spans="1:54" x14ac:dyDescent="0.25">
      <c r="A439" s="208" t="str">
        <f t="shared" si="6"/>
        <v>Level 2 Assets - Observable Prices</v>
      </c>
      <c r="B439" s="201" t="s">
        <v>727</v>
      </c>
      <c r="C439" s="229" t="s">
        <v>2503</v>
      </c>
      <c r="D439" s="229" t="s">
        <v>2504</v>
      </c>
      <c r="E439" s="229" t="s">
        <v>2505</v>
      </c>
      <c r="F439" s="229" t="s">
        <v>2636</v>
      </c>
      <c r="G439" s="229" t="s">
        <v>2637</v>
      </c>
      <c r="H439" s="205" t="s">
        <v>2578</v>
      </c>
      <c r="I439" s="229" t="s">
        <v>2579</v>
      </c>
      <c r="J439" s="229" t="s">
        <v>2580</v>
      </c>
      <c r="K439" s="229" t="s">
        <v>2669</v>
      </c>
      <c r="BB439"/>
    </row>
    <row r="440" spans="1:54" x14ac:dyDescent="0.25">
      <c r="A440" s="208" t="str">
        <f t="shared" si="6"/>
        <v>Level 3 Assets - Unobservable Prices</v>
      </c>
      <c r="B440" s="201" t="s">
        <v>728</v>
      </c>
      <c r="C440" s="229" t="s">
        <v>2506</v>
      </c>
      <c r="D440" s="229" t="s">
        <v>2507</v>
      </c>
      <c r="E440" s="229" t="s">
        <v>2508</v>
      </c>
      <c r="F440" s="229" t="s">
        <v>2638</v>
      </c>
      <c r="G440" s="229" t="s">
        <v>2639</v>
      </c>
      <c r="H440" s="205" t="s">
        <v>2581</v>
      </c>
      <c r="I440" s="229" t="s">
        <v>2582</v>
      </c>
      <c r="J440" s="229" t="s">
        <v>2583</v>
      </c>
      <c r="K440" s="229" t="s">
        <v>2670</v>
      </c>
      <c r="BB440"/>
    </row>
    <row r="441" spans="1:54" x14ac:dyDescent="0.25">
      <c r="A441" s="208" t="str">
        <f t="shared" si="6"/>
        <v>Netting and Other Adj. to Assets</v>
      </c>
      <c r="B441" s="201" t="s">
        <v>707</v>
      </c>
      <c r="C441" s="229" t="s">
        <v>2509</v>
      </c>
      <c r="D441" s="229" t="s">
        <v>2510</v>
      </c>
      <c r="E441" s="229" t="s">
        <v>2511</v>
      </c>
      <c r="F441" s="229" t="s">
        <v>2640</v>
      </c>
      <c r="G441" s="229" t="s">
        <v>2641</v>
      </c>
      <c r="H441" s="205" t="s">
        <v>2584</v>
      </c>
      <c r="I441" s="229" t="s">
        <v>2585</v>
      </c>
      <c r="J441" s="229" t="s">
        <v>2586</v>
      </c>
      <c r="K441" s="229" t="s">
        <v>2671</v>
      </c>
      <c r="BB441"/>
    </row>
    <row r="442" spans="1:54" x14ac:dyDescent="0.25">
      <c r="A442" s="208" t="str">
        <f t="shared" si="6"/>
        <v>Fair Value of Assets</v>
      </c>
      <c r="B442" s="201" t="s">
        <v>708</v>
      </c>
      <c r="C442" s="229" t="s">
        <v>2512</v>
      </c>
      <c r="D442" s="229" t="s">
        <v>2513</v>
      </c>
      <c r="E442" s="229" t="s">
        <v>2514</v>
      </c>
      <c r="F442" s="229" t="s">
        <v>2642</v>
      </c>
      <c r="G442" s="229" t="s">
        <v>2643</v>
      </c>
      <c r="H442" s="205" t="s">
        <v>2587</v>
      </c>
      <c r="I442" s="229" t="s">
        <v>2588</v>
      </c>
      <c r="J442" s="229" t="s">
        <v>2589</v>
      </c>
      <c r="K442" s="229" t="s">
        <v>2672</v>
      </c>
      <c r="BB442"/>
    </row>
    <row r="443" spans="1:54" x14ac:dyDescent="0.25">
      <c r="A443" s="208" t="str">
        <f t="shared" si="6"/>
        <v>Level 1 Liabilities - Quoted Prices</v>
      </c>
      <c r="B443" s="201" t="s">
        <v>709</v>
      </c>
      <c r="C443" s="229" t="s">
        <v>2515</v>
      </c>
      <c r="D443" s="229" t="s">
        <v>2516</v>
      </c>
      <c r="E443" s="229" t="s">
        <v>2517</v>
      </c>
      <c r="F443" s="229" t="s">
        <v>2644</v>
      </c>
      <c r="G443" s="229" t="s">
        <v>2645</v>
      </c>
      <c r="H443" s="205" t="s">
        <v>2590</v>
      </c>
      <c r="I443" s="229" t="s">
        <v>2591</v>
      </c>
      <c r="J443" s="229" t="s">
        <v>2592</v>
      </c>
      <c r="K443" s="229" t="s">
        <v>2673</v>
      </c>
      <c r="BB443"/>
    </row>
    <row r="444" spans="1:54" x14ac:dyDescent="0.25">
      <c r="A444" s="208" t="str">
        <f t="shared" si="6"/>
        <v>Level 2 Liabilities - Observable Prices</v>
      </c>
      <c r="B444" s="201" t="s">
        <v>729</v>
      </c>
      <c r="C444" s="229" t="s">
        <v>2518</v>
      </c>
      <c r="D444" s="229" t="s">
        <v>2519</v>
      </c>
      <c r="E444" s="229" t="s">
        <v>2520</v>
      </c>
      <c r="F444" s="229" t="s">
        <v>2646</v>
      </c>
      <c r="G444" s="229" t="s">
        <v>2647</v>
      </c>
      <c r="H444" s="205" t="s">
        <v>2593</v>
      </c>
      <c r="I444" s="229" t="s">
        <v>2594</v>
      </c>
      <c r="J444" s="229" t="s">
        <v>2595</v>
      </c>
      <c r="K444" s="229" t="s">
        <v>2674</v>
      </c>
      <c r="BB444"/>
    </row>
    <row r="445" spans="1:54" x14ac:dyDescent="0.25">
      <c r="A445" s="208" t="str">
        <f t="shared" si="6"/>
        <v>Level 3 Liabilities - Unobservable Prices</v>
      </c>
      <c r="B445" s="201" t="s">
        <v>730</v>
      </c>
      <c r="C445" s="229" t="s">
        <v>2521</v>
      </c>
      <c r="D445" s="229" t="s">
        <v>2522</v>
      </c>
      <c r="E445" s="229" t="s">
        <v>2523</v>
      </c>
      <c r="F445" s="229" t="s">
        <v>2648</v>
      </c>
      <c r="G445" s="229" t="s">
        <v>2649</v>
      </c>
      <c r="H445" s="205" t="s">
        <v>2596</v>
      </c>
      <c r="I445" s="229" t="s">
        <v>2597</v>
      </c>
      <c r="J445" s="229" t="s">
        <v>2598</v>
      </c>
      <c r="K445" s="229" t="s">
        <v>2675</v>
      </c>
      <c r="BB445"/>
    </row>
    <row r="446" spans="1:54" x14ac:dyDescent="0.25">
      <c r="A446" s="208" t="str">
        <f t="shared" si="6"/>
        <v>Netting and Other Adj. to Liabilities</v>
      </c>
      <c r="B446" s="201" t="s">
        <v>710</v>
      </c>
      <c r="C446" s="229" t="s">
        <v>2524</v>
      </c>
      <c r="D446" s="229" t="s">
        <v>2525</v>
      </c>
      <c r="E446" s="229" t="s">
        <v>2526</v>
      </c>
      <c r="F446" s="229" t="s">
        <v>2650</v>
      </c>
      <c r="G446" s="229" t="s">
        <v>2651</v>
      </c>
      <c r="H446" s="205" t="s">
        <v>2599</v>
      </c>
      <c r="I446" s="229" t="s">
        <v>2600</v>
      </c>
      <c r="J446" s="229" t="s">
        <v>2601</v>
      </c>
      <c r="K446" s="229" t="s">
        <v>2676</v>
      </c>
      <c r="BB446"/>
    </row>
    <row r="447" spans="1:54" x14ac:dyDescent="0.25">
      <c r="A447" s="208" t="str">
        <f t="shared" si="6"/>
        <v>Fair Value of Liabilities</v>
      </c>
      <c r="B447" s="201" t="s">
        <v>711</v>
      </c>
      <c r="C447" s="229" t="s">
        <v>5070</v>
      </c>
      <c r="D447" s="229" t="s">
        <v>5071</v>
      </c>
      <c r="E447" s="229" t="s">
        <v>5072</v>
      </c>
      <c r="F447" s="229" t="s">
        <v>5082</v>
      </c>
      <c r="G447" s="229" t="s">
        <v>5083</v>
      </c>
      <c r="H447" s="205" t="s">
        <v>5076</v>
      </c>
      <c r="I447" s="229" t="s">
        <v>5077</v>
      </c>
      <c r="J447" s="229" t="s">
        <v>5078</v>
      </c>
      <c r="K447" s="229" t="s">
        <v>5086</v>
      </c>
      <c r="BB447"/>
    </row>
    <row r="448" spans="1:54" x14ac:dyDescent="0.25">
      <c r="A448" s="208" t="str">
        <f t="shared" si="6"/>
        <v>Fair Value Change Included in Earnings</v>
      </c>
      <c r="B448" s="201" t="s">
        <v>712</v>
      </c>
      <c r="C448" s="229" t="s">
        <v>5073</v>
      </c>
      <c r="D448" s="229" t="s">
        <v>5074</v>
      </c>
      <c r="E448" s="229" t="s">
        <v>5075</v>
      </c>
      <c r="F448" s="229" t="s">
        <v>5084</v>
      </c>
      <c r="G448" s="229" t="s">
        <v>5085</v>
      </c>
      <c r="H448" s="205" t="s">
        <v>5079</v>
      </c>
      <c r="I448" s="229" t="s">
        <v>5080</v>
      </c>
      <c r="J448" s="229" t="s">
        <v>5081</v>
      </c>
      <c r="K448" s="229" t="s">
        <v>5087</v>
      </c>
      <c r="BB448"/>
    </row>
    <row r="449" spans="1:54" x14ac:dyDescent="0.25">
      <c r="A449" s="208" t="str">
        <f t="shared" si="6"/>
        <v>Full Time Employees</v>
      </c>
      <c r="B449" s="201" t="s">
        <v>618</v>
      </c>
      <c r="C449" s="229" t="s">
        <v>6799</v>
      </c>
      <c r="D449" s="229" t="s">
        <v>6800</v>
      </c>
      <c r="E449" s="201" t="s">
        <v>6801</v>
      </c>
      <c r="F449" s="201" t="s">
        <v>6802</v>
      </c>
      <c r="G449" s="201" t="s">
        <v>6803</v>
      </c>
      <c r="H449" s="201" t="s">
        <v>6804</v>
      </c>
      <c r="I449" s="201" t="s">
        <v>6805</v>
      </c>
      <c r="J449" s="201" t="s">
        <v>6806</v>
      </c>
      <c r="K449" s="201" t="s">
        <v>6807</v>
      </c>
      <c r="BB449"/>
    </row>
    <row r="450" spans="1:54" x14ac:dyDescent="0.25">
      <c r="A450" s="208" t="str">
        <f t="shared" si="6"/>
        <v>Part Time Employees</v>
      </c>
      <c r="B450" s="201" t="s">
        <v>619</v>
      </c>
      <c r="C450" s="229" t="s">
        <v>5088</v>
      </c>
      <c r="D450" s="229" t="s">
        <v>5089</v>
      </c>
      <c r="E450" s="229" t="s">
        <v>5090</v>
      </c>
      <c r="F450" s="229" t="s">
        <v>5172</v>
      </c>
      <c r="G450" s="229" t="s">
        <v>5173</v>
      </c>
      <c r="H450" s="205" t="s">
        <v>5130</v>
      </c>
      <c r="I450" s="229" t="s">
        <v>5131</v>
      </c>
      <c r="J450" s="229" t="s">
        <v>5132</v>
      </c>
      <c r="K450" s="229" t="s">
        <v>5200</v>
      </c>
      <c r="BB450"/>
    </row>
    <row r="451" spans="1:54" x14ac:dyDescent="0.25">
      <c r="A451" s="208" t="str">
        <f t="shared" si="6"/>
        <v>Total Employees</v>
      </c>
      <c r="B451" s="201" t="s">
        <v>620</v>
      </c>
      <c r="C451" s="229" t="s">
        <v>5091</v>
      </c>
      <c r="D451" s="229" t="s">
        <v>5092</v>
      </c>
      <c r="E451" s="229" t="s">
        <v>5093</v>
      </c>
      <c r="F451" s="229" t="s">
        <v>5174</v>
      </c>
      <c r="G451" s="229" t="s">
        <v>5175</v>
      </c>
      <c r="H451" s="205" t="s">
        <v>5133</v>
      </c>
      <c r="I451" s="229" t="s">
        <v>5134</v>
      </c>
      <c r="J451" s="229" t="s">
        <v>5135</v>
      </c>
      <c r="K451" s="229" t="s">
        <v>5201</v>
      </c>
      <c r="BB451"/>
    </row>
    <row r="452" spans="1:54" x14ac:dyDescent="0.25">
      <c r="A452" s="208" t="str">
        <f t="shared" si="6"/>
        <v>Employees Under Union Contracts</v>
      </c>
      <c r="B452" s="201" t="s">
        <v>683</v>
      </c>
      <c r="C452" s="229" t="s">
        <v>5094</v>
      </c>
      <c r="D452" s="229" t="s">
        <v>5095</v>
      </c>
      <c r="E452" s="229" t="s">
        <v>5096</v>
      </c>
      <c r="F452" s="229" t="s">
        <v>5176</v>
      </c>
      <c r="G452" s="229" t="s">
        <v>5177</v>
      </c>
      <c r="H452" s="205" t="s">
        <v>5136</v>
      </c>
      <c r="I452" s="229" t="s">
        <v>5137</v>
      </c>
      <c r="J452" s="229" t="s">
        <v>5138</v>
      </c>
      <c r="K452" s="229" t="s">
        <v>5202</v>
      </c>
      <c r="BB452"/>
    </row>
    <row r="453" spans="1:54" x14ac:dyDescent="0.25">
      <c r="A453" s="208" t="str">
        <f t="shared" si="6"/>
        <v>Avg Employees</v>
      </c>
      <c r="B453" s="201" t="s">
        <v>650</v>
      </c>
      <c r="C453" s="229" t="s">
        <v>5097</v>
      </c>
      <c r="D453" s="229" t="s">
        <v>5098</v>
      </c>
      <c r="E453" s="229" t="s">
        <v>5099</v>
      </c>
      <c r="F453" s="229" t="s">
        <v>5178</v>
      </c>
      <c r="G453" s="229" t="s">
        <v>5179</v>
      </c>
      <c r="H453" s="205" t="s">
        <v>5139</v>
      </c>
      <c r="I453" s="229" t="s">
        <v>5140</v>
      </c>
      <c r="J453" s="229" t="s">
        <v>5141</v>
      </c>
      <c r="K453" s="229" t="s">
        <v>5203</v>
      </c>
      <c r="BB453"/>
    </row>
    <row r="454" spans="1:54" x14ac:dyDescent="0.25">
      <c r="A454" s="208" t="str">
        <f t="shared" si="6"/>
        <v>Temporary/Seasonal Employees</v>
      </c>
      <c r="B454" s="201" t="s">
        <v>651</v>
      </c>
      <c r="C454" s="229" t="s">
        <v>5100</v>
      </c>
      <c r="D454" s="229" t="s">
        <v>5101</v>
      </c>
      <c r="E454" s="229" t="s">
        <v>5102</v>
      </c>
      <c r="F454" s="229" t="s">
        <v>5180</v>
      </c>
      <c r="G454" s="229" t="s">
        <v>5181</v>
      </c>
      <c r="H454" s="205" t="s">
        <v>5142</v>
      </c>
      <c r="I454" s="229" t="s">
        <v>5143</v>
      </c>
      <c r="J454" s="229" t="s">
        <v>5144</v>
      </c>
      <c r="K454" s="229" t="s">
        <v>5204</v>
      </c>
      <c r="BB454"/>
    </row>
    <row r="455" spans="1:54" x14ac:dyDescent="0.25">
      <c r="A455" s="208" t="str">
        <f t="shared" si="6"/>
        <v>Number Of ADR Holders</v>
      </c>
      <c r="B455" s="244" t="s">
        <v>8256</v>
      </c>
      <c r="C455" s="229" t="s">
        <v>5103</v>
      </c>
      <c r="D455" s="229" t="s">
        <v>5104</v>
      </c>
      <c r="E455" s="229" t="s">
        <v>5105</v>
      </c>
      <c r="F455" s="229" t="s">
        <v>5182</v>
      </c>
      <c r="G455" s="229" t="s">
        <v>5183</v>
      </c>
      <c r="H455" s="205" t="s">
        <v>5145</v>
      </c>
      <c r="I455" s="229" t="s">
        <v>5146</v>
      </c>
      <c r="J455" s="229" t="s">
        <v>5147</v>
      </c>
      <c r="K455" s="229" t="s">
        <v>5205</v>
      </c>
      <c r="BB455"/>
    </row>
    <row r="456" spans="1:54" x14ac:dyDescent="0.25">
      <c r="A456" s="208" t="str">
        <f t="shared" si="6"/>
        <v>Finance Division Long-term Debt, Total</v>
      </c>
      <c r="B456" s="201" t="s">
        <v>621</v>
      </c>
      <c r="C456" s="229" t="s">
        <v>5106</v>
      </c>
      <c r="D456" s="229" t="s">
        <v>5107</v>
      </c>
      <c r="E456" s="229" t="s">
        <v>5108</v>
      </c>
      <c r="F456" s="229" t="s">
        <v>5184</v>
      </c>
      <c r="G456" s="229" t="s">
        <v>5185</v>
      </c>
      <c r="H456" s="205" t="s">
        <v>5148</v>
      </c>
      <c r="I456" s="229" t="s">
        <v>5149</v>
      </c>
      <c r="J456" s="229" t="s">
        <v>5150</v>
      </c>
      <c r="K456" s="229" t="s">
        <v>5206</v>
      </c>
      <c r="BB456"/>
    </row>
    <row r="457" spans="1:54" x14ac:dyDescent="0.25">
      <c r="A457" s="208" t="str">
        <f t="shared" ref="A457:A520" si="7">INDEX($B457:$CV457,$A$4)</f>
        <v>Finance Division Short-term Debt, Total</v>
      </c>
      <c r="B457" s="201" t="s">
        <v>622</v>
      </c>
      <c r="C457" s="229" t="s">
        <v>5109</v>
      </c>
      <c r="D457" s="229" t="s">
        <v>5110</v>
      </c>
      <c r="E457" s="229" t="s">
        <v>5111</v>
      </c>
      <c r="F457" s="229" t="s">
        <v>5186</v>
      </c>
      <c r="G457" s="229" t="s">
        <v>5187</v>
      </c>
      <c r="H457" s="205" t="s">
        <v>5151</v>
      </c>
      <c r="I457" s="229" t="s">
        <v>5152</v>
      </c>
      <c r="J457" s="229" t="s">
        <v>5153</v>
      </c>
      <c r="K457" s="229" t="s">
        <v>5207</v>
      </c>
      <c r="BB457"/>
    </row>
    <row r="458" spans="1:54" x14ac:dyDescent="0.25">
      <c r="A458" s="208" t="str">
        <f t="shared" si="7"/>
        <v>Finance Division Debt, Total</v>
      </c>
      <c r="B458" s="201" t="s">
        <v>657</v>
      </c>
      <c r="C458" s="229" t="s">
        <v>5112</v>
      </c>
      <c r="D458" s="229" t="s">
        <v>5113</v>
      </c>
      <c r="E458" s="229" t="s">
        <v>5114</v>
      </c>
      <c r="F458" s="229" t="s">
        <v>5188</v>
      </c>
      <c r="G458" s="229" t="s">
        <v>5189</v>
      </c>
      <c r="H458" s="205" t="s">
        <v>5154</v>
      </c>
      <c r="I458" s="229" t="s">
        <v>5155</v>
      </c>
      <c r="J458" s="229" t="s">
        <v>5156</v>
      </c>
      <c r="K458" s="229" t="s">
        <v>5208</v>
      </c>
      <c r="BB458"/>
    </row>
    <row r="459" spans="1:54" x14ac:dyDescent="0.25">
      <c r="A459" s="208" t="str">
        <f t="shared" si="7"/>
        <v>Finance Division Cash and Equivalents</v>
      </c>
      <c r="B459" s="201" t="s">
        <v>663</v>
      </c>
      <c r="C459" s="229" t="s">
        <v>5115</v>
      </c>
      <c r="D459" s="229" t="s">
        <v>5116</v>
      </c>
      <c r="E459" s="229" t="s">
        <v>5117</v>
      </c>
      <c r="F459" s="229" t="s">
        <v>5190</v>
      </c>
      <c r="G459" s="229" t="s">
        <v>5191</v>
      </c>
      <c r="H459" s="205" t="s">
        <v>5157</v>
      </c>
      <c r="I459" s="229" t="s">
        <v>5158</v>
      </c>
      <c r="J459" s="229" t="s">
        <v>5159</v>
      </c>
      <c r="K459" s="229" t="s">
        <v>5209</v>
      </c>
      <c r="BB459"/>
    </row>
    <row r="460" spans="1:54" x14ac:dyDescent="0.25">
      <c r="A460" s="208" t="str">
        <f t="shared" si="7"/>
        <v>Finance Division Short-Term Investments</v>
      </c>
      <c r="B460" s="201" t="s">
        <v>664</v>
      </c>
      <c r="C460" s="229" t="s">
        <v>5118</v>
      </c>
      <c r="D460" s="229" t="s">
        <v>5119</v>
      </c>
      <c r="E460" s="229" t="s">
        <v>5120</v>
      </c>
      <c r="F460" s="229" t="s">
        <v>5192</v>
      </c>
      <c r="G460" s="229" t="s">
        <v>5193</v>
      </c>
      <c r="H460" s="205" t="s">
        <v>5160</v>
      </c>
      <c r="I460" s="229" t="s">
        <v>5161</v>
      </c>
      <c r="J460" s="229" t="s">
        <v>5162</v>
      </c>
      <c r="K460" s="229" t="s">
        <v>5210</v>
      </c>
      <c r="BB460"/>
    </row>
    <row r="461" spans="1:54" x14ac:dyDescent="0.25">
      <c r="A461" s="208" t="str">
        <f t="shared" si="7"/>
        <v>Debt Equiv. of Unfunded Proj. Benefit Obligation</v>
      </c>
      <c r="B461" s="244" t="s">
        <v>8257</v>
      </c>
      <c r="C461" s="229" t="s">
        <v>5121</v>
      </c>
      <c r="D461" s="229" t="s">
        <v>5122</v>
      </c>
      <c r="E461" s="229" t="s">
        <v>5123</v>
      </c>
      <c r="F461" s="229" t="s">
        <v>5194</v>
      </c>
      <c r="G461" s="229" t="s">
        <v>5195</v>
      </c>
      <c r="H461" s="205" t="s">
        <v>5163</v>
      </c>
      <c r="I461" s="229" t="s">
        <v>5164</v>
      </c>
      <c r="J461" s="229" t="s">
        <v>5165</v>
      </c>
      <c r="K461" s="229" t="s">
        <v>5211</v>
      </c>
      <c r="BB461"/>
    </row>
    <row r="462" spans="1:54" x14ac:dyDescent="0.25">
      <c r="A462" s="208" t="str">
        <f t="shared" si="7"/>
        <v>Debt Equivalent Oper. Leases</v>
      </c>
      <c r="B462" s="244" t="s">
        <v>8258</v>
      </c>
      <c r="C462" s="229" t="s">
        <v>5124</v>
      </c>
      <c r="D462" s="229" t="s">
        <v>5125</v>
      </c>
      <c r="E462" s="229" t="s">
        <v>5126</v>
      </c>
      <c r="F462" s="229" t="s">
        <v>5196</v>
      </c>
      <c r="G462" s="229" t="s">
        <v>5197</v>
      </c>
      <c r="H462" s="205" t="s">
        <v>5166</v>
      </c>
      <c r="I462" s="229" t="s">
        <v>5167</v>
      </c>
      <c r="J462" s="229" t="s">
        <v>5168</v>
      </c>
      <c r="K462" s="229" t="s">
        <v>5212</v>
      </c>
      <c r="BB462"/>
    </row>
    <row r="463" spans="1:54" x14ac:dyDescent="0.25">
      <c r="A463" s="208" t="str">
        <f t="shared" si="7"/>
        <v>Cost of Borrowing</v>
      </c>
      <c r="B463" s="201" t="s">
        <v>623</v>
      </c>
      <c r="C463" s="229" t="s">
        <v>5127</v>
      </c>
      <c r="D463" s="229" t="s">
        <v>5128</v>
      </c>
      <c r="E463" s="229" t="s">
        <v>5129</v>
      </c>
      <c r="F463" s="229" t="s">
        <v>5198</v>
      </c>
      <c r="G463" s="229" t="s">
        <v>5199</v>
      </c>
      <c r="H463" s="205" t="s">
        <v>5169</v>
      </c>
      <c r="I463" s="229" t="s">
        <v>5170</v>
      </c>
      <c r="J463" s="229" t="s">
        <v>5171</v>
      </c>
      <c r="K463" s="229" t="s">
        <v>5213</v>
      </c>
      <c r="BB463"/>
    </row>
    <row r="464" spans="1:54" x14ac:dyDescent="0.25">
      <c r="A464" s="208" t="str">
        <f t="shared" si="7"/>
        <v>Restricted Cash (Non-Current)</v>
      </c>
      <c r="B464" s="201" t="s">
        <v>662</v>
      </c>
      <c r="C464" s="229" t="s">
        <v>5331</v>
      </c>
      <c r="D464" s="229" t="s">
        <v>5332</v>
      </c>
      <c r="E464" s="229" t="s">
        <v>5333</v>
      </c>
      <c r="F464" s="229" t="s">
        <v>5355</v>
      </c>
      <c r="G464" s="229" t="s">
        <v>5356</v>
      </c>
      <c r="H464" s="205" t="s">
        <v>5343</v>
      </c>
      <c r="I464" s="229" t="s">
        <v>5344</v>
      </c>
      <c r="J464" s="229" t="s">
        <v>5345</v>
      </c>
      <c r="K464" s="229" t="s">
        <v>5363</v>
      </c>
      <c r="BB464"/>
    </row>
    <row r="465" spans="1:54" x14ac:dyDescent="0.25">
      <c r="A465" s="208" t="str">
        <f t="shared" si="7"/>
        <v>Total Restricted Cash</v>
      </c>
      <c r="B465" s="244" t="s">
        <v>8259</v>
      </c>
      <c r="C465" s="229" t="s">
        <v>5334</v>
      </c>
      <c r="D465" s="229" t="s">
        <v>5335</v>
      </c>
      <c r="E465" s="229" t="s">
        <v>5336</v>
      </c>
      <c r="F465" s="229" t="s">
        <v>5357</v>
      </c>
      <c r="G465" s="229" t="s">
        <v>5358</v>
      </c>
      <c r="H465" s="205" t="s">
        <v>5346</v>
      </c>
      <c r="I465" s="229" t="s">
        <v>5347</v>
      </c>
      <c r="J465" s="229" t="s">
        <v>5348</v>
      </c>
      <c r="K465" s="229" t="s">
        <v>5364</v>
      </c>
      <c r="BB465"/>
    </row>
    <row r="466" spans="1:54" x14ac:dyDescent="0.25">
      <c r="A466" s="208" t="str">
        <f t="shared" si="7"/>
        <v>Total Debt (Excl.Fin.Div.Debt)</v>
      </c>
      <c r="B466" s="201" t="s">
        <v>624</v>
      </c>
      <c r="C466" s="229" t="s">
        <v>5337</v>
      </c>
      <c r="D466" s="229" t="s">
        <v>5338</v>
      </c>
      <c r="E466" s="229" t="s">
        <v>5339</v>
      </c>
      <c r="F466" s="229" t="s">
        <v>5359</v>
      </c>
      <c r="G466" s="229" t="s">
        <v>5360</v>
      </c>
      <c r="H466" s="205" t="s">
        <v>5349</v>
      </c>
      <c r="I466" s="229" t="s">
        <v>5350</v>
      </c>
      <c r="J466" s="229" t="s">
        <v>5351</v>
      </c>
      <c r="K466" s="229" t="s">
        <v>5365</v>
      </c>
      <c r="BB466"/>
    </row>
    <row r="467" spans="1:54" x14ac:dyDescent="0.25">
      <c r="A467" s="208" t="str">
        <f t="shared" si="7"/>
        <v>Order Backlog</v>
      </c>
      <c r="B467" s="201" t="s">
        <v>625</v>
      </c>
      <c r="C467" s="229" t="s">
        <v>5340</v>
      </c>
      <c r="D467" s="229" t="s">
        <v>5341</v>
      </c>
      <c r="E467" s="229" t="s">
        <v>5342</v>
      </c>
      <c r="F467" s="229" t="s">
        <v>5361</v>
      </c>
      <c r="G467" s="229" t="s">
        <v>5362</v>
      </c>
      <c r="H467" s="205" t="s">
        <v>5352</v>
      </c>
      <c r="I467" s="229" t="s">
        <v>5353</v>
      </c>
      <c r="J467" s="229" t="s">
        <v>5354</v>
      </c>
      <c r="K467" s="229" t="s">
        <v>5366</v>
      </c>
      <c r="BB467"/>
    </row>
    <row r="468" spans="1:54" x14ac:dyDescent="0.25">
      <c r="A468" s="208" t="str">
        <f t="shared" si="7"/>
        <v>Contingent Liabilities</v>
      </c>
      <c r="B468" s="201" t="s">
        <v>684</v>
      </c>
      <c r="C468" s="229" t="s">
        <v>7614</v>
      </c>
      <c r="D468" s="229" t="s">
        <v>7615</v>
      </c>
      <c r="E468" s="201" t="s">
        <v>7616</v>
      </c>
      <c r="F468" s="201" t="s">
        <v>7617</v>
      </c>
      <c r="G468" s="201" t="s">
        <v>7618</v>
      </c>
      <c r="H468" s="201" t="s">
        <v>7619</v>
      </c>
      <c r="I468" s="201" t="s">
        <v>7620</v>
      </c>
      <c r="J468" s="201" t="s">
        <v>7621</v>
      </c>
      <c r="K468" s="201" t="s">
        <v>7622</v>
      </c>
      <c r="BB468"/>
    </row>
    <row r="469" spans="1:54" x14ac:dyDescent="0.25">
      <c r="A469" s="208" t="str">
        <f t="shared" si="7"/>
        <v>Warranty Liabilities</v>
      </c>
      <c r="B469" s="201" t="s">
        <v>774</v>
      </c>
      <c r="C469" s="229" t="s">
        <v>5214</v>
      </c>
      <c r="D469" s="229" t="s">
        <v>5215</v>
      </c>
      <c r="E469" s="229" t="s">
        <v>5216</v>
      </c>
      <c r="F469" s="229" t="s">
        <v>5292</v>
      </c>
      <c r="G469" s="229" t="s">
        <v>5293</v>
      </c>
      <c r="H469" s="230" t="s">
        <v>5253</v>
      </c>
      <c r="I469" s="229" t="s">
        <v>5254</v>
      </c>
      <c r="J469" s="229" t="s">
        <v>5255</v>
      </c>
      <c r="K469" s="229" t="s">
        <v>5318</v>
      </c>
      <c r="BB469"/>
    </row>
    <row r="470" spans="1:54" x14ac:dyDescent="0.25">
      <c r="A470" s="208" t="str">
        <f t="shared" si="7"/>
        <v>Short-Term Borrowing Derivatives</v>
      </c>
      <c r="B470" s="201" t="s">
        <v>17</v>
      </c>
      <c r="C470" s="229" t="s">
        <v>5217</v>
      </c>
      <c r="D470" s="229" t="s">
        <v>5218</v>
      </c>
      <c r="E470" s="229" t="s">
        <v>5219</v>
      </c>
      <c r="F470" s="229" t="s">
        <v>5294</v>
      </c>
      <c r="G470" s="229" t="s">
        <v>5295</v>
      </c>
      <c r="H470" s="205" t="s">
        <v>5256</v>
      </c>
      <c r="I470" s="229" t="s">
        <v>5257</v>
      </c>
      <c r="J470" s="229" t="s">
        <v>5258</v>
      </c>
      <c r="K470" s="229" t="s">
        <v>5319</v>
      </c>
      <c r="BB470"/>
    </row>
    <row r="471" spans="1:54" x14ac:dyDescent="0.25">
      <c r="A471" s="208" t="str">
        <f t="shared" si="7"/>
        <v>Curr. Port. of LT Debt Derivatives</v>
      </c>
      <c r="B471" s="201" t="s">
        <v>18</v>
      </c>
      <c r="C471" s="229" t="s">
        <v>5220</v>
      </c>
      <c r="D471" s="229" t="s">
        <v>5221</v>
      </c>
      <c r="E471" s="229" t="s">
        <v>5222</v>
      </c>
      <c r="F471" s="229" t="s">
        <v>5296</v>
      </c>
      <c r="G471" s="229" t="s">
        <v>5297</v>
      </c>
      <c r="H471" s="205" t="s">
        <v>5259</v>
      </c>
      <c r="I471" s="229" t="s">
        <v>5260</v>
      </c>
      <c r="J471" s="229" t="s">
        <v>5261</v>
      </c>
      <c r="K471" s="229" t="s">
        <v>5320</v>
      </c>
      <c r="BB471"/>
    </row>
    <row r="472" spans="1:54" x14ac:dyDescent="0.25">
      <c r="A472" s="208" t="str">
        <f t="shared" si="7"/>
        <v>Long-Term Debt Derivatives</v>
      </c>
      <c r="B472" s="201" t="s">
        <v>19</v>
      </c>
      <c r="C472" s="229" t="s">
        <v>5223</v>
      </c>
      <c r="D472" s="229" t="s">
        <v>5224</v>
      </c>
      <c r="E472" s="229" t="s">
        <v>5225</v>
      </c>
      <c r="F472" s="229" t="s">
        <v>5298</v>
      </c>
      <c r="G472" s="229" t="s">
        <v>5299</v>
      </c>
      <c r="H472" s="205" t="s">
        <v>5262</v>
      </c>
      <c r="I472" s="229" t="s">
        <v>5263</v>
      </c>
      <c r="J472" s="229" t="s">
        <v>5264</v>
      </c>
      <c r="K472" s="229" t="s">
        <v>5321</v>
      </c>
      <c r="BB472"/>
    </row>
    <row r="473" spans="1:54" x14ac:dyDescent="0.25">
      <c r="A473" s="208" t="str">
        <f t="shared" si="7"/>
        <v>Current Derivative Liabilities</v>
      </c>
      <c r="B473" s="201" t="s">
        <v>27</v>
      </c>
      <c r="C473" s="229" t="s">
        <v>5226</v>
      </c>
      <c r="D473" s="229" t="s">
        <v>5227</v>
      </c>
      <c r="E473" s="229" t="s">
        <v>5228</v>
      </c>
      <c r="F473" s="229" t="s">
        <v>5300</v>
      </c>
      <c r="G473" s="229" t="s">
        <v>5301</v>
      </c>
      <c r="H473" s="205" t="s">
        <v>5265</v>
      </c>
      <c r="I473" s="229" t="s">
        <v>5266</v>
      </c>
      <c r="J473" s="229" t="s">
        <v>5267</v>
      </c>
      <c r="K473" s="229" t="s">
        <v>5322</v>
      </c>
      <c r="BB473"/>
    </row>
    <row r="474" spans="1:54" x14ac:dyDescent="0.25">
      <c r="A474" s="208" t="str">
        <f t="shared" si="7"/>
        <v>Non-Current Derivative Liabilities</v>
      </c>
      <c r="B474" s="201" t="s">
        <v>28</v>
      </c>
      <c r="C474" s="229" t="s">
        <v>5229</v>
      </c>
      <c r="D474" s="229" t="s">
        <v>5230</v>
      </c>
      <c r="E474" s="229" t="s">
        <v>5231</v>
      </c>
      <c r="F474" s="229" t="s">
        <v>5302</v>
      </c>
      <c r="G474" s="229" t="s">
        <v>5303</v>
      </c>
      <c r="H474" s="205" t="s">
        <v>5268</v>
      </c>
      <c r="I474" s="229" t="s">
        <v>5269</v>
      </c>
      <c r="J474" s="229" t="s">
        <v>5270</v>
      </c>
      <c r="K474" s="229" t="s">
        <v>5323</v>
      </c>
      <c r="BB474"/>
    </row>
    <row r="475" spans="1:54" x14ac:dyDescent="0.25">
      <c r="A475" s="208" t="str">
        <f t="shared" si="7"/>
        <v>Derivative Trading Asset Securities</v>
      </c>
      <c r="B475" s="201" t="s">
        <v>29</v>
      </c>
      <c r="C475" s="229" t="s">
        <v>5232</v>
      </c>
      <c r="D475" s="229" t="s">
        <v>5233</v>
      </c>
      <c r="E475" s="229" t="s">
        <v>5234</v>
      </c>
      <c r="F475" s="229" t="s">
        <v>5304</v>
      </c>
      <c r="G475" s="229" t="s">
        <v>5305</v>
      </c>
      <c r="H475" s="205" t="s">
        <v>5271</v>
      </c>
      <c r="I475" s="229" t="s">
        <v>5272</v>
      </c>
      <c r="J475" s="229" t="s">
        <v>5273</v>
      </c>
      <c r="K475" s="229" t="s">
        <v>5324</v>
      </c>
      <c r="BB475"/>
    </row>
    <row r="476" spans="1:54" x14ac:dyDescent="0.25">
      <c r="A476" s="208" t="str">
        <f t="shared" si="7"/>
        <v>Current Derivative Assets</v>
      </c>
      <c r="B476" s="201" t="s">
        <v>20</v>
      </c>
      <c r="C476" s="229" t="s">
        <v>5235</v>
      </c>
      <c r="D476" s="229" t="s">
        <v>5236</v>
      </c>
      <c r="E476" s="229" t="s">
        <v>5237</v>
      </c>
      <c r="F476" s="229" t="s">
        <v>5306</v>
      </c>
      <c r="G476" s="229" t="s">
        <v>5307</v>
      </c>
      <c r="H476" s="205" t="s">
        <v>5274</v>
      </c>
      <c r="I476" s="229" t="s">
        <v>5275</v>
      </c>
      <c r="J476" s="229" t="s">
        <v>5276</v>
      </c>
      <c r="K476" s="229" t="s">
        <v>5325</v>
      </c>
      <c r="BB476"/>
    </row>
    <row r="477" spans="1:54" x14ac:dyDescent="0.25">
      <c r="A477" s="208" t="str">
        <f t="shared" si="7"/>
        <v>Long-Term Derivative Assets</v>
      </c>
      <c r="B477" s="201" t="s">
        <v>21</v>
      </c>
      <c r="C477" s="229" t="s">
        <v>5238</v>
      </c>
      <c r="D477" s="229" t="s">
        <v>5239</v>
      </c>
      <c r="E477" s="229" t="s">
        <v>5240</v>
      </c>
      <c r="F477" s="229" t="s">
        <v>5308</v>
      </c>
      <c r="G477" s="229" t="s">
        <v>5309</v>
      </c>
      <c r="H477" s="205" t="s">
        <v>5277</v>
      </c>
      <c r="I477" s="229" t="s">
        <v>5278</v>
      </c>
      <c r="J477" s="229" t="s">
        <v>5279</v>
      </c>
      <c r="K477" s="229" t="s">
        <v>5326</v>
      </c>
      <c r="BB477"/>
    </row>
    <row r="478" spans="1:54" x14ac:dyDescent="0.25">
      <c r="A478" s="208" t="str">
        <f t="shared" si="7"/>
        <v>Gross Intangible Assets</v>
      </c>
      <c r="B478" s="201" t="s">
        <v>22</v>
      </c>
      <c r="C478" s="229" t="s">
        <v>5241</v>
      </c>
      <c r="D478" s="229" t="s">
        <v>5242</v>
      </c>
      <c r="E478" s="229" t="s">
        <v>5243</v>
      </c>
      <c r="F478" s="229" t="s">
        <v>5310</v>
      </c>
      <c r="G478" s="229" t="s">
        <v>5311</v>
      </c>
      <c r="H478" s="205" t="s">
        <v>5280</v>
      </c>
      <c r="I478" s="229" t="s">
        <v>5281</v>
      </c>
      <c r="J478" s="229" t="s">
        <v>5282</v>
      </c>
      <c r="K478" s="229" t="s">
        <v>5327</v>
      </c>
      <c r="BB478"/>
    </row>
    <row r="479" spans="1:54" x14ac:dyDescent="0.25">
      <c r="A479" s="208" t="str">
        <f t="shared" si="7"/>
        <v>Accumulated Amortization of Intangible Assets</v>
      </c>
      <c r="B479" s="201" t="s">
        <v>23</v>
      </c>
      <c r="C479" s="229" t="s">
        <v>5244</v>
      </c>
      <c r="D479" s="229" t="s">
        <v>5245</v>
      </c>
      <c r="E479" s="229" t="s">
        <v>5246</v>
      </c>
      <c r="F479" s="229" t="s">
        <v>5312</v>
      </c>
      <c r="G479" s="229" t="s">
        <v>5313</v>
      </c>
      <c r="H479" s="205" t="s">
        <v>5283</v>
      </c>
      <c r="I479" s="229" t="s">
        <v>5284</v>
      </c>
      <c r="J479" s="229" t="s">
        <v>5285</v>
      </c>
      <c r="K479" s="229" t="s">
        <v>5328</v>
      </c>
      <c r="BB479"/>
    </row>
    <row r="480" spans="1:54" x14ac:dyDescent="0.25">
      <c r="A480" s="208" t="str">
        <f t="shared" si="7"/>
        <v>Gross Goodwill</v>
      </c>
      <c r="B480" s="201" t="s">
        <v>24</v>
      </c>
      <c r="C480" s="229" t="s">
        <v>5247</v>
      </c>
      <c r="D480" s="229" t="s">
        <v>5248</v>
      </c>
      <c r="E480" s="229" t="s">
        <v>5249</v>
      </c>
      <c r="F480" s="229" t="s">
        <v>5314</v>
      </c>
      <c r="G480" s="229" t="s">
        <v>5315</v>
      </c>
      <c r="H480" s="205" t="s">
        <v>5286</v>
      </c>
      <c r="I480" s="229" t="s">
        <v>5287</v>
      </c>
      <c r="J480" s="229" t="s">
        <v>5288</v>
      </c>
      <c r="K480" s="229" t="s">
        <v>5329</v>
      </c>
      <c r="BB480"/>
    </row>
    <row r="481" spans="1:54" x14ac:dyDescent="0.25">
      <c r="A481" s="208" t="str">
        <f t="shared" si="7"/>
        <v>Accumulated Amortization of Goodwill</v>
      </c>
      <c r="B481" s="201" t="s">
        <v>25</v>
      </c>
      <c r="C481" s="229" t="s">
        <v>5250</v>
      </c>
      <c r="D481" s="229" t="s">
        <v>5251</v>
      </c>
      <c r="E481" s="229" t="s">
        <v>5252</v>
      </c>
      <c r="F481" s="229" t="s">
        <v>5316</v>
      </c>
      <c r="G481" s="229" t="s">
        <v>5317</v>
      </c>
      <c r="H481" s="205" t="s">
        <v>5289</v>
      </c>
      <c r="I481" s="229" t="s">
        <v>5290</v>
      </c>
      <c r="J481" s="229" t="s">
        <v>5291</v>
      </c>
      <c r="K481" s="229" t="s">
        <v>5330</v>
      </c>
      <c r="BB481"/>
    </row>
    <row r="482" spans="1:54" x14ac:dyDescent="0.25">
      <c r="A482" s="208" t="str">
        <f t="shared" si="7"/>
        <v>Long Term Marketable Securities</v>
      </c>
      <c r="B482" s="201" t="s">
        <v>819</v>
      </c>
      <c r="C482" s="229" t="s">
        <v>4172</v>
      </c>
      <c r="D482" s="229" t="s">
        <v>4173</v>
      </c>
      <c r="E482" s="229" t="s">
        <v>4174</v>
      </c>
      <c r="F482" s="229" t="s">
        <v>4297</v>
      </c>
      <c r="G482" s="229" t="s">
        <v>4298</v>
      </c>
      <c r="H482" s="230" t="s">
        <v>4234</v>
      </c>
      <c r="I482" s="229" t="s">
        <v>4235</v>
      </c>
      <c r="J482" s="229" t="s">
        <v>4236</v>
      </c>
      <c r="K482" s="229" t="s">
        <v>4338</v>
      </c>
      <c r="BB482"/>
    </row>
    <row r="483" spans="1:54" x14ac:dyDescent="0.25">
      <c r="A483" s="208" t="str">
        <f t="shared" si="7"/>
        <v>Advances for Supplies</v>
      </c>
      <c r="B483" s="201" t="s">
        <v>820</v>
      </c>
      <c r="C483" s="229" t="s">
        <v>4175</v>
      </c>
      <c r="D483" s="229" t="s">
        <v>4176</v>
      </c>
      <c r="E483" s="229" t="s">
        <v>4177</v>
      </c>
      <c r="F483" s="229" t="s">
        <v>4299</v>
      </c>
      <c r="G483" s="229" t="s">
        <v>4300</v>
      </c>
      <c r="H483" s="230" t="s">
        <v>4237</v>
      </c>
      <c r="I483" s="229" t="s">
        <v>4238</v>
      </c>
      <c r="J483" s="229" t="s">
        <v>4239</v>
      </c>
      <c r="K483" s="229" t="s">
        <v>4339</v>
      </c>
      <c r="BB483"/>
    </row>
    <row r="484" spans="1:54" x14ac:dyDescent="0.25">
      <c r="A484" s="208" t="str">
        <f t="shared" si="7"/>
        <v>Goodwill and Intangibles (Net)</v>
      </c>
      <c r="B484" s="201" t="s">
        <v>821</v>
      </c>
      <c r="C484" s="229" t="s">
        <v>4178</v>
      </c>
      <c r="D484" s="229" t="s">
        <v>4179</v>
      </c>
      <c r="E484" s="229" t="s">
        <v>4180</v>
      </c>
      <c r="F484" s="229" t="s">
        <v>4301</v>
      </c>
      <c r="G484" s="229" t="s">
        <v>4302</v>
      </c>
      <c r="H484" s="230" t="s">
        <v>4240</v>
      </c>
      <c r="I484" s="229" t="s">
        <v>4241</v>
      </c>
      <c r="J484" s="229" t="s">
        <v>4242</v>
      </c>
      <c r="K484" s="229" t="s">
        <v>4340</v>
      </c>
      <c r="BB484"/>
    </row>
    <row r="485" spans="1:54" x14ac:dyDescent="0.25">
      <c r="A485" s="208" t="str">
        <f t="shared" si="7"/>
        <v>Goodwill (Net)</v>
      </c>
      <c r="B485" s="201" t="s">
        <v>822</v>
      </c>
      <c r="C485" s="229" t="s">
        <v>4181</v>
      </c>
      <c r="D485" s="229" t="s">
        <v>4182</v>
      </c>
      <c r="E485" s="229" t="s">
        <v>4183</v>
      </c>
      <c r="F485" s="229" t="s">
        <v>4303</v>
      </c>
      <c r="G485" s="229" t="s">
        <v>4304</v>
      </c>
      <c r="H485" s="230" t="s">
        <v>4243</v>
      </c>
      <c r="I485" s="229" t="s">
        <v>4244</v>
      </c>
      <c r="J485" s="229" t="s">
        <v>4245</v>
      </c>
      <c r="K485" s="229" t="s">
        <v>4341</v>
      </c>
      <c r="BB485"/>
    </row>
    <row r="486" spans="1:54" x14ac:dyDescent="0.25">
      <c r="A486" s="208" t="str">
        <f t="shared" si="7"/>
        <v>Intangibles (Net)</v>
      </c>
      <c r="B486" s="201" t="s">
        <v>823</v>
      </c>
      <c r="C486" s="229" t="s">
        <v>4184</v>
      </c>
      <c r="D486" s="229" t="s">
        <v>4185</v>
      </c>
      <c r="E486" s="229" t="s">
        <v>4186</v>
      </c>
      <c r="F486" s="229" t="s">
        <v>4305</v>
      </c>
      <c r="G486" s="229" t="s">
        <v>4306</v>
      </c>
      <c r="H486" s="230" t="s">
        <v>4246</v>
      </c>
      <c r="I486" s="229" t="s">
        <v>4247</v>
      </c>
      <c r="J486" s="229" t="s">
        <v>4248</v>
      </c>
      <c r="K486" s="229" t="s">
        <v>4342</v>
      </c>
      <c r="BB486"/>
    </row>
    <row r="487" spans="1:54" x14ac:dyDescent="0.25">
      <c r="A487" s="208" t="str">
        <f t="shared" si="7"/>
        <v>Intercompany Current Assets</v>
      </c>
      <c r="B487" s="244" t="s">
        <v>8260</v>
      </c>
      <c r="C487" s="229" t="s">
        <v>4187</v>
      </c>
      <c r="D487" s="229" t="s">
        <v>4188</v>
      </c>
      <c r="E487" s="229" t="s">
        <v>4189</v>
      </c>
      <c r="F487" s="229" t="s">
        <v>4307</v>
      </c>
      <c r="G487" s="229" t="s">
        <v>4308</v>
      </c>
      <c r="H487" s="230" t="s">
        <v>4249</v>
      </c>
      <c r="I487" s="229" t="s">
        <v>4250</v>
      </c>
      <c r="J487" s="229" t="s">
        <v>4251</v>
      </c>
      <c r="K487" s="229" t="s">
        <v>4343</v>
      </c>
      <c r="BB487"/>
    </row>
    <row r="488" spans="1:54" x14ac:dyDescent="0.25">
      <c r="A488" s="208" t="str">
        <f t="shared" si="7"/>
        <v>Intercompany Non-Current Assets</v>
      </c>
      <c r="B488" s="201" t="s">
        <v>824</v>
      </c>
      <c r="C488" s="229" t="s">
        <v>4190</v>
      </c>
      <c r="D488" s="229" t="s">
        <v>4191</v>
      </c>
      <c r="E488" s="229" t="s">
        <v>4192</v>
      </c>
      <c r="F488" s="229" t="s">
        <v>4309</v>
      </c>
      <c r="G488" s="229" t="s">
        <v>4310</v>
      </c>
      <c r="H488" s="230" t="s">
        <v>4252</v>
      </c>
      <c r="I488" s="229" t="s">
        <v>4253</v>
      </c>
      <c r="J488" s="229" t="s">
        <v>4254</v>
      </c>
      <c r="K488" s="229" t="s">
        <v>4344</v>
      </c>
      <c r="BB488"/>
    </row>
    <row r="489" spans="1:54" x14ac:dyDescent="0.25">
      <c r="A489" s="208" t="str">
        <f t="shared" si="7"/>
        <v>Intercompany Current Liabilities</v>
      </c>
      <c r="B489" s="201" t="s">
        <v>825</v>
      </c>
      <c r="C489" s="229" t="s">
        <v>4193</v>
      </c>
      <c r="D489" s="229" t="s">
        <v>4194</v>
      </c>
      <c r="E489" s="229" t="s">
        <v>4195</v>
      </c>
      <c r="F489" s="229" t="s">
        <v>4311</v>
      </c>
      <c r="G489" s="229" t="s">
        <v>4312</v>
      </c>
      <c r="H489" s="230" t="s">
        <v>4255</v>
      </c>
      <c r="I489" s="229" t="s">
        <v>4256</v>
      </c>
      <c r="J489" s="229" t="s">
        <v>4257</v>
      </c>
      <c r="K489" s="229" t="s">
        <v>4345</v>
      </c>
      <c r="BB489"/>
    </row>
    <row r="490" spans="1:54" x14ac:dyDescent="0.25">
      <c r="A490" s="208" t="str">
        <f t="shared" si="7"/>
        <v>Intercompany Non-Current Liabilities</v>
      </c>
      <c r="B490" s="201" t="s">
        <v>826</v>
      </c>
      <c r="C490" s="229" t="s">
        <v>4196</v>
      </c>
      <c r="D490" s="229" t="s">
        <v>4197</v>
      </c>
      <c r="E490" s="229" t="s">
        <v>4198</v>
      </c>
      <c r="F490" s="229" t="s">
        <v>4313</v>
      </c>
      <c r="G490" s="229" t="s">
        <v>4314</v>
      </c>
      <c r="H490" s="230" t="s">
        <v>4258</v>
      </c>
      <c r="I490" s="229" t="s">
        <v>4259</v>
      </c>
      <c r="J490" s="229" t="s">
        <v>4260</v>
      </c>
      <c r="K490" s="229" t="s">
        <v>4346</v>
      </c>
      <c r="BB490"/>
    </row>
    <row r="491" spans="1:54" x14ac:dyDescent="0.25">
      <c r="A491" s="208" t="str">
        <f t="shared" si="7"/>
        <v>Auditor Name</v>
      </c>
      <c r="B491" s="201" t="s">
        <v>660</v>
      </c>
      <c r="C491" s="229" t="s">
        <v>4199</v>
      </c>
      <c r="D491" s="229" t="s">
        <v>4200</v>
      </c>
      <c r="E491" s="229" t="s">
        <v>4201</v>
      </c>
      <c r="F491" s="229" t="s">
        <v>4315</v>
      </c>
      <c r="G491" s="229" t="s">
        <v>4316</v>
      </c>
      <c r="H491" s="230" t="s">
        <v>4261</v>
      </c>
      <c r="I491" s="229" t="s">
        <v>4262</v>
      </c>
      <c r="J491" s="229" t="s">
        <v>4263</v>
      </c>
      <c r="K491" s="229" t="s">
        <v>4347</v>
      </c>
      <c r="BB491"/>
    </row>
    <row r="492" spans="1:54" x14ac:dyDescent="0.25">
      <c r="A492" s="208" t="str">
        <f t="shared" si="7"/>
        <v>Auditor Opinion</v>
      </c>
      <c r="B492" s="201" t="s">
        <v>661</v>
      </c>
      <c r="C492" s="229" t="s">
        <v>4202</v>
      </c>
      <c r="D492" s="229" t="s">
        <v>4203</v>
      </c>
      <c r="E492" s="229" t="s">
        <v>4204</v>
      </c>
      <c r="F492" s="229" t="s">
        <v>4317</v>
      </c>
      <c r="G492" s="229" t="s">
        <v>4318</v>
      </c>
      <c r="H492" s="230" t="s">
        <v>4264</v>
      </c>
      <c r="I492" s="229" t="s">
        <v>4265</v>
      </c>
      <c r="J492" s="229" t="s">
        <v>4266</v>
      </c>
      <c r="K492" s="229" t="s">
        <v>4348</v>
      </c>
      <c r="BB492"/>
    </row>
    <row r="493" spans="1:54" x14ac:dyDescent="0.25">
      <c r="A493" s="208" t="str">
        <f t="shared" si="7"/>
        <v>Pension</v>
      </c>
      <c r="B493" s="201" t="s">
        <v>632</v>
      </c>
      <c r="C493" s="229" t="s">
        <v>4205</v>
      </c>
      <c r="D493" s="229" t="s">
        <v>4206</v>
      </c>
      <c r="E493" s="229" t="s">
        <v>632</v>
      </c>
      <c r="F493" s="229" t="s">
        <v>632</v>
      </c>
      <c r="G493" s="229" t="s">
        <v>4319</v>
      </c>
      <c r="H493" s="230" t="s">
        <v>4267</v>
      </c>
      <c r="I493" s="229" t="s">
        <v>4268</v>
      </c>
      <c r="J493" s="229" t="s">
        <v>4269</v>
      </c>
      <c r="K493" s="229" t="s">
        <v>4349</v>
      </c>
      <c r="BB493"/>
    </row>
    <row r="494" spans="1:54" x14ac:dyDescent="0.25">
      <c r="A494" s="208" t="str">
        <f t="shared" si="7"/>
        <v>Defined Benefit Net Periodic Cost</v>
      </c>
      <c r="B494" s="201" t="s">
        <v>456</v>
      </c>
      <c r="C494" s="229" t="s">
        <v>4207</v>
      </c>
      <c r="D494" s="229" t="s">
        <v>4208</v>
      </c>
      <c r="E494" s="229" t="s">
        <v>4209</v>
      </c>
      <c r="F494" s="229" t="s">
        <v>4320</v>
      </c>
      <c r="G494" s="229" t="s">
        <v>4321</v>
      </c>
      <c r="H494" s="230" t="s">
        <v>4270</v>
      </c>
      <c r="I494" s="229" t="s">
        <v>4271</v>
      </c>
      <c r="J494" s="229" t="s">
        <v>4272</v>
      </c>
      <c r="K494" s="229" t="s">
        <v>4350</v>
      </c>
      <c r="BB494"/>
    </row>
    <row r="495" spans="1:54" x14ac:dyDescent="0.25">
      <c r="A495" s="208" t="str">
        <f t="shared" si="7"/>
        <v>Def. Benefit Service Cost</v>
      </c>
      <c r="B495" s="201" t="s">
        <v>449</v>
      </c>
      <c r="C495" s="229" t="s">
        <v>4210</v>
      </c>
      <c r="D495" s="229" t="s">
        <v>4211</v>
      </c>
      <c r="E495" s="229" t="s">
        <v>4212</v>
      </c>
      <c r="F495" s="229" t="s">
        <v>4322</v>
      </c>
      <c r="G495" s="229" t="s">
        <v>4323</v>
      </c>
      <c r="H495" s="230" t="s">
        <v>4273</v>
      </c>
      <c r="I495" s="229" t="s">
        <v>4274</v>
      </c>
      <c r="J495" s="229" t="s">
        <v>4275</v>
      </c>
      <c r="K495" s="229" t="s">
        <v>4351</v>
      </c>
      <c r="BB495"/>
    </row>
    <row r="496" spans="1:54" x14ac:dyDescent="0.25">
      <c r="A496" s="208" t="str">
        <f t="shared" si="7"/>
        <v>Def. Benefit Interest Cost</v>
      </c>
      <c r="B496" s="201" t="s">
        <v>450</v>
      </c>
      <c r="C496" s="229" t="s">
        <v>4213</v>
      </c>
      <c r="D496" s="229" t="s">
        <v>4214</v>
      </c>
      <c r="E496" s="229" t="s">
        <v>4215</v>
      </c>
      <c r="F496" s="229" t="s">
        <v>4324</v>
      </c>
      <c r="G496" s="229" t="s">
        <v>4325</v>
      </c>
      <c r="H496" s="230" t="s">
        <v>4276</v>
      </c>
      <c r="I496" s="229" t="s">
        <v>4277</v>
      </c>
      <c r="J496" s="229" t="s">
        <v>4278</v>
      </c>
      <c r="K496" s="229" t="s">
        <v>4352</v>
      </c>
      <c r="BB496"/>
    </row>
    <row r="497" spans="1:54" x14ac:dyDescent="0.25">
      <c r="A497" s="208" t="str">
        <f t="shared" si="7"/>
        <v>Def. Benefit Return on Assets</v>
      </c>
      <c r="B497" s="201" t="s">
        <v>451</v>
      </c>
      <c r="C497" s="229" t="s">
        <v>4216</v>
      </c>
      <c r="D497" s="229" t="s">
        <v>4217</v>
      </c>
      <c r="E497" s="229" t="s">
        <v>4218</v>
      </c>
      <c r="F497" s="229" t="s">
        <v>4326</v>
      </c>
      <c r="G497" s="229" t="s">
        <v>4327</v>
      </c>
      <c r="H497" s="230" t="s">
        <v>4279</v>
      </c>
      <c r="I497" s="229" t="s">
        <v>4280</v>
      </c>
      <c r="J497" s="229" t="s">
        <v>4281</v>
      </c>
      <c r="K497" s="229" t="s">
        <v>4353</v>
      </c>
      <c r="BB497"/>
    </row>
    <row r="498" spans="1:54" x14ac:dyDescent="0.25">
      <c r="A498" s="208" t="str">
        <f t="shared" si="7"/>
        <v>Def. Benefit Other Cost</v>
      </c>
      <c r="B498" s="201" t="s">
        <v>452</v>
      </c>
      <c r="C498" s="229" t="s">
        <v>4219</v>
      </c>
      <c r="D498" s="229" t="s">
        <v>4220</v>
      </c>
      <c r="E498" s="229" t="s">
        <v>4221</v>
      </c>
      <c r="F498" s="229" t="s">
        <v>4328</v>
      </c>
      <c r="G498" s="229" t="s">
        <v>4329</v>
      </c>
      <c r="H498" s="230" t="s">
        <v>4282</v>
      </c>
      <c r="I498" s="229" t="s">
        <v>4283</v>
      </c>
      <c r="J498" s="229" t="s">
        <v>4284</v>
      </c>
      <c r="K498" s="229" t="s">
        <v>4354</v>
      </c>
      <c r="BB498"/>
    </row>
    <row r="499" spans="1:54" x14ac:dyDescent="0.25">
      <c r="A499" s="208" t="str">
        <f t="shared" si="7"/>
        <v>Def. Benefit Total Cost</v>
      </c>
      <c r="B499" s="201" t="s">
        <v>453</v>
      </c>
      <c r="C499" s="229" t="s">
        <v>4222</v>
      </c>
      <c r="D499" s="229" t="s">
        <v>4223</v>
      </c>
      <c r="E499" s="229" t="s">
        <v>4224</v>
      </c>
      <c r="F499" s="229" t="s">
        <v>4330</v>
      </c>
      <c r="G499" s="229" t="s">
        <v>4331</v>
      </c>
      <c r="H499" s="230" t="s">
        <v>4285</v>
      </c>
      <c r="I499" s="229" t="s">
        <v>4286</v>
      </c>
      <c r="J499" s="229" t="s">
        <v>4287</v>
      </c>
      <c r="K499" s="229" t="s">
        <v>4355</v>
      </c>
      <c r="BB499"/>
    </row>
    <row r="500" spans="1:54" x14ac:dyDescent="0.25">
      <c r="A500" s="208" t="str">
        <f t="shared" si="7"/>
        <v>Def. Benefit Total Cost of Supple Plans</v>
      </c>
      <c r="B500" s="201" t="s">
        <v>2</v>
      </c>
      <c r="C500" s="229" t="s">
        <v>4225</v>
      </c>
      <c r="D500" s="229" t="s">
        <v>4226</v>
      </c>
      <c r="E500" s="229" t="s">
        <v>4227</v>
      </c>
      <c r="F500" s="229" t="s">
        <v>4332</v>
      </c>
      <c r="G500" s="229" t="s">
        <v>4333</v>
      </c>
      <c r="H500" s="230" t="s">
        <v>4288</v>
      </c>
      <c r="I500" s="229" t="s">
        <v>4289</v>
      </c>
      <c r="J500" s="229" t="s">
        <v>4290</v>
      </c>
      <c r="K500" s="229" t="s">
        <v>4356</v>
      </c>
      <c r="BB500"/>
    </row>
    <row r="501" spans="1:54" x14ac:dyDescent="0.25">
      <c r="A501" s="208" t="str">
        <f t="shared" si="7"/>
        <v>Def. Contribution Cost</v>
      </c>
      <c r="B501" s="201" t="s">
        <v>454</v>
      </c>
      <c r="C501" s="229" t="s">
        <v>4228</v>
      </c>
      <c r="D501" s="229" t="s">
        <v>4229</v>
      </c>
      <c r="E501" s="229" t="s">
        <v>4230</v>
      </c>
      <c r="F501" s="229" t="s">
        <v>4334</v>
      </c>
      <c r="G501" s="229" t="s">
        <v>4335</v>
      </c>
      <c r="H501" s="230" t="s">
        <v>4291</v>
      </c>
      <c r="I501" s="229" t="s">
        <v>4292</v>
      </c>
      <c r="J501" s="229" t="s">
        <v>4293</v>
      </c>
      <c r="K501" s="229" t="s">
        <v>4357</v>
      </c>
      <c r="BB501"/>
    </row>
    <row r="502" spans="1:54" x14ac:dyDescent="0.25">
      <c r="A502" s="208" t="str">
        <f t="shared" si="7"/>
        <v>Total Pension Expense</v>
      </c>
      <c r="B502" s="201" t="s">
        <v>455</v>
      </c>
      <c r="C502" s="229" t="s">
        <v>4231</v>
      </c>
      <c r="D502" s="229" t="s">
        <v>4232</v>
      </c>
      <c r="E502" s="229" t="s">
        <v>4233</v>
      </c>
      <c r="F502" s="229" t="s">
        <v>4336</v>
      </c>
      <c r="G502" s="229" t="s">
        <v>4337</v>
      </c>
      <c r="H502" s="230" t="s">
        <v>4294</v>
      </c>
      <c r="I502" s="229" t="s">
        <v>4295</v>
      </c>
      <c r="J502" s="229" t="s">
        <v>4296</v>
      </c>
      <c r="K502" s="229" t="s">
        <v>4358</v>
      </c>
      <c r="BB502"/>
    </row>
    <row r="503" spans="1:54" x14ac:dyDescent="0.25">
      <c r="A503" s="208" t="str">
        <f t="shared" si="7"/>
        <v>Defined Benefit Obligation</v>
      </c>
      <c r="B503" s="201" t="s">
        <v>457</v>
      </c>
      <c r="C503" s="229" t="s">
        <v>4359</v>
      </c>
      <c r="D503" s="229" t="s">
        <v>4360</v>
      </c>
      <c r="E503" s="229" t="s">
        <v>4361</v>
      </c>
      <c r="F503" s="229" t="s">
        <v>4371</v>
      </c>
      <c r="G503" s="229" t="s">
        <v>4372</v>
      </c>
      <c r="H503" s="230" t="s">
        <v>4365</v>
      </c>
      <c r="I503" s="229" t="s">
        <v>4366</v>
      </c>
      <c r="J503" s="229" t="s">
        <v>4367</v>
      </c>
      <c r="K503" s="229" t="s">
        <v>4375</v>
      </c>
      <c r="BB503"/>
    </row>
    <row r="504" spans="1:54" x14ac:dyDescent="0.25">
      <c r="A504" s="208" t="str">
        <f t="shared" si="7"/>
        <v>Beg. Def. Benefit Obligation</v>
      </c>
      <c r="B504" s="201" t="s">
        <v>458</v>
      </c>
      <c r="C504" s="229" t="s">
        <v>4362</v>
      </c>
      <c r="D504" s="229" t="s">
        <v>4363</v>
      </c>
      <c r="E504" s="229" t="s">
        <v>4364</v>
      </c>
      <c r="F504" s="229" t="s">
        <v>4373</v>
      </c>
      <c r="G504" s="229" t="s">
        <v>4374</v>
      </c>
      <c r="H504" s="230" t="s">
        <v>4368</v>
      </c>
      <c r="I504" s="229" t="s">
        <v>4369</v>
      </c>
      <c r="J504" s="229" t="s">
        <v>4370</v>
      </c>
      <c r="K504" s="229" t="s">
        <v>4376</v>
      </c>
      <c r="BB504"/>
    </row>
    <row r="505" spans="1:54" x14ac:dyDescent="0.25">
      <c r="A505" s="208" t="str">
        <f t="shared" si="7"/>
        <v>Def. Benefit Employee Contributions</v>
      </c>
      <c r="B505" s="201" t="s">
        <v>459</v>
      </c>
      <c r="C505" s="229" t="s">
        <v>4377</v>
      </c>
      <c r="D505" s="229" t="s">
        <v>4378</v>
      </c>
      <c r="E505" s="229" t="s">
        <v>4379</v>
      </c>
      <c r="F505" s="229" t="s">
        <v>4423</v>
      </c>
      <c r="G505" s="229" t="s">
        <v>4424</v>
      </c>
      <c r="H505" s="230" t="s">
        <v>4399</v>
      </c>
      <c r="I505" s="229" t="s">
        <v>4400</v>
      </c>
      <c r="J505" s="229" t="s">
        <v>4401</v>
      </c>
      <c r="K505" s="229" t="s">
        <v>4438</v>
      </c>
      <c r="BB505"/>
    </row>
    <row r="506" spans="1:54" x14ac:dyDescent="0.25">
      <c r="A506" s="208" t="str">
        <f t="shared" si="7"/>
        <v>Def. Benefit Actuarial Gain/Losses</v>
      </c>
      <c r="B506" s="201" t="s">
        <v>460</v>
      </c>
      <c r="C506" s="229" t="s">
        <v>4380</v>
      </c>
      <c r="D506" s="229" t="s">
        <v>4381</v>
      </c>
      <c r="E506" s="229" t="s">
        <v>4382</v>
      </c>
      <c r="F506" s="229" t="s">
        <v>4425</v>
      </c>
      <c r="G506" s="229" t="s">
        <v>4426</v>
      </c>
      <c r="H506" s="230" t="s">
        <v>4402</v>
      </c>
      <c r="I506" s="229" t="s">
        <v>4403</v>
      </c>
      <c r="J506" s="229" t="s">
        <v>4404</v>
      </c>
      <c r="K506" s="229" t="s">
        <v>4439</v>
      </c>
      <c r="BB506"/>
    </row>
    <row r="507" spans="1:54" x14ac:dyDescent="0.25">
      <c r="A507" s="208" t="str">
        <f t="shared" si="7"/>
        <v>Def. Benefits Paid</v>
      </c>
      <c r="B507" s="201" t="s">
        <v>8248</v>
      </c>
      <c r="C507" s="229" t="s">
        <v>4383</v>
      </c>
      <c r="D507" s="229" t="s">
        <v>4384</v>
      </c>
      <c r="E507" s="229" t="s">
        <v>4385</v>
      </c>
      <c r="F507" s="229" t="s">
        <v>4427</v>
      </c>
      <c r="G507" s="229" t="s">
        <v>4428</v>
      </c>
      <c r="H507" s="230" t="s">
        <v>4405</v>
      </c>
      <c r="I507" s="229" t="s">
        <v>4406</v>
      </c>
      <c r="J507" s="229" t="s">
        <v>4407</v>
      </c>
      <c r="K507" s="229" t="s">
        <v>4440</v>
      </c>
      <c r="BB507"/>
    </row>
    <row r="508" spans="1:54" x14ac:dyDescent="0.25">
      <c r="A508" s="208" t="str">
        <f t="shared" si="7"/>
        <v>Foreign Exchange Adj.</v>
      </c>
      <c r="B508" s="201" t="s">
        <v>461</v>
      </c>
      <c r="C508" s="229" t="s">
        <v>2875</v>
      </c>
      <c r="D508" s="229" t="s">
        <v>2876</v>
      </c>
      <c r="E508" s="229" t="s">
        <v>4386</v>
      </c>
      <c r="F508" s="229" t="s">
        <v>4429</v>
      </c>
      <c r="G508" s="229" t="s">
        <v>4430</v>
      </c>
      <c r="H508" s="230" t="s">
        <v>4408</v>
      </c>
      <c r="I508" s="229" t="s">
        <v>4409</v>
      </c>
      <c r="J508" s="229" t="s">
        <v>4410</v>
      </c>
      <c r="K508" s="229" t="s">
        <v>3173</v>
      </c>
      <c r="BB508"/>
    </row>
    <row r="509" spans="1:54" x14ac:dyDescent="0.25">
      <c r="A509" s="208" t="str">
        <f t="shared" si="7"/>
        <v>Acq. Benefit Obligation</v>
      </c>
      <c r="B509" s="201" t="s">
        <v>462</v>
      </c>
      <c r="C509" s="229" t="s">
        <v>4387</v>
      </c>
      <c r="D509" s="229" t="s">
        <v>4388</v>
      </c>
      <c r="E509" s="229" t="s">
        <v>4389</v>
      </c>
      <c r="F509" s="229" t="s">
        <v>2824</v>
      </c>
      <c r="G509" s="229" t="s">
        <v>4431</v>
      </c>
      <c r="H509" s="230" t="s">
        <v>4411</v>
      </c>
      <c r="I509" s="229" t="s">
        <v>4412</v>
      </c>
      <c r="J509" s="229" t="s">
        <v>4413</v>
      </c>
      <c r="K509" s="229" t="s">
        <v>4441</v>
      </c>
      <c r="BB509"/>
    </row>
    <row r="510" spans="1:54" x14ac:dyDescent="0.25">
      <c r="A510" s="208" t="str">
        <f t="shared" si="7"/>
        <v>Def. Benefit Settlement/Curtailment</v>
      </c>
      <c r="B510" s="201" t="s">
        <v>463</v>
      </c>
      <c r="C510" s="229" t="s">
        <v>4390</v>
      </c>
      <c r="D510" s="229" t="s">
        <v>4391</v>
      </c>
      <c r="E510" s="229" t="s">
        <v>4392</v>
      </c>
      <c r="F510" s="229" t="s">
        <v>4432</v>
      </c>
      <c r="G510" s="229" t="s">
        <v>4433</v>
      </c>
      <c r="H510" s="230" t="s">
        <v>4414</v>
      </c>
      <c r="I510" s="229" t="s">
        <v>4415</v>
      </c>
      <c r="J510" s="229" t="s">
        <v>4416</v>
      </c>
      <c r="K510" s="229" t="s">
        <v>4442</v>
      </c>
      <c r="BB510"/>
    </row>
    <row r="511" spans="1:54" x14ac:dyDescent="0.25">
      <c r="A511" s="208" t="str">
        <f t="shared" si="7"/>
        <v>Other Adj. To Def. Benefit Obligation</v>
      </c>
      <c r="B511" s="201" t="s">
        <v>464</v>
      </c>
      <c r="C511" s="229" t="s">
        <v>4393</v>
      </c>
      <c r="D511" s="229" t="s">
        <v>4394</v>
      </c>
      <c r="E511" s="229" t="s">
        <v>4395</v>
      </c>
      <c r="F511" s="229" t="s">
        <v>4434</v>
      </c>
      <c r="G511" s="229" t="s">
        <v>4435</v>
      </c>
      <c r="H511" s="230" t="s">
        <v>4417</v>
      </c>
      <c r="I511" s="229" t="s">
        <v>4418</v>
      </c>
      <c r="J511" s="229" t="s">
        <v>4419</v>
      </c>
      <c r="K511" s="229" t="s">
        <v>4443</v>
      </c>
      <c r="BB511"/>
    </row>
    <row r="512" spans="1:54" x14ac:dyDescent="0.25">
      <c r="A512" s="208" t="str">
        <f t="shared" si="7"/>
        <v>Proj. Benefit Obligation</v>
      </c>
      <c r="B512" s="201" t="s">
        <v>465</v>
      </c>
      <c r="C512" s="229" t="s">
        <v>4396</v>
      </c>
      <c r="D512" s="229" t="s">
        <v>4397</v>
      </c>
      <c r="E512" s="229" t="s">
        <v>4398</v>
      </c>
      <c r="F512" s="229" t="s">
        <v>4436</v>
      </c>
      <c r="G512" s="229" t="s">
        <v>4437</v>
      </c>
      <c r="H512" s="230" t="s">
        <v>4420</v>
      </c>
      <c r="I512" s="229" t="s">
        <v>4421</v>
      </c>
      <c r="J512" s="229" t="s">
        <v>4422</v>
      </c>
      <c r="K512" s="229" t="s">
        <v>4444</v>
      </c>
      <c r="BB512"/>
    </row>
    <row r="513" spans="1:54" x14ac:dyDescent="0.25">
      <c r="A513" s="208" t="str">
        <f t="shared" si="7"/>
        <v>Accum. Benefit Obligation (Pension)</v>
      </c>
      <c r="B513" s="201" t="s">
        <v>466</v>
      </c>
      <c r="C513" s="229" t="s">
        <v>2856</v>
      </c>
      <c r="D513" s="229" t="s">
        <v>2857</v>
      </c>
      <c r="E513" s="229" t="s">
        <v>2858</v>
      </c>
      <c r="F513" s="229" t="s">
        <v>3088</v>
      </c>
      <c r="G513" s="229" t="s">
        <v>3089</v>
      </c>
      <c r="H513" s="230" t="s">
        <v>2971</v>
      </c>
      <c r="I513" s="229" t="s">
        <v>2972</v>
      </c>
      <c r="J513" s="229" t="s">
        <v>2973</v>
      </c>
      <c r="K513" s="229" t="s">
        <v>3166</v>
      </c>
      <c r="BB513"/>
    </row>
    <row r="514" spans="1:54" x14ac:dyDescent="0.25">
      <c r="A514" s="208" t="str">
        <f t="shared" si="7"/>
        <v>Plan Assets</v>
      </c>
      <c r="B514" s="201" t="s">
        <v>467</v>
      </c>
      <c r="C514" s="229" t="s">
        <v>2859</v>
      </c>
      <c r="D514" s="229" t="s">
        <v>2860</v>
      </c>
      <c r="E514" s="229" t="s">
        <v>2861</v>
      </c>
      <c r="F514" s="229" t="s">
        <v>3090</v>
      </c>
      <c r="G514" s="229" t="s">
        <v>3091</v>
      </c>
      <c r="H514" s="230" t="s">
        <v>2974</v>
      </c>
      <c r="I514" s="229" t="s">
        <v>2975</v>
      </c>
      <c r="J514" s="229" t="s">
        <v>2976</v>
      </c>
      <c r="K514" s="229" t="s">
        <v>3167</v>
      </c>
      <c r="BB514"/>
    </row>
    <row r="515" spans="1:54" x14ac:dyDescent="0.25">
      <c r="A515" s="208" t="str">
        <f t="shared" si="7"/>
        <v>Beg. Plan Assets</v>
      </c>
      <c r="B515" s="201" t="s">
        <v>468</v>
      </c>
      <c r="C515" s="229" t="s">
        <v>2862</v>
      </c>
      <c r="D515" s="229" t="s">
        <v>2863</v>
      </c>
      <c r="E515" s="229" t="s">
        <v>2864</v>
      </c>
      <c r="F515" s="229" t="s">
        <v>3092</v>
      </c>
      <c r="G515" s="229" t="s">
        <v>3093</v>
      </c>
      <c r="H515" s="230" t="s">
        <v>2977</v>
      </c>
      <c r="I515" s="229" t="s">
        <v>2978</v>
      </c>
      <c r="J515" s="229" t="s">
        <v>2979</v>
      </c>
      <c r="K515" s="229" t="s">
        <v>3168</v>
      </c>
      <c r="BB515"/>
    </row>
    <row r="516" spans="1:54" x14ac:dyDescent="0.25">
      <c r="A516" s="208" t="str">
        <f t="shared" si="7"/>
        <v>Actual Return on Plan Assets</v>
      </c>
      <c r="B516" s="201" t="s">
        <v>469</v>
      </c>
      <c r="C516" s="229" t="s">
        <v>2865</v>
      </c>
      <c r="D516" s="229" t="s">
        <v>2866</v>
      </c>
      <c r="E516" s="229" t="s">
        <v>2867</v>
      </c>
      <c r="F516" s="229" t="s">
        <v>3094</v>
      </c>
      <c r="G516" s="229" t="s">
        <v>3095</v>
      </c>
      <c r="H516" s="230" t="s">
        <v>2980</v>
      </c>
      <c r="I516" s="229" t="s">
        <v>2981</v>
      </c>
      <c r="J516" s="229" t="s">
        <v>2982</v>
      </c>
      <c r="K516" s="229" t="s">
        <v>3169</v>
      </c>
      <c r="BB516"/>
    </row>
    <row r="517" spans="1:54" x14ac:dyDescent="0.25">
      <c r="A517" s="208" t="str">
        <f t="shared" si="7"/>
        <v>Employer Contributions</v>
      </c>
      <c r="B517" s="201" t="s">
        <v>470</v>
      </c>
      <c r="C517" s="229" t="s">
        <v>2868</v>
      </c>
      <c r="D517" s="229" t="s">
        <v>2868</v>
      </c>
      <c r="E517" s="229" t="s">
        <v>2869</v>
      </c>
      <c r="F517" s="229" t="s">
        <v>3096</v>
      </c>
      <c r="G517" s="229" t="s">
        <v>3097</v>
      </c>
      <c r="H517" s="230" t="s">
        <v>2983</v>
      </c>
      <c r="I517" s="229" t="s">
        <v>2984</v>
      </c>
      <c r="J517" s="229" t="s">
        <v>2985</v>
      </c>
      <c r="K517" s="229" t="s">
        <v>3170</v>
      </c>
      <c r="BB517"/>
    </row>
    <row r="518" spans="1:54" x14ac:dyDescent="0.25">
      <c r="A518" s="208" t="str">
        <f t="shared" si="7"/>
        <v>Participant Contributions</v>
      </c>
      <c r="B518" s="201" t="s">
        <v>471</v>
      </c>
      <c r="C518" s="229" t="s">
        <v>2870</v>
      </c>
      <c r="D518" s="229" t="s">
        <v>2871</v>
      </c>
      <c r="E518" s="229" t="s">
        <v>2872</v>
      </c>
      <c r="F518" s="229" t="s">
        <v>3098</v>
      </c>
      <c r="G518" s="229" t="s">
        <v>3099</v>
      </c>
      <c r="H518" s="230" t="s">
        <v>2986</v>
      </c>
      <c r="I518" s="229" t="s">
        <v>2987</v>
      </c>
      <c r="J518" s="229" t="s">
        <v>2988</v>
      </c>
      <c r="K518" s="229" t="s">
        <v>3171</v>
      </c>
      <c r="BB518"/>
    </row>
    <row r="519" spans="1:54" x14ac:dyDescent="0.25">
      <c r="A519" s="208" t="str">
        <f t="shared" si="7"/>
        <v>Benefits Paid</v>
      </c>
      <c r="B519" s="201" t="s">
        <v>472</v>
      </c>
      <c r="C519" s="229" t="s">
        <v>2873</v>
      </c>
      <c r="D519" s="229" t="s">
        <v>2873</v>
      </c>
      <c r="E519" s="229" t="s">
        <v>2874</v>
      </c>
      <c r="F519" s="229" t="s">
        <v>3100</v>
      </c>
      <c r="G519" s="229" t="s">
        <v>3101</v>
      </c>
      <c r="H519" s="230" t="s">
        <v>2989</v>
      </c>
      <c r="I519" s="229" t="s">
        <v>2990</v>
      </c>
      <c r="J519" s="229" t="s">
        <v>2991</v>
      </c>
      <c r="K519" s="229" t="s">
        <v>3172</v>
      </c>
      <c r="BB519"/>
    </row>
    <row r="520" spans="1:54" x14ac:dyDescent="0.25">
      <c r="A520" s="208" t="str">
        <f t="shared" si="7"/>
        <v>Foreign Exchange Adjustments</v>
      </c>
      <c r="B520" s="201" t="s">
        <v>473</v>
      </c>
      <c r="C520" s="229" t="s">
        <v>2875</v>
      </c>
      <c r="D520" s="229" t="s">
        <v>2876</v>
      </c>
      <c r="E520" s="229" t="s">
        <v>2877</v>
      </c>
      <c r="F520" s="229" t="s">
        <v>3102</v>
      </c>
      <c r="G520" s="229" t="s">
        <v>3103</v>
      </c>
      <c r="H520" s="230" t="s">
        <v>2992</v>
      </c>
      <c r="I520" s="229" t="s">
        <v>2993</v>
      </c>
      <c r="J520" s="229" t="s">
        <v>2994</v>
      </c>
      <c r="K520" s="229" t="s">
        <v>3173</v>
      </c>
      <c r="BB520"/>
    </row>
    <row r="521" spans="1:54" x14ac:dyDescent="0.25">
      <c r="A521" s="208" t="str">
        <f t="shared" ref="A521:A584" si="8">INDEX($B521:$CV521,$A$4)</f>
        <v>Acquired Plan Assets</v>
      </c>
      <c r="B521" s="201" t="s">
        <v>474</v>
      </c>
      <c r="C521" s="229" t="s">
        <v>2878</v>
      </c>
      <c r="D521" s="229" t="s">
        <v>2879</v>
      </c>
      <c r="E521" s="229" t="s">
        <v>2880</v>
      </c>
      <c r="F521" s="229" t="s">
        <v>3104</v>
      </c>
      <c r="G521" s="229" t="s">
        <v>3105</v>
      </c>
      <c r="H521" s="230" t="s">
        <v>2995</v>
      </c>
      <c r="I521" s="229" t="s">
        <v>2996</v>
      </c>
      <c r="J521" s="229" t="s">
        <v>2997</v>
      </c>
      <c r="K521" s="229" t="s">
        <v>3174</v>
      </c>
      <c r="BB521"/>
    </row>
    <row r="522" spans="1:54" x14ac:dyDescent="0.25">
      <c r="A522" s="208" t="str">
        <f t="shared" si="8"/>
        <v>Plan Settlement/Curtailment</v>
      </c>
      <c r="B522" s="201" t="s">
        <v>475</v>
      </c>
      <c r="C522" s="229" t="s">
        <v>2881</v>
      </c>
      <c r="D522" s="229" t="s">
        <v>2882</v>
      </c>
      <c r="E522" s="229" t="s">
        <v>2883</v>
      </c>
      <c r="F522" s="229" t="s">
        <v>3106</v>
      </c>
      <c r="G522" s="229" t="s">
        <v>3107</v>
      </c>
      <c r="H522" s="230" t="s">
        <v>2998</v>
      </c>
      <c r="I522" s="229" t="s">
        <v>2999</v>
      </c>
      <c r="J522" s="229" t="s">
        <v>3000</v>
      </c>
      <c r="K522" s="229" t="s">
        <v>3175</v>
      </c>
      <c r="BB522"/>
    </row>
    <row r="523" spans="1:54" x14ac:dyDescent="0.25">
      <c r="A523" s="208" t="str">
        <f t="shared" si="8"/>
        <v>Other Plan Adjustments</v>
      </c>
      <c r="B523" s="201" t="s">
        <v>476</v>
      </c>
      <c r="C523" s="229" t="s">
        <v>2884</v>
      </c>
      <c r="D523" s="229" t="s">
        <v>2885</v>
      </c>
      <c r="E523" s="229" t="s">
        <v>2886</v>
      </c>
      <c r="F523" s="229" t="s">
        <v>3108</v>
      </c>
      <c r="G523" s="229" t="s">
        <v>3109</v>
      </c>
      <c r="H523" s="230" t="s">
        <v>3001</v>
      </c>
      <c r="I523" s="229" t="s">
        <v>3002</v>
      </c>
      <c r="J523" s="229" t="s">
        <v>3003</v>
      </c>
      <c r="K523" s="229" t="s">
        <v>3176</v>
      </c>
      <c r="BB523"/>
    </row>
    <row r="524" spans="1:54" x14ac:dyDescent="0.25">
      <c r="A524" s="208" t="str">
        <f t="shared" si="8"/>
        <v>Total Plan Assets</v>
      </c>
      <c r="B524" s="201" t="s">
        <v>477</v>
      </c>
      <c r="C524" s="229" t="s">
        <v>2887</v>
      </c>
      <c r="D524" s="229" t="s">
        <v>2888</v>
      </c>
      <c r="E524" s="229" t="s">
        <v>2889</v>
      </c>
      <c r="F524" s="229" t="s">
        <v>3110</v>
      </c>
      <c r="G524" s="229" t="s">
        <v>3111</v>
      </c>
      <c r="H524" s="230" t="s">
        <v>3004</v>
      </c>
      <c r="I524" s="229" t="s">
        <v>3005</v>
      </c>
      <c r="J524" s="229" t="s">
        <v>3006</v>
      </c>
      <c r="K524" s="229" t="s">
        <v>3177</v>
      </c>
      <c r="BB524"/>
    </row>
    <row r="525" spans="1:54" x14ac:dyDescent="0.25">
      <c r="A525" s="208" t="str">
        <f t="shared" si="8"/>
        <v>Weighted Avg. Assumptions on Net Periodic Cost</v>
      </c>
      <c r="B525" s="201" t="s">
        <v>478</v>
      </c>
      <c r="C525" s="229" t="s">
        <v>2890</v>
      </c>
      <c r="D525" s="229" t="s">
        <v>2891</v>
      </c>
      <c r="E525" s="229" t="s">
        <v>2892</v>
      </c>
      <c r="F525" s="229" t="s">
        <v>3112</v>
      </c>
      <c r="G525" s="229" t="s">
        <v>3113</v>
      </c>
      <c r="H525" s="230" t="s">
        <v>3007</v>
      </c>
      <c r="I525" s="229" t="s">
        <v>3008</v>
      </c>
      <c r="J525" s="229" t="s">
        <v>3009</v>
      </c>
      <c r="K525" s="229" t="s">
        <v>3178</v>
      </c>
      <c r="BB525"/>
    </row>
    <row r="526" spans="1:54" x14ac:dyDescent="0.25">
      <c r="A526" s="208" t="str">
        <f t="shared" si="8"/>
        <v>Net Periodic Cost Disc. Rate - Min</v>
      </c>
      <c r="B526" s="201" t="s">
        <v>479</v>
      </c>
      <c r="C526" s="229" t="s">
        <v>2893</v>
      </c>
      <c r="D526" s="229" t="s">
        <v>2894</v>
      </c>
      <c r="E526" s="229" t="s">
        <v>2895</v>
      </c>
      <c r="F526" s="229" t="s">
        <v>3114</v>
      </c>
      <c r="G526" s="229" t="s">
        <v>3115</v>
      </c>
      <c r="H526" s="230" t="s">
        <v>3010</v>
      </c>
      <c r="I526" s="229" t="s">
        <v>3011</v>
      </c>
      <c r="J526" s="229" t="s">
        <v>3012</v>
      </c>
      <c r="K526" s="229" t="s">
        <v>3179</v>
      </c>
      <c r="BB526"/>
    </row>
    <row r="527" spans="1:54" x14ac:dyDescent="0.25">
      <c r="A527" s="208" t="str">
        <f t="shared" si="8"/>
        <v>Net Periodic Cost Disc. Rate - Max</v>
      </c>
      <c r="B527" s="201" t="s">
        <v>480</v>
      </c>
      <c r="C527" s="229" t="s">
        <v>2896</v>
      </c>
      <c r="D527" s="229" t="s">
        <v>2897</v>
      </c>
      <c r="E527" s="229" t="s">
        <v>2898</v>
      </c>
      <c r="F527" s="229" t="s">
        <v>3116</v>
      </c>
      <c r="G527" s="229" t="s">
        <v>3117</v>
      </c>
      <c r="H527" s="230" t="s">
        <v>3013</v>
      </c>
      <c r="I527" s="229" t="s">
        <v>3014</v>
      </c>
      <c r="J527" s="229" t="s">
        <v>3015</v>
      </c>
      <c r="K527" s="229" t="s">
        <v>3180</v>
      </c>
      <c r="BB527"/>
    </row>
    <row r="528" spans="1:54" x14ac:dyDescent="0.25">
      <c r="A528" s="208" t="str">
        <f t="shared" si="8"/>
        <v>Rate of Comp. Increase - Min</v>
      </c>
      <c r="B528" s="201" t="s">
        <v>481</v>
      </c>
      <c r="C528" s="229" t="s">
        <v>2899</v>
      </c>
      <c r="D528" s="229" t="s">
        <v>2900</v>
      </c>
      <c r="E528" s="229" t="s">
        <v>2901</v>
      </c>
      <c r="F528" s="229" t="s">
        <v>3118</v>
      </c>
      <c r="G528" s="229" t="s">
        <v>3119</v>
      </c>
      <c r="H528" s="230" t="s">
        <v>3016</v>
      </c>
      <c r="I528" s="229" t="s">
        <v>3017</v>
      </c>
      <c r="J528" s="229" t="s">
        <v>3018</v>
      </c>
      <c r="K528" s="229" t="s">
        <v>3181</v>
      </c>
      <c r="BB528"/>
    </row>
    <row r="529" spans="1:54" x14ac:dyDescent="0.25">
      <c r="A529" s="208" t="str">
        <f t="shared" si="8"/>
        <v>Rate of Comp. Increase - Max</v>
      </c>
      <c r="B529" s="201" t="s">
        <v>8249</v>
      </c>
      <c r="C529" s="229" t="s">
        <v>2902</v>
      </c>
      <c r="D529" s="229" t="s">
        <v>2903</v>
      </c>
      <c r="E529" s="229" t="s">
        <v>2904</v>
      </c>
      <c r="F529" s="229" t="s">
        <v>3120</v>
      </c>
      <c r="G529" s="229" t="s">
        <v>3121</v>
      </c>
      <c r="H529" s="230" t="s">
        <v>3019</v>
      </c>
      <c r="I529" s="229" t="s">
        <v>3020</v>
      </c>
      <c r="J529" s="229" t="s">
        <v>3021</v>
      </c>
      <c r="K529" s="229" t="s">
        <v>3182</v>
      </c>
      <c r="BB529"/>
    </row>
    <row r="530" spans="1:54" x14ac:dyDescent="0.25">
      <c r="A530" s="208" t="str">
        <f t="shared" si="8"/>
        <v>Exp. Long-Term Rate of Return on Assets - Min</v>
      </c>
      <c r="B530" s="201" t="s">
        <v>482</v>
      </c>
      <c r="C530" s="229" t="s">
        <v>2905</v>
      </c>
      <c r="D530" s="229" t="s">
        <v>2906</v>
      </c>
      <c r="E530" s="229" t="s">
        <v>2907</v>
      </c>
      <c r="F530" s="229" t="s">
        <v>3122</v>
      </c>
      <c r="G530" s="229" t="s">
        <v>3123</v>
      </c>
      <c r="H530" s="230" t="s">
        <v>3022</v>
      </c>
      <c r="I530" s="229" t="s">
        <v>3023</v>
      </c>
      <c r="J530" s="229" t="s">
        <v>3024</v>
      </c>
      <c r="K530" s="229" t="s">
        <v>3183</v>
      </c>
      <c r="BB530"/>
    </row>
    <row r="531" spans="1:54" x14ac:dyDescent="0.25">
      <c r="A531" s="208" t="str">
        <f t="shared" si="8"/>
        <v>Exp. Long-Term Rate of Return on Assets - Max</v>
      </c>
      <c r="B531" s="201" t="s">
        <v>483</v>
      </c>
      <c r="C531" s="229" t="s">
        <v>2908</v>
      </c>
      <c r="D531" s="229" t="s">
        <v>2909</v>
      </c>
      <c r="E531" s="229" t="s">
        <v>2910</v>
      </c>
      <c r="F531" s="229" t="s">
        <v>3124</v>
      </c>
      <c r="G531" s="229" t="s">
        <v>3125</v>
      </c>
      <c r="H531" s="230" t="s">
        <v>3025</v>
      </c>
      <c r="I531" s="229" t="s">
        <v>3026</v>
      </c>
      <c r="J531" s="229" t="s">
        <v>3027</v>
      </c>
      <c r="K531" s="229" t="s">
        <v>3184</v>
      </c>
      <c r="BB531"/>
    </row>
    <row r="532" spans="1:54" x14ac:dyDescent="0.25">
      <c r="A532" s="208" t="str">
        <f t="shared" si="8"/>
        <v>Breakdown of Plan Assets</v>
      </c>
      <c r="B532" s="201" t="s">
        <v>484</v>
      </c>
      <c r="C532" s="229" t="s">
        <v>2911</v>
      </c>
      <c r="D532" s="229" t="s">
        <v>2912</v>
      </c>
      <c r="E532" s="229" t="s">
        <v>2913</v>
      </c>
      <c r="F532" s="229" t="s">
        <v>3126</v>
      </c>
      <c r="G532" s="229" t="s">
        <v>3127</v>
      </c>
      <c r="H532" s="230" t="s">
        <v>3028</v>
      </c>
      <c r="I532" s="229" t="s">
        <v>3029</v>
      </c>
      <c r="J532" s="229" t="s">
        <v>3030</v>
      </c>
      <c r="K532" s="229" t="s">
        <v>3185</v>
      </c>
      <c r="BB532"/>
    </row>
    <row r="533" spans="1:54" x14ac:dyDescent="0.25">
      <c r="A533" s="208" t="str">
        <f t="shared" si="8"/>
        <v>Plan Assets - Equities (%)</v>
      </c>
      <c r="B533" s="201" t="s">
        <v>485</v>
      </c>
      <c r="C533" s="229" t="s">
        <v>2914</v>
      </c>
      <c r="D533" s="229" t="s">
        <v>2915</v>
      </c>
      <c r="E533" s="229" t="s">
        <v>2916</v>
      </c>
      <c r="F533" s="229" t="s">
        <v>3128</v>
      </c>
      <c r="G533" s="229" t="s">
        <v>3129</v>
      </c>
      <c r="H533" s="230" t="s">
        <v>3031</v>
      </c>
      <c r="I533" s="229" t="s">
        <v>3032</v>
      </c>
      <c r="J533" s="229" t="s">
        <v>3033</v>
      </c>
      <c r="K533" s="229" t="s">
        <v>3186</v>
      </c>
      <c r="BB533"/>
    </row>
    <row r="534" spans="1:54" x14ac:dyDescent="0.25">
      <c r="A534" s="208" t="str">
        <f t="shared" si="8"/>
        <v>Plan Assets - Fixed Income (%)</v>
      </c>
      <c r="B534" s="201" t="s">
        <v>486</v>
      </c>
      <c r="C534" s="229" t="s">
        <v>2917</v>
      </c>
      <c r="D534" s="229" t="s">
        <v>2918</v>
      </c>
      <c r="E534" s="229" t="s">
        <v>2919</v>
      </c>
      <c r="F534" s="229" t="s">
        <v>3130</v>
      </c>
      <c r="G534" s="229" t="s">
        <v>3131</v>
      </c>
      <c r="H534" s="230" t="s">
        <v>3034</v>
      </c>
      <c r="I534" s="229" t="s">
        <v>3035</v>
      </c>
      <c r="J534" s="229" t="s">
        <v>3036</v>
      </c>
      <c r="K534" s="229" t="s">
        <v>3187</v>
      </c>
      <c r="BB534"/>
    </row>
    <row r="535" spans="1:54" x14ac:dyDescent="0.25">
      <c r="A535" s="208" t="str">
        <f t="shared" si="8"/>
        <v>Plan Assets- Real Estate (%)</v>
      </c>
      <c r="B535" s="201" t="s">
        <v>487</v>
      </c>
      <c r="C535" s="229" t="s">
        <v>2920</v>
      </c>
      <c r="D535" s="229" t="s">
        <v>2921</v>
      </c>
      <c r="E535" s="229" t="s">
        <v>2922</v>
      </c>
      <c r="F535" s="229" t="s">
        <v>3132</v>
      </c>
      <c r="G535" s="229" t="s">
        <v>3133</v>
      </c>
      <c r="H535" s="230" t="s">
        <v>3037</v>
      </c>
      <c r="I535" s="229" t="s">
        <v>3038</v>
      </c>
      <c r="J535" s="229" t="s">
        <v>3039</v>
      </c>
      <c r="K535" s="229" t="s">
        <v>3188</v>
      </c>
      <c r="BB535"/>
    </row>
    <row r="536" spans="1:54" x14ac:dyDescent="0.25">
      <c r="A536" s="208" t="str">
        <f t="shared" si="8"/>
        <v>Other Plan Assets (%)</v>
      </c>
      <c r="B536" s="201" t="s">
        <v>488</v>
      </c>
      <c r="C536" s="229" t="s">
        <v>2923</v>
      </c>
      <c r="D536" s="229" t="s">
        <v>2924</v>
      </c>
      <c r="E536" s="229" t="s">
        <v>2925</v>
      </c>
      <c r="F536" s="229" t="s">
        <v>3134</v>
      </c>
      <c r="G536" s="229" t="s">
        <v>3135</v>
      </c>
      <c r="H536" s="230" t="s">
        <v>3040</v>
      </c>
      <c r="I536" s="229" t="s">
        <v>3041</v>
      </c>
      <c r="J536" s="229" t="s">
        <v>3042</v>
      </c>
      <c r="K536" s="229" t="s">
        <v>3189</v>
      </c>
      <c r="BB536"/>
    </row>
    <row r="537" spans="1:54" x14ac:dyDescent="0.25">
      <c r="A537" s="208" t="str">
        <f t="shared" si="8"/>
        <v>Plan Assets - Equities</v>
      </c>
      <c r="B537" s="201" t="s">
        <v>489</v>
      </c>
      <c r="C537" s="229" t="s">
        <v>2926</v>
      </c>
      <c r="D537" s="229" t="s">
        <v>2927</v>
      </c>
      <c r="E537" s="229" t="s">
        <v>2928</v>
      </c>
      <c r="F537" s="229" t="s">
        <v>3136</v>
      </c>
      <c r="G537" s="229" t="s">
        <v>3137</v>
      </c>
      <c r="H537" s="230" t="s">
        <v>3043</v>
      </c>
      <c r="I537" s="229" t="s">
        <v>3044</v>
      </c>
      <c r="J537" s="229" t="s">
        <v>3045</v>
      </c>
      <c r="K537" s="229" t="s">
        <v>3190</v>
      </c>
      <c r="BB537"/>
    </row>
    <row r="538" spans="1:54" x14ac:dyDescent="0.25">
      <c r="A538" s="208" t="str">
        <f t="shared" si="8"/>
        <v>Plan Assets - Fixed Income</v>
      </c>
      <c r="B538" s="201" t="s">
        <v>490</v>
      </c>
      <c r="C538" s="229" t="s">
        <v>2929</v>
      </c>
      <c r="D538" s="229" t="s">
        <v>2930</v>
      </c>
      <c r="E538" s="229" t="s">
        <v>2931</v>
      </c>
      <c r="F538" s="229" t="s">
        <v>3138</v>
      </c>
      <c r="G538" s="229" t="s">
        <v>3139</v>
      </c>
      <c r="H538" s="230" t="s">
        <v>3046</v>
      </c>
      <c r="I538" s="229" t="s">
        <v>3047</v>
      </c>
      <c r="J538" s="229" t="s">
        <v>3048</v>
      </c>
      <c r="K538" s="229" t="s">
        <v>3191</v>
      </c>
      <c r="BB538"/>
    </row>
    <row r="539" spans="1:54" x14ac:dyDescent="0.25">
      <c r="A539" s="208" t="str">
        <f t="shared" si="8"/>
        <v>Plan Assets- Real Estate</v>
      </c>
      <c r="B539" s="201" t="s">
        <v>491</v>
      </c>
      <c r="C539" s="229" t="s">
        <v>2932</v>
      </c>
      <c r="D539" s="229" t="s">
        <v>2933</v>
      </c>
      <c r="E539" s="229" t="s">
        <v>2934</v>
      </c>
      <c r="F539" s="229" t="s">
        <v>3140</v>
      </c>
      <c r="G539" s="229" t="s">
        <v>3141</v>
      </c>
      <c r="H539" s="230" t="s">
        <v>3049</v>
      </c>
      <c r="I539" s="229" t="s">
        <v>3050</v>
      </c>
      <c r="J539" s="229" t="s">
        <v>3051</v>
      </c>
      <c r="K539" s="229" t="s">
        <v>3192</v>
      </c>
      <c r="BB539"/>
    </row>
    <row r="540" spans="1:54" x14ac:dyDescent="0.25">
      <c r="A540" s="208" t="str">
        <f t="shared" si="8"/>
        <v>Other Plan Assets</v>
      </c>
      <c r="B540" s="201" t="s">
        <v>492</v>
      </c>
      <c r="C540" s="229" t="s">
        <v>2935</v>
      </c>
      <c r="D540" s="229" t="s">
        <v>2936</v>
      </c>
      <c r="E540" s="229" t="s">
        <v>2937</v>
      </c>
      <c r="F540" s="229" t="s">
        <v>3142</v>
      </c>
      <c r="G540" s="229" t="s">
        <v>3143</v>
      </c>
      <c r="H540" s="230" t="s">
        <v>3052</v>
      </c>
      <c r="I540" s="229" t="s">
        <v>3053</v>
      </c>
      <c r="J540" s="229" t="s">
        <v>3054</v>
      </c>
      <c r="K540" s="229" t="s">
        <v>3193</v>
      </c>
      <c r="BB540"/>
    </row>
    <row r="541" spans="1:54" x14ac:dyDescent="0.25">
      <c r="A541" s="208" t="str">
        <f t="shared" si="8"/>
        <v>Breakdown of Amounts recognized in Other Comprehensive Income in BS</v>
      </c>
      <c r="B541" s="201" t="s">
        <v>652</v>
      </c>
      <c r="C541" s="229" t="s">
        <v>2938</v>
      </c>
      <c r="D541" s="229" t="s">
        <v>2939</v>
      </c>
      <c r="E541" s="229" t="s">
        <v>2940</v>
      </c>
      <c r="F541" s="229" t="s">
        <v>3144</v>
      </c>
      <c r="G541" s="229" t="s">
        <v>3145</v>
      </c>
      <c r="H541" s="229" t="s">
        <v>3055</v>
      </c>
      <c r="I541" s="229" t="s">
        <v>3056</v>
      </c>
      <c r="J541" s="229" t="s">
        <v>3057</v>
      </c>
      <c r="K541" s="229" t="s">
        <v>3194</v>
      </c>
      <c r="BB541"/>
    </row>
    <row r="542" spans="1:54" x14ac:dyDescent="0.25">
      <c r="A542" s="208" t="str">
        <f t="shared" si="8"/>
        <v>Net Actuarial Loss/Gain – Compr. Inc.</v>
      </c>
      <c r="B542" s="201" t="s">
        <v>639</v>
      </c>
      <c r="C542" s="229" t="s">
        <v>2941</v>
      </c>
      <c r="D542" s="229" t="s">
        <v>2942</v>
      </c>
      <c r="E542" s="229" t="s">
        <v>2943</v>
      </c>
      <c r="F542" s="229" t="s">
        <v>3146</v>
      </c>
      <c r="G542" s="229" t="s">
        <v>3147</v>
      </c>
      <c r="H542" s="230" t="s">
        <v>3058</v>
      </c>
      <c r="I542" s="229" t="s">
        <v>3059</v>
      </c>
      <c r="J542" s="229" t="s">
        <v>3060</v>
      </c>
      <c r="K542" s="229" t="s">
        <v>3195</v>
      </c>
      <c r="BB542"/>
    </row>
    <row r="543" spans="1:54" x14ac:dyDescent="0.25">
      <c r="A543" s="208" t="str">
        <f t="shared" si="8"/>
        <v>Prior Service Cost/Benefit – Compr. Inc.</v>
      </c>
      <c r="B543" s="201" t="s">
        <v>640</v>
      </c>
      <c r="C543" s="229" t="s">
        <v>2944</v>
      </c>
      <c r="D543" s="229" t="s">
        <v>2945</v>
      </c>
      <c r="E543" s="229" t="s">
        <v>2946</v>
      </c>
      <c r="F543" s="229" t="s">
        <v>3148</v>
      </c>
      <c r="G543" s="229" t="s">
        <v>3149</v>
      </c>
      <c r="H543" s="230" t="s">
        <v>3061</v>
      </c>
      <c r="I543" s="229" t="s">
        <v>3062</v>
      </c>
      <c r="J543" s="229" t="s">
        <v>3063</v>
      </c>
      <c r="K543" s="229" t="s">
        <v>3196</v>
      </c>
      <c r="BB543"/>
    </row>
    <row r="544" spans="1:54" x14ac:dyDescent="0.25">
      <c r="A544" s="208" t="str">
        <f t="shared" si="8"/>
        <v>Transition Asset/Obligation – Compr. Inc.</v>
      </c>
      <c r="B544" s="201" t="s">
        <v>641</v>
      </c>
      <c r="C544" s="229" t="s">
        <v>2947</v>
      </c>
      <c r="D544" s="229" t="s">
        <v>2948</v>
      </c>
      <c r="E544" s="229" t="s">
        <v>2949</v>
      </c>
      <c r="F544" s="229" t="s">
        <v>3150</v>
      </c>
      <c r="G544" s="229" t="s">
        <v>3151</v>
      </c>
      <c r="H544" s="230" t="s">
        <v>3064</v>
      </c>
      <c r="I544" s="229" t="s">
        <v>3065</v>
      </c>
      <c r="J544" s="229" t="s">
        <v>3066</v>
      </c>
      <c r="K544" s="229" t="s">
        <v>3197</v>
      </c>
      <c r="BB544"/>
    </row>
    <row r="545" spans="1:54" x14ac:dyDescent="0.25">
      <c r="A545" s="208" t="str">
        <f t="shared" si="8"/>
        <v>Other Misc. Adj. – Compr. Inc.</v>
      </c>
      <c r="B545" s="201" t="s">
        <v>642</v>
      </c>
      <c r="C545" s="229" t="s">
        <v>2950</v>
      </c>
      <c r="D545" s="229" t="s">
        <v>2951</v>
      </c>
      <c r="E545" s="229" t="s">
        <v>2952</v>
      </c>
      <c r="F545" s="229" t="s">
        <v>3152</v>
      </c>
      <c r="G545" s="229" t="s">
        <v>3153</v>
      </c>
      <c r="H545" s="230" t="s">
        <v>3067</v>
      </c>
      <c r="I545" s="229" t="s">
        <v>3068</v>
      </c>
      <c r="J545" s="229" t="s">
        <v>3069</v>
      </c>
      <c r="K545" s="229" t="s">
        <v>3198</v>
      </c>
      <c r="BB545"/>
    </row>
    <row r="546" spans="1:54" x14ac:dyDescent="0.25">
      <c r="A546" s="208" t="str">
        <f t="shared" si="8"/>
        <v>Net Amount Recognized – Compr. Inc.</v>
      </c>
      <c r="B546" s="201" t="s">
        <v>653</v>
      </c>
      <c r="C546" s="229" t="s">
        <v>2953</v>
      </c>
      <c r="D546" s="229" t="s">
        <v>2954</v>
      </c>
      <c r="E546" s="229" t="s">
        <v>2955</v>
      </c>
      <c r="F546" s="229" t="s">
        <v>3154</v>
      </c>
      <c r="G546" s="229" t="s">
        <v>3155</v>
      </c>
      <c r="H546" s="230" t="s">
        <v>3070</v>
      </c>
      <c r="I546" s="229" t="s">
        <v>3071</v>
      </c>
      <c r="J546" s="229" t="s">
        <v>3072</v>
      </c>
      <c r="K546" s="229" t="s">
        <v>3199</v>
      </c>
      <c r="BB546"/>
    </row>
    <row r="547" spans="1:54" x14ac:dyDescent="0.25">
      <c r="A547" s="208" t="str">
        <f t="shared" si="8"/>
        <v>Expected to be recognized as components of net periodic benefit cost in the next year</v>
      </c>
      <c r="B547" s="201" t="s">
        <v>654</v>
      </c>
      <c r="C547" s="229" t="s">
        <v>2956</v>
      </c>
      <c r="D547" s="229" t="s">
        <v>2957</v>
      </c>
      <c r="E547" s="229" t="s">
        <v>2958</v>
      </c>
      <c r="F547" s="229" t="s">
        <v>3156</v>
      </c>
      <c r="G547" s="229" t="s">
        <v>3157</v>
      </c>
      <c r="H547" s="230" t="s">
        <v>3073</v>
      </c>
      <c r="I547" s="229" t="s">
        <v>3074</v>
      </c>
      <c r="J547" s="229" t="s">
        <v>3075</v>
      </c>
      <c r="K547" s="229" t="s">
        <v>3200</v>
      </c>
      <c r="BB547"/>
    </row>
    <row r="548" spans="1:54" x14ac:dyDescent="0.25">
      <c r="A548" s="208" t="str">
        <f t="shared" si="8"/>
        <v>Prior Service Cost/Benefit Recog. Next Period</v>
      </c>
      <c r="B548" s="201" t="s">
        <v>644</v>
      </c>
      <c r="C548" s="229" t="s">
        <v>2959</v>
      </c>
      <c r="D548" s="229" t="s">
        <v>2960</v>
      </c>
      <c r="E548" s="229" t="s">
        <v>2961</v>
      </c>
      <c r="F548" s="229" t="s">
        <v>3158</v>
      </c>
      <c r="G548" s="229" t="s">
        <v>3159</v>
      </c>
      <c r="H548" s="230" t="s">
        <v>3076</v>
      </c>
      <c r="I548" s="229" t="s">
        <v>3077</v>
      </c>
      <c r="J548" s="229" t="s">
        <v>3078</v>
      </c>
      <c r="K548" s="229" t="s">
        <v>3201</v>
      </c>
      <c r="BB548"/>
    </row>
    <row r="549" spans="1:54" x14ac:dyDescent="0.25">
      <c r="A549" s="208" t="str">
        <f t="shared" si="8"/>
        <v>Net Actuarial Loss/Gain Recog. Next Period</v>
      </c>
      <c r="B549" s="201" t="s">
        <v>643</v>
      </c>
      <c r="C549" s="229" t="s">
        <v>2962</v>
      </c>
      <c r="D549" s="229" t="s">
        <v>2963</v>
      </c>
      <c r="E549" s="229" t="s">
        <v>2964</v>
      </c>
      <c r="F549" s="229" t="s">
        <v>3160</v>
      </c>
      <c r="G549" s="229" t="s">
        <v>3161</v>
      </c>
      <c r="H549" s="230" t="s">
        <v>3079</v>
      </c>
      <c r="I549" s="229" t="s">
        <v>3080</v>
      </c>
      <c r="J549" s="229" t="s">
        <v>3081</v>
      </c>
      <c r="K549" s="229" t="s">
        <v>3202</v>
      </c>
      <c r="BB549"/>
    </row>
    <row r="550" spans="1:54" x14ac:dyDescent="0.25">
      <c r="A550" s="208" t="str">
        <f t="shared" si="8"/>
        <v>Transition Asset/Obligation Recog. Next Period</v>
      </c>
      <c r="B550" s="201" t="s">
        <v>645</v>
      </c>
      <c r="C550" s="229" t="s">
        <v>2965</v>
      </c>
      <c r="D550" s="229" t="s">
        <v>2966</v>
      </c>
      <c r="E550" s="229" t="s">
        <v>2967</v>
      </c>
      <c r="F550" s="229" t="s">
        <v>3162</v>
      </c>
      <c r="G550" s="229" t="s">
        <v>3163</v>
      </c>
      <c r="H550" s="230" t="s">
        <v>3082</v>
      </c>
      <c r="I550" s="229" t="s">
        <v>3083</v>
      </c>
      <c r="J550" s="229" t="s">
        <v>3084</v>
      </c>
      <c r="K550" s="229" t="s">
        <v>3203</v>
      </c>
      <c r="BB550"/>
    </row>
    <row r="551" spans="1:54" x14ac:dyDescent="0.25">
      <c r="A551" s="208" t="str">
        <f t="shared" si="8"/>
        <v>Total Amount to be Recognized Next Period</v>
      </c>
      <c r="B551" s="201" t="s">
        <v>646</v>
      </c>
      <c r="C551" s="229" t="s">
        <v>2968</v>
      </c>
      <c r="D551" s="229" t="s">
        <v>2969</v>
      </c>
      <c r="E551" s="229" t="s">
        <v>2970</v>
      </c>
      <c r="F551" s="229" t="s">
        <v>3164</v>
      </c>
      <c r="G551" s="229" t="s">
        <v>3165</v>
      </c>
      <c r="H551" s="230" t="s">
        <v>3085</v>
      </c>
      <c r="I551" s="229" t="s">
        <v>3086</v>
      </c>
      <c r="J551" s="229" t="s">
        <v>3087</v>
      </c>
      <c r="K551" s="229" t="s">
        <v>3204</v>
      </c>
      <c r="BB551"/>
    </row>
    <row r="552" spans="1:54" x14ac:dyDescent="0.25">
      <c r="A552" s="208" t="str">
        <f t="shared" si="8"/>
        <v>Weighted Avg. Assumptions on Def. Benefit Obligation</v>
      </c>
      <c r="B552" s="201" t="s">
        <v>493</v>
      </c>
      <c r="C552" s="229" t="s">
        <v>2677</v>
      </c>
      <c r="D552" s="229" t="s">
        <v>2678</v>
      </c>
      <c r="E552" s="229" t="s">
        <v>2679</v>
      </c>
      <c r="F552" s="229" t="s">
        <v>2796</v>
      </c>
      <c r="G552" s="229" t="s">
        <v>2797</v>
      </c>
      <c r="H552" s="230" t="s">
        <v>2737</v>
      </c>
      <c r="I552" s="229" t="s">
        <v>2738</v>
      </c>
      <c r="J552" s="229" t="s">
        <v>2739</v>
      </c>
      <c r="K552" s="229" t="s">
        <v>2836</v>
      </c>
      <c r="BB552"/>
    </row>
    <row r="553" spans="1:54" x14ac:dyDescent="0.25">
      <c r="A553" s="208" t="str">
        <f t="shared" si="8"/>
        <v>PBO Assumed Rate of Return - Min</v>
      </c>
      <c r="B553" s="201" t="s">
        <v>494</v>
      </c>
      <c r="C553" s="229" t="s">
        <v>2680</v>
      </c>
      <c r="D553" s="229" t="s">
        <v>2681</v>
      </c>
      <c r="E553" s="229" t="s">
        <v>2682</v>
      </c>
      <c r="F553" s="229" t="s">
        <v>2798</v>
      </c>
      <c r="G553" s="229" t="s">
        <v>2799</v>
      </c>
      <c r="H553" s="230" t="s">
        <v>2740</v>
      </c>
      <c r="I553" s="229" t="s">
        <v>2741</v>
      </c>
      <c r="J553" s="229" t="s">
        <v>2742</v>
      </c>
      <c r="K553" s="229" t="s">
        <v>2837</v>
      </c>
      <c r="BB553"/>
    </row>
    <row r="554" spans="1:54" x14ac:dyDescent="0.25">
      <c r="A554" s="208" t="str">
        <f t="shared" si="8"/>
        <v>PBO Assumed Rate of Return - Max</v>
      </c>
      <c r="B554" s="201" t="s">
        <v>495</v>
      </c>
      <c r="C554" s="229" t="s">
        <v>2683</v>
      </c>
      <c r="D554" s="229" t="s">
        <v>2684</v>
      </c>
      <c r="E554" s="229" t="s">
        <v>2685</v>
      </c>
      <c r="F554" s="229" t="s">
        <v>2800</v>
      </c>
      <c r="G554" s="229" t="s">
        <v>2801</v>
      </c>
      <c r="H554" s="230" t="s">
        <v>2743</v>
      </c>
      <c r="I554" s="229" t="s">
        <v>2744</v>
      </c>
      <c r="J554" s="229" t="s">
        <v>2745</v>
      </c>
      <c r="K554" s="229" t="s">
        <v>2838</v>
      </c>
      <c r="BB554"/>
    </row>
    <row r="555" spans="1:54" x14ac:dyDescent="0.25">
      <c r="A555" s="208" t="str">
        <f t="shared" si="8"/>
        <v>Rate of PBO Compensation Increase - Min</v>
      </c>
      <c r="B555" s="201" t="s">
        <v>496</v>
      </c>
      <c r="C555" s="229" t="s">
        <v>2686</v>
      </c>
      <c r="D555" s="229" t="s">
        <v>2687</v>
      </c>
      <c r="E555" s="229" t="s">
        <v>2688</v>
      </c>
      <c r="F555" s="229" t="s">
        <v>2802</v>
      </c>
      <c r="G555" s="229" t="s">
        <v>2803</v>
      </c>
      <c r="H555" s="230" t="s">
        <v>2746</v>
      </c>
      <c r="I555" s="229" t="s">
        <v>2747</v>
      </c>
      <c r="J555" s="229" t="s">
        <v>2748</v>
      </c>
      <c r="K555" s="229" t="s">
        <v>2839</v>
      </c>
      <c r="BB555"/>
    </row>
    <row r="556" spans="1:54" x14ac:dyDescent="0.25">
      <c r="A556" s="208" t="str">
        <f t="shared" si="8"/>
        <v>Rate of PBO Compensation Increase - Max</v>
      </c>
      <c r="B556" s="201" t="s">
        <v>497</v>
      </c>
      <c r="C556" s="229" t="s">
        <v>2689</v>
      </c>
      <c r="D556" s="229" t="s">
        <v>2690</v>
      </c>
      <c r="E556" s="229" t="s">
        <v>2691</v>
      </c>
      <c r="F556" s="229" t="s">
        <v>2804</v>
      </c>
      <c r="G556" s="229" t="s">
        <v>2805</v>
      </c>
      <c r="H556" s="230" t="s">
        <v>2749</v>
      </c>
      <c r="I556" s="229" t="s">
        <v>2750</v>
      </c>
      <c r="J556" s="229" t="s">
        <v>2751</v>
      </c>
      <c r="K556" s="229" t="s">
        <v>2840</v>
      </c>
      <c r="BB556"/>
    </row>
    <row r="557" spans="1:54" x14ac:dyDescent="0.25">
      <c r="A557" s="208" t="str">
        <f t="shared" si="8"/>
        <v>Estimated Future Benefits Paid</v>
      </c>
      <c r="B557" s="201" t="s">
        <v>498</v>
      </c>
      <c r="C557" s="229" t="s">
        <v>2692</v>
      </c>
      <c r="D557" s="229" t="s">
        <v>2693</v>
      </c>
      <c r="E557" s="229" t="s">
        <v>2694</v>
      </c>
      <c r="F557" s="229" t="s">
        <v>2806</v>
      </c>
      <c r="G557" s="229" t="s">
        <v>2807</v>
      </c>
      <c r="H557" s="230" t="s">
        <v>2752</v>
      </c>
      <c r="I557" s="229" t="s">
        <v>2753</v>
      </c>
      <c r="J557" s="229" t="s">
        <v>2754</v>
      </c>
      <c r="K557" s="229" t="s">
        <v>2841</v>
      </c>
      <c r="BB557"/>
    </row>
    <row r="558" spans="1:54" x14ac:dyDescent="0.25">
      <c r="A558" s="208" t="str">
        <f t="shared" si="8"/>
        <v>Est. Future Benefits Paid - 1st Yr</v>
      </c>
      <c r="B558" s="201" t="s">
        <v>499</v>
      </c>
      <c r="C558" s="229" t="s">
        <v>2695</v>
      </c>
      <c r="D558" s="229" t="s">
        <v>2696</v>
      </c>
      <c r="E558" s="229" t="s">
        <v>2697</v>
      </c>
      <c r="F558" s="229" t="s">
        <v>2808</v>
      </c>
      <c r="G558" s="229" t="s">
        <v>2809</v>
      </c>
      <c r="H558" s="230" t="s">
        <v>2755</v>
      </c>
      <c r="I558" s="229" t="s">
        <v>2756</v>
      </c>
      <c r="J558" s="229" t="s">
        <v>2757</v>
      </c>
      <c r="K558" s="229" t="s">
        <v>2842</v>
      </c>
      <c r="BB558"/>
    </row>
    <row r="559" spans="1:54" x14ac:dyDescent="0.25">
      <c r="A559" s="208" t="str">
        <f t="shared" si="8"/>
        <v>Est. Future Benefits Paid - 2nd Yr</v>
      </c>
      <c r="B559" s="201" t="s">
        <v>500</v>
      </c>
      <c r="C559" s="229" t="s">
        <v>2698</v>
      </c>
      <c r="D559" s="229" t="s">
        <v>2699</v>
      </c>
      <c r="E559" s="229" t="s">
        <v>2700</v>
      </c>
      <c r="F559" s="229" t="s">
        <v>2810</v>
      </c>
      <c r="G559" s="229" t="s">
        <v>2811</v>
      </c>
      <c r="H559" s="230" t="s">
        <v>2758</v>
      </c>
      <c r="I559" s="229" t="s">
        <v>2759</v>
      </c>
      <c r="J559" s="229" t="s">
        <v>2760</v>
      </c>
      <c r="K559" s="229" t="s">
        <v>2843</v>
      </c>
      <c r="BB559"/>
    </row>
    <row r="560" spans="1:54" x14ac:dyDescent="0.25">
      <c r="A560" s="208" t="str">
        <f t="shared" si="8"/>
        <v>Est. Future Benefits Paid - 3rd Yr</v>
      </c>
      <c r="B560" s="201" t="s">
        <v>501</v>
      </c>
      <c r="C560" s="229" t="s">
        <v>2701</v>
      </c>
      <c r="D560" s="229" t="s">
        <v>2702</v>
      </c>
      <c r="E560" s="229" t="s">
        <v>2703</v>
      </c>
      <c r="F560" s="229" t="s">
        <v>2812</v>
      </c>
      <c r="G560" s="229" t="s">
        <v>2813</v>
      </c>
      <c r="H560" s="230" t="s">
        <v>2761</v>
      </c>
      <c r="I560" s="229" t="s">
        <v>2762</v>
      </c>
      <c r="J560" s="229" t="s">
        <v>2763</v>
      </c>
      <c r="K560" s="229" t="s">
        <v>2844</v>
      </c>
      <c r="BB560"/>
    </row>
    <row r="561" spans="1:54" x14ac:dyDescent="0.25">
      <c r="A561" s="208" t="str">
        <f t="shared" si="8"/>
        <v>Est. Future Benefits Paid - 4th Yr</v>
      </c>
      <c r="B561" s="201" t="s">
        <v>502</v>
      </c>
      <c r="C561" s="229" t="s">
        <v>2704</v>
      </c>
      <c r="D561" s="229" t="s">
        <v>2705</v>
      </c>
      <c r="E561" s="229" t="s">
        <v>2706</v>
      </c>
      <c r="F561" s="229" t="s">
        <v>2814</v>
      </c>
      <c r="G561" s="229" t="s">
        <v>2815</v>
      </c>
      <c r="H561" s="230" t="s">
        <v>2764</v>
      </c>
      <c r="I561" s="229" t="s">
        <v>2765</v>
      </c>
      <c r="J561" s="229" t="s">
        <v>2766</v>
      </c>
      <c r="K561" s="229" t="s">
        <v>2845</v>
      </c>
      <c r="BB561"/>
    </row>
    <row r="562" spans="1:54" x14ac:dyDescent="0.25">
      <c r="A562" s="208" t="str">
        <f t="shared" si="8"/>
        <v>Est. Future Benefits Paid - 5th Yr</v>
      </c>
      <c r="B562" s="201" t="s">
        <v>503</v>
      </c>
      <c r="C562" s="229" t="s">
        <v>2707</v>
      </c>
      <c r="D562" s="229" t="s">
        <v>2708</v>
      </c>
      <c r="E562" s="229" t="s">
        <v>2709</v>
      </c>
      <c r="F562" s="229" t="s">
        <v>2816</v>
      </c>
      <c r="G562" s="229" t="s">
        <v>2817</v>
      </c>
      <c r="H562" s="230" t="s">
        <v>2767</v>
      </c>
      <c r="I562" s="229" t="s">
        <v>2768</v>
      </c>
      <c r="J562" s="229" t="s">
        <v>2769</v>
      </c>
      <c r="K562" s="229" t="s">
        <v>2846</v>
      </c>
      <c r="BB562"/>
    </row>
    <row r="563" spans="1:54" x14ac:dyDescent="0.25">
      <c r="A563" s="208" t="str">
        <f t="shared" si="8"/>
        <v>Est. Future Benefits Paid - Thereafter</v>
      </c>
      <c r="B563" s="201" t="s">
        <v>504</v>
      </c>
      <c r="C563" s="229" t="s">
        <v>2710</v>
      </c>
      <c r="D563" s="229" t="s">
        <v>2711</v>
      </c>
      <c r="E563" s="229" t="s">
        <v>2712</v>
      </c>
      <c r="F563" s="229" t="s">
        <v>2818</v>
      </c>
      <c r="G563" s="229" t="s">
        <v>2819</v>
      </c>
      <c r="H563" s="230" t="s">
        <v>2770</v>
      </c>
      <c r="I563" s="229" t="s">
        <v>2771</v>
      </c>
      <c r="J563" s="229" t="s">
        <v>2772</v>
      </c>
      <c r="K563" s="229" t="s">
        <v>2847</v>
      </c>
      <c r="BB563"/>
    </row>
    <row r="564" spans="1:54" x14ac:dyDescent="0.25">
      <c r="A564" s="208" t="str">
        <f t="shared" si="8"/>
        <v>Balance Sheet Reconciliation Items</v>
      </c>
      <c r="B564" s="201" t="s">
        <v>505</v>
      </c>
      <c r="C564" s="229" t="s">
        <v>2713</v>
      </c>
      <c r="D564" s="229" t="s">
        <v>2714</v>
      </c>
      <c r="E564" s="229" t="s">
        <v>2715</v>
      </c>
      <c r="F564" s="229" t="s">
        <v>2820</v>
      </c>
      <c r="G564" s="229" t="s">
        <v>2821</v>
      </c>
      <c r="H564" s="230" t="s">
        <v>2773</v>
      </c>
      <c r="I564" s="229" t="s">
        <v>2774</v>
      </c>
      <c r="J564" s="229" t="s">
        <v>2775</v>
      </c>
      <c r="K564" s="229" t="s">
        <v>2848</v>
      </c>
      <c r="BB564"/>
    </row>
    <row r="565" spans="1:54" x14ac:dyDescent="0.25">
      <c r="A565" s="208" t="str">
        <f t="shared" si="8"/>
        <v>Prepaid Benefit Cost</v>
      </c>
      <c r="B565" s="201" t="s">
        <v>506</v>
      </c>
      <c r="C565" s="229" t="s">
        <v>2716</v>
      </c>
      <c r="D565" s="229" t="s">
        <v>2717</v>
      </c>
      <c r="E565" s="229" t="s">
        <v>2718</v>
      </c>
      <c r="F565" s="229" t="s">
        <v>2822</v>
      </c>
      <c r="G565" s="229" t="s">
        <v>2823</v>
      </c>
      <c r="H565" s="230" t="s">
        <v>2776</v>
      </c>
      <c r="I565" s="229" t="s">
        <v>2777</v>
      </c>
      <c r="J565" s="229" t="s">
        <v>2778</v>
      </c>
      <c r="K565" s="229" t="s">
        <v>2849</v>
      </c>
      <c r="BB565"/>
    </row>
    <row r="566" spans="1:54" x14ac:dyDescent="0.25">
      <c r="A566" s="208" t="str">
        <f t="shared" si="8"/>
        <v>Accrued Benefit Liability</v>
      </c>
      <c r="B566" s="201" t="s">
        <v>507</v>
      </c>
      <c r="C566" s="229" t="s">
        <v>2719</v>
      </c>
      <c r="D566" s="229" t="s">
        <v>2720</v>
      </c>
      <c r="E566" s="229" t="s">
        <v>2721</v>
      </c>
      <c r="F566" s="229" t="s">
        <v>2824</v>
      </c>
      <c r="G566" s="229" t="s">
        <v>2825</v>
      </c>
      <c r="H566" s="230" t="s">
        <v>2779</v>
      </c>
      <c r="I566" s="229" t="s">
        <v>2780</v>
      </c>
      <c r="J566" s="229" t="s">
        <v>2781</v>
      </c>
      <c r="K566" s="229" t="s">
        <v>2850</v>
      </c>
      <c r="BB566"/>
    </row>
    <row r="567" spans="1:54" x14ac:dyDescent="0.25">
      <c r="A567" s="208" t="str">
        <f t="shared" si="8"/>
        <v>Intangible Assets</v>
      </c>
      <c r="B567" s="201" t="s">
        <v>508</v>
      </c>
      <c r="C567" s="229" t="s">
        <v>2722</v>
      </c>
      <c r="D567" s="229" t="s">
        <v>2723</v>
      </c>
      <c r="E567" s="229" t="s">
        <v>2724</v>
      </c>
      <c r="F567" s="229" t="s">
        <v>2826</v>
      </c>
      <c r="G567" s="229" t="s">
        <v>2827</v>
      </c>
      <c r="H567" s="230" t="s">
        <v>2782</v>
      </c>
      <c r="I567" s="229" t="s">
        <v>2783</v>
      </c>
      <c r="J567" s="229" t="s">
        <v>2784</v>
      </c>
      <c r="K567" s="229" t="s">
        <v>2851</v>
      </c>
      <c r="BB567"/>
    </row>
    <row r="568" spans="1:54" x14ac:dyDescent="0.25">
      <c r="A568" s="208" t="str">
        <f t="shared" si="8"/>
        <v>Accum. Other Comp. Income</v>
      </c>
      <c r="B568" s="201" t="s">
        <v>509</v>
      </c>
      <c r="C568" s="229" t="s">
        <v>2725</v>
      </c>
      <c r="D568" s="229" t="s">
        <v>2726</v>
      </c>
      <c r="E568" s="229" t="s">
        <v>2727</v>
      </c>
      <c r="F568" s="229" t="s">
        <v>2828</v>
      </c>
      <c r="G568" s="229" t="s">
        <v>2829</v>
      </c>
      <c r="H568" s="230" t="s">
        <v>2785</v>
      </c>
      <c r="I568" s="229" t="s">
        <v>2786</v>
      </c>
      <c r="J568" s="229" t="s">
        <v>2787</v>
      </c>
      <c r="K568" s="229" t="s">
        <v>2852</v>
      </c>
      <c r="BB568"/>
    </row>
    <row r="569" spans="1:54" x14ac:dyDescent="0.25">
      <c r="A569" s="208" t="str">
        <f t="shared" si="8"/>
        <v>Long Term Assets</v>
      </c>
      <c r="B569" s="201" t="s">
        <v>647</v>
      </c>
      <c r="C569" s="229" t="s">
        <v>2728</v>
      </c>
      <c r="D569" s="229" t="s">
        <v>2729</v>
      </c>
      <c r="E569" s="229" t="s">
        <v>2730</v>
      </c>
      <c r="F569" s="229" t="s">
        <v>2830</v>
      </c>
      <c r="G569" s="229" t="s">
        <v>2831</v>
      </c>
      <c r="H569" s="230" t="s">
        <v>2788</v>
      </c>
      <c r="I569" s="229" t="s">
        <v>2789</v>
      </c>
      <c r="J569" s="229" t="s">
        <v>2790</v>
      </c>
      <c r="K569" s="229" t="s">
        <v>2853</v>
      </c>
      <c r="BB569"/>
    </row>
    <row r="570" spans="1:54" x14ac:dyDescent="0.25">
      <c r="A570" s="208" t="str">
        <f t="shared" si="8"/>
        <v>Current Liabilities</v>
      </c>
      <c r="B570" s="201" t="s">
        <v>648</v>
      </c>
      <c r="C570" s="229" t="s">
        <v>2731</v>
      </c>
      <c r="D570" s="229" t="s">
        <v>2732</v>
      </c>
      <c r="E570" s="229" t="s">
        <v>2733</v>
      </c>
      <c r="F570" s="229" t="s">
        <v>2832</v>
      </c>
      <c r="G570" s="229" t="s">
        <v>2833</v>
      </c>
      <c r="H570" s="230" t="s">
        <v>2732</v>
      </c>
      <c r="I570" s="229" t="s">
        <v>2791</v>
      </c>
      <c r="J570" s="229" t="s">
        <v>2792</v>
      </c>
      <c r="K570" s="229" t="s">
        <v>2854</v>
      </c>
      <c r="BB570"/>
    </row>
    <row r="571" spans="1:54" x14ac:dyDescent="0.25">
      <c r="A571" s="208" t="str">
        <f t="shared" si="8"/>
        <v>Long Term Liabilities</v>
      </c>
      <c r="B571" s="201" t="s">
        <v>649</v>
      </c>
      <c r="C571" s="229" t="s">
        <v>2734</v>
      </c>
      <c r="D571" s="229" t="s">
        <v>2735</v>
      </c>
      <c r="E571" s="229" t="s">
        <v>2736</v>
      </c>
      <c r="F571" s="229" t="s">
        <v>2834</v>
      </c>
      <c r="G571" s="229" t="s">
        <v>2835</v>
      </c>
      <c r="H571" s="230" t="s">
        <v>2793</v>
      </c>
      <c r="I571" s="229" t="s">
        <v>2794</v>
      </c>
      <c r="J571" s="229" t="s">
        <v>2795</v>
      </c>
      <c r="K571" s="229" t="s">
        <v>2855</v>
      </c>
      <c r="BB571"/>
    </row>
    <row r="572" spans="1:54" x14ac:dyDescent="0.25">
      <c r="A572" s="208" t="str">
        <f t="shared" si="8"/>
        <v>Other Assets/Liabilities</v>
      </c>
      <c r="B572" s="201" t="s">
        <v>510</v>
      </c>
      <c r="C572" s="229" t="s">
        <v>4964</v>
      </c>
      <c r="D572" s="229" t="s">
        <v>4965</v>
      </c>
      <c r="E572" s="229" t="s">
        <v>4966</v>
      </c>
      <c r="F572" s="229" t="s">
        <v>5034</v>
      </c>
      <c r="G572" s="229" t="s">
        <v>5035</v>
      </c>
      <c r="H572" s="230" t="s">
        <v>4998</v>
      </c>
      <c r="I572" s="229" t="s">
        <v>4999</v>
      </c>
      <c r="J572" s="229" t="s">
        <v>5000</v>
      </c>
      <c r="K572" s="229" t="s">
        <v>5058</v>
      </c>
      <c r="BB572"/>
    </row>
    <row r="573" spans="1:54" x14ac:dyDescent="0.25">
      <c r="A573" s="208" t="str">
        <f t="shared" si="8"/>
        <v>Adj. for Liability Recognized on Balance Sheet</v>
      </c>
      <c r="B573" s="201" t="s">
        <v>511</v>
      </c>
      <c r="C573" s="229" t="s">
        <v>4967</v>
      </c>
      <c r="D573" s="229" t="s">
        <v>4968</v>
      </c>
      <c r="E573" s="229" t="s">
        <v>4969</v>
      </c>
      <c r="F573" s="229" t="s">
        <v>5036</v>
      </c>
      <c r="G573" s="229" t="s">
        <v>5037</v>
      </c>
      <c r="H573" s="229" t="s">
        <v>5001</v>
      </c>
      <c r="I573" s="229" t="s">
        <v>5002</v>
      </c>
      <c r="J573" s="229" t="s">
        <v>5003</v>
      </c>
      <c r="K573" s="229" t="s">
        <v>5059</v>
      </c>
      <c r="BB573"/>
    </row>
    <row r="574" spans="1:54" x14ac:dyDescent="0.25">
      <c r="A574" s="208" t="str">
        <f t="shared" si="8"/>
        <v>Unrecog. Prior Plan Service Cost</v>
      </c>
      <c r="B574" s="201" t="s">
        <v>512</v>
      </c>
      <c r="C574" s="229" t="s">
        <v>4970</v>
      </c>
      <c r="D574" s="229" t="s">
        <v>4971</v>
      </c>
      <c r="E574" s="229" t="s">
        <v>4972</v>
      </c>
      <c r="F574" s="229" t="s">
        <v>5038</v>
      </c>
      <c r="G574" s="229" t="s">
        <v>5039</v>
      </c>
      <c r="H574" s="230" t="s">
        <v>5004</v>
      </c>
      <c r="I574" s="229" t="s">
        <v>5005</v>
      </c>
      <c r="J574" s="229" t="s">
        <v>5006</v>
      </c>
      <c r="K574" s="229" t="s">
        <v>5060</v>
      </c>
      <c r="BB574"/>
    </row>
    <row r="575" spans="1:54" x14ac:dyDescent="0.25">
      <c r="A575" s="208" t="str">
        <f t="shared" si="8"/>
        <v>Other Adj. (Net Benefit Asset/Liab.)</v>
      </c>
      <c r="B575" s="201" t="s">
        <v>513</v>
      </c>
      <c r="C575" s="229" t="s">
        <v>4973</v>
      </c>
      <c r="D575" s="229" t="s">
        <v>4974</v>
      </c>
      <c r="E575" s="229" t="s">
        <v>4975</v>
      </c>
      <c r="F575" s="229" t="s">
        <v>5040</v>
      </c>
      <c r="G575" s="229" t="s">
        <v>5041</v>
      </c>
      <c r="H575" s="230" t="s">
        <v>5007</v>
      </c>
      <c r="I575" s="229" t="s">
        <v>5008</v>
      </c>
      <c r="J575" s="229" t="s">
        <v>5009</v>
      </c>
      <c r="K575" s="229" t="s">
        <v>5061</v>
      </c>
      <c r="BB575"/>
    </row>
    <row r="576" spans="1:54" x14ac:dyDescent="0.25">
      <c r="A576" s="208" t="str">
        <f t="shared" si="8"/>
        <v>Net Asset/Liability Recognized on Balance Sheet</v>
      </c>
      <c r="B576" s="201" t="s">
        <v>514</v>
      </c>
      <c r="C576" s="229" t="s">
        <v>4976</v>
      </c>
      <c r="D576" s="229" t="s">
        <v>4977</v>
      </c>
      <c r="E576" s="229" t="s">
        <v>4978</v>
      </c>
      <c r="F576" s="229" t="s">
        <v>5042</v>
      </c>
      <c r="G576" s="229" t="s">
        <v>5043</v>
      </c>
      <c r="H576" s="230" t="s">
        <v>5010</v>
      </c>
      <c r="I576" s="229" t="s">
        <v>5011</v>
      </c>
      <c r="J576" s="229" t="s">
        <v>5012</v>
      </c>
      <c r="K576" s="229" t="s">
        <v>5062</v>
      </c>
      <c r="BB576"/>
    </row>
    <row r="577" spans="1:54" x14ac:dyDescent="0.25">
      <c r="A577" s="208" t="str">
        <f t="shared" si="8"/>
        <v>Other Pension Related Items</v>
      </c>
      <c r="B577" s="201" t="s">
        <v>515</v>
      </c>
      <c r="C577" s="229" t="s">
        <v>4979</v>
      </c>
      <c r="D577" s="229" t="s">
        <v>4980</v>
      </c>
      <c r="E577" s="229" t="s">
        <v>4981</v>
      </c>
      <c r="F577" s="229" t="s">
        <v>5044</v>
      </c>
      <c r="G577" s="229" t="s">
        <v>5045</v>
      </c>
      <c r="H577" s="230" t="s">
        <v>5013</v>
      </c>
      <c r="I577" s="229" t="s">
        <v>5014</v>
      </c>
      <c r="J577" s="229" t="s">
        <v>5015</v>
      </c>
      <c r="K577" s="229" t="s">
        <v>5063</v>
      </c>
      <c r="BB577"/>
    </row>
    <row r="578" spans="1:54" x14ac:dyDescent="0.25">
      <c r="A578" s="208" t="str">
        <f t="shared" si="8"/>
        <v>Unfunded &amp; Vested Pension Liab.</v>
      </c>
      <c r="B578" s="201" t="s">
        <v>516</v>
      </c>
      <c r="C578" s="229" t="s">
        <v>4982</v>
      </c>
      <c r="D578" s="229" t="s">
        <v>4983</v>
      </c>
      <c r="E578" s="229" t="s">
        <v>4984</v>
      </c>
      <c r="F578" s="229" t="s">
        <v>5046</v>
      </c>
      <c r="G578" s="229" t="s">
        <v>5047</v>
      </c>
      <c r="H578" s="230" t="s">
        <v>5016</v>
      </c>
      <c r="I578" s="229" t="s">
        <v>5017</v>
      </c>
      <c r="J578" s="229" t="s">
        <v>5018</v>
      </c>
      <c r="K578" s="229" t="s">
        <v>5064</v>
      </c>
      <c r="BB578"/>
    </row>
    <row r="579" spans="1:54" x14ac:dyDescent="0.25">
      <c r="A579" s="208" t="str">
        <f t="shared" si="8"/>
        <v>Est. Contributions - Next Year</v>
      </c>
      <c r="B579" s="201" t="s">
        <v>517</v>
      </c>
      <c r="C579" s="229" t="s">
        <v>4985</v>
      </c>
      <c r="D579" s="229" t="s">
        <v>4986</v>
      </c>
      <c r="E579" s="229" t="s">
        <v>4987</v>
      </c>
      <c r="F579" s="229" t="s">
        <v>5048</v>
      </c>
      <c r="G579" s="229" t="s">
        <v>5049</v>
      </c>
      <c r="H579" s="230" t="s">
        <v>5019</v>
      </c>
      <c r="I579" s="229" t="s">
        <v>5020</v>
      </c>
      <c r="J579" s="229" t="s">
        <v>5021</v>
      </c>
      <c r="K579" s="229" t="s">
        <v>5065</v>
      </c>
      <c r="BB579"/>
    </row>
    <row r="580" spans="1:54" x14ac:dyDescent="0.25">
      <c r="A580" s="208" t="str">
        <f t="shared" si="8"/>
        <v>Quarterly Employer Contribution</v>
      </c>
      <c r="B580" s="201" t="s">
        <v>518</v>
      </c>
      <c r="C580" s="229" t="s">
        <v>4988</v>
      </c>
      <c r="D580" s="229" t="s">
        <v>4988</v>
      </c>
      <c r="E580" s="229" t="s">
        <v>4989</v>
      </c>
      <c r="F580" s="229" t="s">
        <v>5050</v>
      </c>
      <c r="G580" s="229" t="s">
        <v>5051</v>
      </c>
      <c r="H580" s="230" t="s">
        <v>5022</v>
      </c>
      <c r="I580" s="229" t="s">
        <v>5023</v>
      </c>
      <c r="J580" s="229" t="s">
        <v>5024</v>
      </c>
      <c r="K580" s="229" t="s">
        <v>5066</v>
      </c>
      <c r="BB580"/>
    </row>
    <row r="581" spans="1:54" x14ac:dyDescent="0.25">
      <c r="A581" s="208" t="str">
        <f t="shared" si="8"/>
        <v>Quarterly Additional Contributions Expected</v>
      </c>
      <c r="B581" s="201" t="s">
        <v>519</v>
      </c>
      <c r="C581" s="229" t="s">
        <v>4990</v>
      </c>
      <c r="D581" s="229" t="s">
        <v>4991</v>
      </c>
      <c r="E581" s="229" t="s">
        <v>4992</v>
      </c>
      <c r="F581" s="229" t="s">
        <v>5052</v>
      </c>
      <c r="G581" s="229" t="s">
        <v>5053</v>
      </c>
      <c r="H581" s="230" t="s">
        <v>5025</v>
      </c>
      <c r="I581" s="229" t="s">
        <v>5026</v>
      </c>
      <c r="J581" s="229" t="s">
        <v>5027</v>
      </c>
      <c r="K581" s="229" t="s">
        <v>5067</v>
      </c>
      <c r="BB581"/>
    </row>
    <row r="582" spans="1:54" x14ac:dyDescent="0.25">
      <c r="A582" s="208" t="str">
        <f t="shared" si="8"/>
        <v>Unfunded Additional Minimum Liab.</v>
      </c>
      <c r="B582" s="201" t="s">
        <v>520</v>
      </c>
      <c r="C582" s="229" t="s">
        <v>4993</v>
      </c>
      <c r="D582" s="229" t="s">
        <v>4994</v>
      </c>
      <c r="E582" s="229" t="s">
        <v>4995</v>
      </c>
      <c r="F582" s="229" t="s">
        <v>5054</v>
      </c>
      <c r="G582" s="229" t="s">
        <v>5055</v>
      </c>
      <c r="H582" s="230" t="s">
        <v>5028</v>
      </c>
      <c r="I582" s="229" t="s">
        <v>5029</v>
      </c>
      <c r="J582" s="229" t="s">
        <v>5030</v>
      </c>
      <c r="K582" s="229" t="s">
        <v>5068</v>
      </c>
      <c r="BB582"/>
    </row>
    <row r="583" spans="1:54" x14ac:dyDescent="0.25">
      <c r="A583" s="208" t="str">
        <f t="shared" si="8"/>
        <v>Benefit Info Date</v>
      </c>
      <c r="B583" s="201" t="s">
        <v>521</v>
      </c>
      <c r="C583" s="229" t="s">
        <v>4996</v>
      </c>
      <c r="D583" s="229" t="s">
        <v>4996</v>
      </c>
      <c r="E583" s="229" t="s">
        <v>4997</v>
      </c>
      <c r="F583" s="229" t="s">
        <v>5056</v>
      </c>
      <c r="G583" s="229" t="s">
        <v>5057</v>
      </c>
      <c r="H583" s="230" t="s">
        <v>5031</v>
      </c>
      <c r="I583" s="229" t="s">
        <v>5032</v>
      </c>
      <c r="J583" s="229" t="s">
        <v>5033</v>
      </c>
      <c r="K583" s="229" t="s">
        <v>5069</v>
      </c>
      <c r="BB583"/>
    </row>
    <row r="584" spans="1:54" x14ac:dyDescent="0.25">
      <c r="A584" s="208" t="str">
        <f t="shared" si="8"/>
        <v>OPEB</v>
      </c>
      <c r="B584" s="201" t="s">
        <v>633</v>
      </c>
      <c r="C584" s="229" t="s">
        <v>4445</v>
      </c>
      <c r="D584" s="229" t="s">
        <v>4446</v>
      </c>
      <c r="E584" s="229" t="s">
        <v>4447</v>
      </c>
      <c r="F584" s="229" t="s">
        <v>633</v>
      </c>
      <c r="G584" s="229" t="s">
        <v>4530</v>
      </c>
      <c r="H584" s="230" t="s">
        <v>4486</v>
      </c>
      <c r="I584" s="229" t="s">
        <v>4487</v>
      </c>
      <c r="J584" s="229" t="s">
        <v>4488</v>
      </c>
      <c r="K584" s="229" t="s">
        <v>633</v>
      </c>
      <c r="BB584"/>
    </row>
    <row r="585" spans="1:54" x14ac:dyDescent="0.25">
      <c r="A585" s="208" t="str">
        <f t="shared" ref="A585:A648" si="9">INDEX($B585:$CV585,$A$4)</f>
        <v>Def. Benefit Expected Return on Assets</v>
      </c>
      <c r="B585" s="201" t="s">
        <v>522</v>
      </c>
      <c r="C585" s="229" t="s">
        <v>4448</v>
      </c>
      <c r="D585" s="229" t="s">
        <v>4449</v>
      </c>
      <c r="E585" s="229" t="s">
        <v>4450</v>
      </c>
      <c r="F585" s="229" t="s">
        <v>4531</v>
      </c>
      <c r="G585" s="229" t="s">
        <v>4532</v>
      </c>
      <c r="H585" s="230" t="s">
        <v>4489</v>
      </c>
      <c r="I585" s="229" t="s">
        <v>4490</v>
      </c>
      <c r="J585" s="229" t="s">
        <v>4491</v>
      </c>
      <c r="K585" s="229" t="s">
        <v>4557</v>
      </c>
      <c r="BB585"/>
    </row>
    <row r="586" spans="1:54" x14ac:dyDescent="0.25">
      <c r="A586" s="208" t="str">
        <f t="shared" si="9"/>
        <v>Def. Benefit Benefit Total Cost</v>
      </c>
      <c r="B586" s="201" t="s">
        <v>523</v>
      </c>
      <c r="C586" s="229" t="s">
        <v>4222</v>
      </c>
      <c r="D586" s="229" t="s">
        <v>4223</v>
      </c>
      <c r="E586" s="229" t="s">
        <v>4451</v>
      </c>
      <c r="F586" s="229" t="s">
        <v>4330</v>
      </c>
      <c r="G586" s="229" t="s">
        <v>4331</v>
      </c>
      <c r="H586" s="230" t="s">
        <v>4492</v>
      </c>
      <c r="I586" s="229" t="s">
        <v>4493</v>
      </c>
      <c r="J586" s="229" t="s">
        <v>4494</v>
      </c>
      <c r="K586" s="229" t="s">
        <v>4558</v>
      </c>
      <c r="BB586"/>
    </row>
    <row r="587" spans="1:54" x14ac:dyDescent="0.25">
      <c r="A587" s="208" t="str">
        <f t="shared" si="9"/>
        <v>Total OPEB Expense</v>
      </c>
      <c r="B587" s="201" t="s">
        <v>524</v>
      </c>
      <c r="C587" s="229" t="s">
        <v>4452</v>
      </c>
      <c r="D587" s="229" t="s">
        <v>4453</v>
      </c>
      <c r="E587" s="229" t="s">
        <v>4454</v>
      </c>
      <c r="F587" s="229" t="s">
        <v>4533</v>
      </c>
      <c r="G587" s="229" t="s">
        <v>4534</v>
      </c>
      <c r="H587" s="230" t="s">
        <v>4495</v>
      </c>
      <c r="I587" s="229" t="s">
        <v>4496</v>
      </c>
      <c r="J587" s="229" t="s">
        <v>4497</v>
      </c>
      <c r="K587" s="229" t="s">
        <v>4559</v>
      </c>
      <c r="BB587"/>
    </row>
    <row r="588" spans="1:54" x14ac:dyDescent="0.25">
      <c r="A588" s="208" t="str">
        <f t="shared" si="9"/>
        <v>Projected Benefit Obligation</v>
      </c>
      <c r="B588" s="201" t="s">
        <v>525</v>
      </c>
      <c r="C588" s="229" t="s">
        <v>4455</v>
      </c>
      <c r="D588" s="229" t="s">
        <v>4456</v>
      </c>
      <c r="E588" s="229" t="s">
        <v>4398</v>
      </c>
      <c r="F588" s="229" t="s">
        <v>4535</v>
      </c>
      <c r="G588" s="229" t="s">
        <v>4536</v>
      </c>
      <c r="H588" s="230" t="s">
        <v>4420</v>
      </c>
      <c r="I588" s="229" t="s">
        <v>4498</v>
      </c>
      <c r="J588" s="229" t="s">
        <v>4499</v>
      </c>
      <c r="K588" s="229" t="s">
        <v>4444</v>
      </c>
      <c r="BB588"/>
    </row>
    <row r="589" spans="1:54" x14ac:dyDescent="0.25">
      <c r="A589" s="208" t="str">
        <f t="shared" si="9"/>
        <v>Accumulated Benefit Obligation</v>
      </c>
      <c r="B589" s="201" t="s">
        <v>526</v>
      </c>
      <c r="C589" s="229" t="s">
        <v>4457</v>
      </c>
      <c r="D589" s="229" t="s">
        <v>4458</v>
      </c>
      <c r="E589" s="229" t="s">
        <v>4459</v>
      </c>
      <c r="F589" s="229" t="s">
        <v>4537</v>
      </c>
      <c r="G589" s="229" t="s">
        <v>4538</v>
      </c>
      <c r="H589" s="230" t="s">
        <v>4500</v>
      </c>
      <c r="I589" s="229" t="s">
        <v>4501</v>
      </c>
      <c r="J589" s="229" t="s">
        <v>4502</v>
      </c>
      <c r="K589" s="229" t="s">
        <v>4560</v>
      </c>
      <c r="BB589"/>
    </row>
    <row r="590" spans="1:54" x14ac:dyDescent="0.25">
      <c r="A590" s="208" t="str">
        <f t="shared" si="9"/>
        <v>Benefits Sensitivity Analysis</v>
      </c>
      <c r="B590" s="201" t="s">
        <v>527</v>
      </c>
      <c r="C590" s="229" t="s">
        <v>4460</v>
      </c>
      <c r="D590" s="229" t="s">
        <v>4460</v>
      </c>
      <c r="E590" s="229" t="s">
        <v>4461</v>
      </c>
      <c r="F590" s="229" t="s">
        <v>4539</v>
      </c>
      <c r="G590" s="229" t="s">
        <v>4540</v>
      </c>
      <c r="H590" s="230" t="s">
        <v>4503</v>
      </c>
      <c r="I590" s="229" t="s">
        <v>4504</v>
      </c>
      <c r="J590" s="229" t="s">
        <v>4505</v>
      </c>
      <c r="K590" s="229" t="s">
        <v>4561</v>
      </c>
      <c r="BB590"/>
    </row>
    <row r="591" spans="1:54" x14ac:dyDescent="0.25">
      <c r="A591" s="208" t="str">
        <f t="shared" si="9"/>
        <v>1% Increase - Effect on Service and Interest Cost</v>
      </c>
      <c r="B591" s="201" t="s">
        <v>528</v>
      </c>
      <c r="C591" s="229" t="s">
        <v>4462</v>
      </c>
      <c r="D591" s="229" t="s">
        <v>4463</v>
      </c>
      <c r="E591" s="229" t="s">
        <v>4464</v>
      </c>
      <c r="F591" s="229" t="s">
        <v>4541</v>
      </c>
      <c r="G591" s="229" t="s">
        <v>4542</v>
      </c>
      <c r="H591" s="230" t="s">
        <v>4506</v>
      </c>
      <c r="I591" s="229" t="s">
        <v>4507</v>
      </c>
      <c r="J591" s="229" t="s">
        <v>4508</v>
      </c>
      <c r="K591" s="229" t="s">
        <v>4562</v>
      </c>
      <c r="BB591"/>
    </row>
    <row r="592" spans="1:54" x14ac:dyDescent="0.25">
      <c r="A592" s="208" t="str">
        <f t="shared" si="9"/>
        <v>1% Increase - Effect on PBO</v>
      </c>
      <c r="B592" s="201" t="s">
        <v>529</v>
      </c>
      <c r="C592" s="229" t="s">
        <v>4465</v>
      </c>
      <c r="D592" s="229" t="s">
        <v>4466</v>
      </c>
      <c r="E592" s="229" t="s">
        <v>4467</v>
      </c>
      <c r="F592" s="229" t="s">
        <v>4543</v>
      </c>
      <c r="G592" s="229" t="s">
        <v>4544</v>
      </c>
      <c r="H592" s="230" t="s">
        <v>4509</v>
      </c>
      <c r="I592" s="229" t="s">
        <v>4510</v>
      </c>
      <c r="J592" s="229" t="s">
        <v>4511</v>
      </c>
      <c r="K592" s="229" t="s">
        <v>4563</v>
      </c>
      <c r="BB592"/>
    </row>
    <row r="593" spans="1:54" x14ac:dyDescent="0.25">
      <c r="A593" s="208" t="str">
        <f t="shared" si="9"/>
        <v>1% Decrease - Effect on Service and Interest Cost</v>
      </c>
      <c r="B593" s="201" t="s">
        <v>530</v>
      </c>
      <c r="C593" s="229" t="s">
        <v>4468</v>
      </c>
      <c r="D593" s="229" t="s">
        <v>4469</v>
      </c>
      <c r="E593" s="229" t="s">
        <v>4470</v>
      </c>
      <c r="F593" s="229" t="s">
        <v>4545</v>
      </c>
      <c r="G593" s="229" t="s">
        <v>4546</v>
      </c>
      <c r="H593" s="230" t="s">
        <v>4512</v>
      </c>
      <c r="I593" s="229" t="s">
        <v>4513</v>
      </c>
      <c r="J593" s="229" t="s">
        <v>4514</v>
      </c>
      <c r="K593" s="229" t="s">
        <v>4564</v>
      </c>
      <c r="BB593"/>
    </row>
    <row r="594" spans="1:54" x14ac:dyDescent="0.25">
      <c r="A594" s="208" t="str">
        <f t="shared" si="9"/>
        <v>1% Decrease - Effect on PBO</v>
      </c>
      <c r="B594" s="201" t="s">
        <v>531</v>
      </c>
      <c r="C594" s="229" t="s">
        <v>4471</v>
      </c>
      <c r="D594" s="229" t="s">
        <v>4472</v>
      </c>
      <c r="E594" s="229" t="s">
        <v>4473</v>
      </c>
      <c r="F594" s="229" t="s">
        <v>4547</v>
      </c>
      <c r="G594" s="229" t="s">
        <v>4548</v>
      </c>
      <c r="H594" s="230" t="s">
        <v>4515</v>
      </c>
      <c r="I594" s="229" t="s">
        <v>4516</v>
      </c>
      <c r="J594" s="229" t="s">
        <v>4517</v>
      </c>
      <c r="K594" s="229" t="s">
        <v>4565</v>
      </c>
      <c r="BB594"/>
    </row>
    <row r="595" spans="1:54" x14ac:dyDescent="0.25">
      <c r="A595" s="208" t="str">
        <f t="shared" si="9"/>
        <v>Other Post-Retirement Benefit Related Items</v>
      </c>
      <c r="B595" s="201" t="s">
        <v>532</v>
      </c>
      <c r="C595" s="229" t="s">
        <v>4474</v>
      </c>
      <c r="D595" s="229" t="s">
        <v>4475</v>
      </c>
      <c r="E595" s="229" t="s">
        <v>4476</v>
      </c>
      <c r="F595" s="229" t="s">
        <v>4549</v>
      </c>
      <c r="G595" s="229" t="s">
        <v>4550</v>
      </c>
      <c r="H595" s="230" t="s">
        <v>4518</v>
      </c>
      <c r="I595" s="229" t="s">
        <v>4519</v>
      </c>
      <c r="J595" s="229" t="s">
        <v>4520</v>
      </c>
      <c r="K595" s="229" t="s">
        <v>4566</v>
      </c>
      <c r="BB595"/>
    </row>
    <row r="596" spans="1:54" x14ac:dyDescent="0.25">
      <c r="A596" s="208" t="str">
        <f t="shared" si="9"/>
        <v>Health Care Cost Trend Rate, Initial</v>
      </c>
      <c r="B596" s="201" t="s">
        <v>533</v>
      </c>
      <c r="C596" s="229" t="s">
        <v>4477</v>
      </c>
      <c r="D596" s="229" t="s">
        <v>4478</v>
      </c>
      <c r="E596" s="229" t="s">
        <v>4479</v>
      </c>
      <c r="F596" s="229" t="s">
        <v>4551</v>
      </c>
      <c r="G596" s="229" t="s">
        <v>4552</v>
      </c>
      <c r="H596" s="230" t="s">
        <v>4521</v>
      </c>
      <c r="I596" s="229" t="s">
        <v>4522</v>
      </c>
      <c r="J596" s="229" t="s">
        <v>4523</v>
      </c>
      <c r="K596" s="229" t="s">
        <v>4567</v>
      </c>
      <c r="BB596"/>
    </row>
    <row r="597" spans="1:54" x14ac:dyDescent="0.25">
      <c r="A597" s="208" t="str">
        <f t="shared" si="9"/>
        <v>Health Care Cost Trend Rate, Ultimate</v>
      </c>
      <c r="B597" s="201" t="s">
        <v>534</v>
      </c>
      <c r="C597" s="229" t="s">
        <v>4480</v>
      </c>
      <c r="D597" s="229" t="s">
        <v>4481</v>
      </c>
      <c r="E597" s="229" t="s">
        <v>4482</v>
      </c>
      <c r="F597" s="229" t="s">
        <v>4553</v>
      </c>
      <c r="G597" s="229" t="s">
        <v>4554</v>
      </c>
      <c r="H597" s="230" t="s">
        <v>4524</v>
      </c>
      <c r="I597" s="229" t="s">
        <v>4525</v>
      </c>
      <c r="J597" s="229" t="s">
        <v>4526</v>
      </c>
      <c r="K597" s="229" t="s">
        <v>4568</v>
      </c>
      <c r="BB597"/>
    </row>
    <row r="598" spans="1:54" x14ac:dyDescent="0.25">
      <c r="A598" s="208" t="str">
        <f t="shared" si="9"/>
        <v>Pension - Domestic</v>
      </c>
      <c r="B598" s="201" t="s">
        <v>634</v>
      </c>
      <c r="C598" s="229" t="s">
        <v>4483</v>
      </c>
      <c r="D598" s="229" t="s">
        <v>4484</v>
      </c>
      <c r="E598" s="229" t="s">
        <v>4485</v>
      </c>
      <c r="F598" s="229" t="s">
        <v>4555</v>
      </c>
      <c r="G598" s="229" t="s">
        <v>4556</v>
      </c>
      <c r="H598" s="230" t="s">
        <v>4527</v>
      </c>
      <c r="I598" s="229" t="s">
        <v>4528</v>
      </c>
      <c r="J598" s="229" t="s">
        <v>4529</v>
      </c>
      <c r="K598" s="229" t="s">
        <v>4569</v>
      </c>
      <c r="BB598"/>
    </row>
    <row r="599" spans="1:54" x14ac:dyDescent="0.25">
      <c r="A599" s="208" t="str">
        <f t="shared" si="9"/>
        <v>Def. Benefit Total Cost Incl. Supple Plans</v>
      </c>
      <c r="B599" s="201" t="s">
        <v>3</v>
      </c>
      <c r="C599" s="201" t="s">
        <v>8119</v>
      </c>
      <c r="D599" s="201" t="s">
        <v>8120</v>
      </c>
      <c r="E599" s="201" t="s">
        <v>8121</v>
      </c>
      <c r="F599" s="201" t="s">
        <v>8125</v>
      </c>
      <c r="G599" s="201" t="s">
        <v>8126</v>
      </c>
      <c r="H599" s="201" t="s">
        <v>8122</v>
      </c>
      <c r="I599" s="201" t="s">
        <v>8123</v>
      </c>
      <c r="J599" s="201" t="s">
        <v>8124</v>
      </c>
      <c r="K599" s="201" t="s">
        <v>8127</v>
      </c>
      <c r="BB599"/>
    </row>
    <row r="600" spans="1:54" x14ac:dyDescent="0.25">
      <c r="A600" s="208" t="str">
        <f t="shared" si="9"/>
        <v>Exp.Ret. On Pension Assets</v>
      </c>
      <c r="B600" s="201" t="s">
        <v>571</v>
      </c>
      <c r="C600" s="201" t="s">
        <v>8128</v>
      </c>
      <c r="D600" s="201" t="s">
        <v>8129</v>
      </c>
      <c r="E600" s="201" t="s">
        <v>8130</v>
      </c>
      <c r="F600" s="201" t="s">
        <v>8140</v>
      </c>
      <c r="G600" s="201" t="s">
        <v>8141</v>
      </c>
      <c r="H600" s="201" t="s">
        <v>8134</v>
      </c>
      <c r="I600" s="201" t="s">
        <v>8135</v>
      </c>
      <c r="J600" s="201" t="s">
        <v>8136</v>
      </c>
      <c r="K600" s="201" t="s">
        <v>8144</v>
      </c>
      <c r="BB600"/>
    </row>
    <row r="601" spans="1:54" x14ac:dyDescent="0.25">
      <c r="A601" s="208" t="str">
        <f t="shared" si="9"/>
        <v>Assumed Comp. Growth Rate</v>
      </c>
      <c r="B601" s="201" t="s">
        <v>570</v>
      </c>
      <c r="C601" s="201" t="s">
        <v>8131</v>
      </c>
      <c r="D601" s="201" t="s">
        <v>8132</v>
      </c>
      <c r="E601" s="201" t="s">
        <v>8133</v>
      </c>
      <c r="F601" s="201" t="s">
        <v>8142</v>
      </c>
      <c r="G601" s="201" t="s">
        <v>8143</v>
      </c>
      <c r="H601" s="201" t="s">
        <v>8137</v>
      </c>
      <c r="I601" s="201" t="s">
        <v>8138</v>
      </c>
      <c r="J601" s="201" t="s">
        <v>8139</v>
      </c>
      <c r="K601" s="201" t="s">
        <v>8145</v>
      </c>
      <c r="BB601"/>
    </row>
    <row r="602" spans="1:54" x14ac:dyDescent="0.25">
      <c r="A602" s="208" t="str">
        <f t="shared" si="9"/>
        <v>Discount Rate on Obligations</v>
      </c>
      <c r="B602" s="201" t="s">
        <v>8250</v>
      </c>
      <c r="C602" s="201" t="s">
        <v>8146</v>
      </c>
      <c r="D602" s="201" t="s">
        <v>8147</v>
      </c>
      <c r="E602" s="201" t="s">
        <v>8148</v>
      </c>
      <c r="F602" s="201" t="s">
        <v>8152</v>
      </c>
      <c r="G602" s="201" t="s">
        <v>8153</v>
      </c>
      <c r="H602" s="201" t="s">
        <v>8149</v>
      </c>
      <c r="I602" s="201" t="s">
        <v>8150</v>
      </c>
      <c r="J602" s="201" t="s">
        <v>8151</v>
      </c>
      <c r="K602" s="201" t="s">
        <v>8154</v>
      </c>
      <c r="BB602"/>
    </row>
    <row r="603" spans="1:54" x14ac:dyDescent="0.25">
      <c r="A603" s="208" t="str">
        <f t="shared" si="9"/>
        <v>OPEB - Domestic</v>
      </c>
      <c r="B603" s="201" t="s">
        <v>635</v>
      </c>
      <c r="C603" s="229" t="s">
        <v>8155</v>
      </c>
      <c r="D603" s="229" t="s">
        <v>8156</v>
      </c>
      <c r="E603" s="229" t="s">
        <v>8157</v>
      </c>
      <c r="F603" s="229" t="s">
        <v>8161</v>
      </c>
      <c r="G603" s="229" t="s">
        <v>8162</v>
      </c>
      <c r="H603" s="230" t="s">
        <v>8158</v>
      </c>
      <c r="I603" s="229" t="s">
        <v>8159</v>
      </c>
      <c r="J603" s="229" t="s">
        <v>8160</v>
      </c>
      <c r="K603" s="229" t="s">
        <v>8163</v>
      </c>
      <c r="BB603"/>
    </row>
    <row r="604" spans="1:54" x14ac:dyDescent="0.25">
      <c r="A604" s="208" t="str">
        <f t="shared" si="9"/>
        <v>Pension - Foreign</v>
      </c>
      <c r="B604" s="201" t="s">
        <v>636</v>
      </c>
      <c r="C604" s="201" t="s">
        <v>8164</v>
      </c>
      <c r="D604" s="201" t="s">
        <v>8165</v>
      </c>
      <c r="E604" s="201" t="s">
        <v>8166</v>
      </c>
      <c r="F604" s="201" t="s">
        <v>8170</v>
      </c>
      <c r="G604" s="201" t="s">
        <v>8171</v>
      </c>
      <c r="H604" s="201" t="s">
        <v>8167</v>
      </c>
      <c r="I604" s="201" t="s">
        <v>8168</v>
      </c>
      <c r="J604" s="201" t="s">
        <v>8169</v>
      </c>
      <c r="K604" s="201" t="s">
        <v>8172</v>
      </c>
      <c r="BB604"/>
    </row>
    <row r="605" spans="1:54" x14ac:dyDescent="0.25">
      <c r="A605" s="208" t="str">
        <f t="shared" si="9"/>
        <v>OPEB - Foreign</v>
      </c>
      <c r="B605" s="201" t="s">
        <v>637</v>
      </c>
      <c r="C605" s="229" t="s">
        <v>3205</v>
      </c>
      <c r="D605" s="229" t="s">
        <v>3206</v>
      </c>
      <c r="E605" s="229" t="s">
        <v>3207</v>
      </c>
      <c r="F605" s="229" t="s">
        <v>3598</v>
      </c>
      <c r="G605" s="229" t="s">
        <v>3599</v>
      </c>
      <c r="H605" s="230" t="s">
        <v>3399</v>
      </c>
      <c r="I605" s="229" t="s">
        <v>3400</v>
      </c>
      <c r="J605" s="229" t="s">
        <v>3401</v>
      </c>
      <c r="K605" s="229" t="s">
        <v>3728</v>
      </c>
      <c r="BB605"/>
    </row>
    <row r="606" spans="1:54" x14ac:dyDescent="0.25">
      <c r="A606" s="208" t="str">
        <f t="shared" si="9"/>
        <v>Assets Under Management</v>
      </c>
      <c r="B606" s="201" t="s">
        <v>741</v>
      </c>
      <c r="C606" s="229" t="s">
        <v>3208</v>
      </c>
      <c r="D606" s="229" t="s">
        <v>3209</v>
      </c>
      <c r="E606" s="229" t="s">
        <v>3210</v>
      </c>
      <c r="F606" s="229" t="s">
        <v>3600</v>
      </c>
      <c r="G606" s="229" t="s">
        <v>3601</v>
      </c>
      <c r="H606" s="230" t="s">
        <v>3402</v>
      </c>
      <c r="I606" s="229" t="s">
        <v>3403</v>
      </c>
      <c r="J606" s="229" t="s">
        <v>3404</v>
      </c>
      <c r="K606" s="229" t="s">
        <v>3729</v>
      </c>
      <c r="BB606"/>
    </row>
    <row r="607" spans="1:54" x14ac:dyDescent="0.25">
      <c r="A607" s="208" t="str">
        <f t="shared" si="9"/>
        <v>Assets Under Management - Equity</v>
      </c>
      <c r="B607" s="244" t="s">
        <v>8261</v>
      </c>
      <c r="C607" s="229" t="s">
        <v>3211</v>
      </c>
      <c r="D607" s="229" t="s">
        <v>3212</v>
      </c>
      <c r="E607" s="229" t="s">
        <v>3213</v>
      </c>
      <c r="F607" s="229" t="s">
        <v>3602</v>
      </c>
      <c r="G607" s="229" t="s">
        <v>3603</v>
      </c>
      <c r="H607" s="230" t="s">
        <v>3405</v>
      </c>
      <c r="I607" s="229" t="s">
        <v>3406</v>
      </c>
      <c r="J607" s="229" t="s">
        <v>3407</v>
      </c>
      <c r="K607" s="229" t="s">
        <v>3730</v>
      </c>
      <c r="BB607"/>
    </row>
    <row r="608" spans="1:54" x14ac:dyDescent="0.25">
      <c r="A608" s="208" t="str">
        <f t="shared" si="9"/>
        <v>Assets Under Management - Fixed</v>
      </c>
      <c r="B608" s="244" t="s">
        <v>8262</v>
      </c>
      <c r="C608" s="229" t="s">
        <v>3214</v>
      </c>
      <c r="D608" s="229" t="s">
        <v>3215</v>
      </c>
      <c r="E608" s="229" t="s">
        <v>3216</v>
      </c>
      <c r="F608" s="229" t="s">
        <v>3604</v>
      </c>
      <c r="G608" s="229" t="s">
        <v>3605</v>
      </c>
      <c r="H608" s="230" t="s">
        <v>3408</v>
      </c>
      <c r="I608" s="229" t="s">
        <v>3409</v>
      </c>
      <c r="J608" s="229" t="s">
        <v>3410</v>
      </c>
      <c r="K608" s="229" t="s">
        <v>3731</v>
      </c>
      <c r="BB608"/>
    </row>
    <row r="609" spans="1:54" x14ac:dyDescent="0.25">
      <c r="A609" s="208" t="str">
        <f t="shared" si="9"/>
        <v>Assets Under Management - Money Market</v>
      </c>
      <c r="B609" s="244" t="s">
        <v>8263</v>
      </c>
      <c r="C609" s="229" t="s">
        <v>3217</v>
      </c>
      <c r="D609" s="229" t="s">
        <v>3218</v>
      </c>
      <c r="E609" s="229" t="s">
        <v>3219</v>
      </c>
      <c r="F609" s="229" t="s">
        <v>3606</v>
      </c>
      <c r="G609" s="229" t="s">
        <v>3607</v>
      </c>
      <c r="H609" s="230" t="s">
        <v>3411</v>
      </c>
      <c r="I609" s="229" t="s">
        <v>3412</v>
      </c>
      <c r="J609" s="229" t="s">
        <v>3413</v>
      </c>
      <c r="K609" s="229" t="s">
        <v>3732</v>
      </c>
      <c r="BB609"/>
    </row>
    <row r="610" spans="1:54" x14ac:dyDescent="0.25">
      <c r="A610" s="208" t="str">
        <f t="shared" si="9"/>
        <v>Assets Under Management - Other</v>
      </c>
      <c r="B610" s="244" t="s">
        <v>8264</v>
      </c>
      <c r="C610" s="229" t="s">
        <v>3220</v>
      </c>
      <c r="D610" s="229" t="s">
        <v>3221</v>
      </c>
      <c r="E610" s="229" t="s">
        <v>3222</v>
      </c>
      <c r="F610" s="229" t="s">
        <v>3608</v>
      </c>
      <c r="G610" s="229" t="s">
        <v>3609</v>
      </c>
      <c r="H610" s="230" t="s">
        <v>3414</v>
      </c>
      <c r="I610" s="229" t="s">
        <v>3415</v>
      </c>
      <c r="J610" s="229" t="s">
        <v>3416</v>
      </c>
      <c r="K610" s="229" t="s">
        <v>3733</v>
      </c>
      <c r="BB610"/>
    </row>
    <row r="611" spans="1:54" x14ac:dyDescent="0.25">
      <c r="A611" s="208" t="str">
        <f t="shared" si="9"/>
        <v>Total Assets Under Management</v>
      </c>
      <c r="B611" s="201" t="s">
        <v>30</v>
      </c>
      <c r="C611" s="229" t="s">
        <v>3223</v>
      </c>
      <c r="D611" s="229" t="s">
        <v>3224</v>
      </c>
      <c r="E611" s="229" t="s">
        <v>3225</v>
      </c>
      <c r="F611" s="229" t="s">
        <v>3610</v>
      </c>
      <c r="G611" s="229" t="s">
        <v>3611</v>
      </c>
      <c r="H611" s="230" t="s">
        <v>3417</v>
      </c>
      <c r="I611" s="229" t="s">
        <v>3418</v>
      </c>
      <c r="J611" s="229" t="s">
        <v>3419</v>
      </c>
      <c r="K611" s="229" t="s">
        <v>3734</v>
      </c>
      <c r="BB611"/>
    </row>
    <row r="612" spans="1:54" x14ac:dyDescent="0.25">
      <c r="A612" s="208" t="str">
        <f t="shared" si="9"/>
        <v>Assets Under Management - Private Equity</v>
      </c>
      <c r="B612" s="201" t="s">
        <v>751</v>
      </c>
      <c r="C612" s="229" t="s">
        <v>3226</v>
      </c>
      <c r="D612" s="229" t="s">
        <v>3227</v>
      </c>
      <c r="E612" s="229" t="s">
        <v>3228</v>
      </c>
      <c r="F612" s="229" t="s">
        <v>3612</v>
      </c>
      <c r="G612" s="229" t="s">
        <v>3613</v>
      </c>
      <c r="H612" s="230" t="s">
        <v>3420</v>
      </c>
      <c r="I612" s="229" t="s">
        <v>3421</v>
      </c>
      <c r="J612" s="229" t="s">
        <v>3422</v>
      </c>
      <c r="K612" s="229" t="s">
        <v>3735</v>
      </c>
      <c r="BB612"/>
    </row>
    <row r="613" spans="1:54" x14ac:dyDescent="0.25">
      <c r="A613" s="208" t="str">
        <f t="shared" si="9"/>
        <v>Assets Under Management - Real Estate</v>
      </c>
      <c r="B613" s="201" t="s">
        <v>752</v>
      </c>
      <c r="C613" s="229" t="s">
        <v>3229</v>
      </c>
      <c r="D613" s="229" t="s">
        <v>3230</v>
      </c>
      <c r="E613" s="229" t="s">
        <v>3231</v>
      </c>
      <c r="F613" s="229" t="s">
        <v>3614</v>
      </c>
      <c r="G613" s="229" t="s">
        <v>3615</v>
      </c>
      <c r="H613" s="230" t="s">
        <v>3423</v>
      </c>
      <c r="I613" s="229" t="s">
        <v>3424</v>
      </c>
      <c r="J613" s="229" t="s">
        <v>3425</v>
      </c>
      <c r="K613" s="229" t="s">
        <v>3736</v>
      </c>
      <c r="BB613"/>
    </row>
    <row r="614" spans="1:54" x14ac:dyDescent="0.25">
      <c r="A614" s="208" t="str">
        <f t="shared" si="9"/>
        <v>Assets Under Management - Institutional</v>
      </c>
      <c r="B614" s="201" t="s">
        <v>753</v>
      </c>
      <c r="C614" s="229" t="s">
        <v>3232</v>
      </c>
      <c r="D614" s="229" t="s">
        <v>3233</v>
      </c>
      <c r="E614" s="229" t="s">
        <v>3234</v>
      </c>
      <c r="F614" s="229" t="s">
        <v>3616</v>
      </c>
      <c r="G614" s="229" t="s">
        <v>3617</v>
      </c>
      <c r="H614" s="230" t="s">
        <v>3426</v>
      </c>
      <c r="I614" s="229" t="s">
        <v>3427</v>
      </c>
      <c r="J614" s="229" t="s">
        <v>3428</v>
      </c>
      <c r="K614" s="229" t="s">
        <v>3737</v>
      </c>
      <c r="BB614"/>
    </row>
    <row r="615" spans="1:54" x14ac:dyDescent="0.25">
      <c r="A615" s="208" t="str">
        <f t="shared" si="9"/>
        <v>Assets Under Management - Retail</v>
      </c>
      <c r="B615" s="201" t="s">
        <v>754</v>
      </c>
      <c r="C615" s="229" t="s">
        <v>3235</v>
      </c>
      <c r="D615" s="229" t="s">
        <v>3236</v>
      </c>
      <c r="E615" s="229" t="s">
        <v>3237</v>
      </c>
      <c r="F615" s="229" t="s">
        <v>3618</v>
      </c>
      <c r="G615" s="229" t="s">
        <v>3619</v>
      </c>
      <c r="H615" s="230" t="s">
        <v>3429</v>
      </c>
      <c r="I615" s="229" t="s">
        <v>3430</v>
      </c>
      <c r="J615" s="229" t="s">
        <v>3431</v>
      </c>
      <c r="K615" s="229" t="s">
        <v>3738</v>
      </c>
      <c r="BB615"/>
    </row>
    <row r="616" spans="1:54" x14ac:dyDescent="0.25">
      <c r="A616" s="208" t="str">
        <f t="shared" si="9"/>
        <v>Assets Under Management - High Net Worth</v>
      </c>
      <c r="B616" s="201" t="s">
        <v>755</v>
      </c>
      <c r="C616" s="229" t="s">
        <v>3238</v>
      </c>
      <c r="D616" s="229" t="s">
        <v>3239</v>
      </c>
      <c r="E616" s="229" t="s">
        <v>3240</v>
      </c>
      <c r="F616" s="229" t="s">
        <v>3620</v>
      </c>
      <c r="G616" s="229" t="s">
        <v>3621</v>
      </c>
      <c r="H616" s="230" t="s">
        <v>3432</v>
      </c>
      <c r="I616" s="229" t="s">
        <v>3433</v>
      </c>
      <c r="J616" s="229" t="s">
        <v>3434</v>
      </c>
      <c r="K616" s="229" t="s">
        <v>3739</v>
      </c>
      <c r="BB616"/>
    </row>
    <row r="617" spans="1:54" x14ac:dyDescent="0.25">
      <c r="A617" s="208" t="str">
        <f t="shared" si="9"/>
        <v>Assets Under Management - Other Clients</v>
      </c>
      <c r="B617" s="201" t="s">
        <v>756</v>
      </c>
      <c r="C617" s="229" t="s">
        <v>3241</v>
      </c>
      <c r="D617" s="229" t="s">
        <v>3242</v>
      </c>
      <c r="E617" s="229" t="s">
        <v>3243</v>
      </c>
      <c r="F617" s="229" t="s">
        <v>3622</v>
      </c>
      <c r="G617" s="229" t="s">
        <v>3623</v>
      </c>
      <c r="H617" s="230" t="s">
        <v>3435</v>
      </c>
      <c r="I617" s="229" t="s">
        <v>3436</v>
      </c>
      <c r="J617" s="229" t="s">
        <v>3437</v>
      </c>
      <c r="K617" s="229" t="s">
        <v>3740</v>
      </c>
      <c r="BB617"/>
    </row>
    <row r="618" spans="1:54" x14ac:dyDescent="0.25">
      <c r="A618" s="208" t="str">
        <f t="shared" si="9"/>
        <v>Assets Under Management - Domestic</v>
      </c>
      <c r="B618" s="201" t="s">
        <v>757</v>
      </c>
      <c r="C618" s="229" t="s">
        <v>3244</v>
      </c>
      <c r="D618" s="229" t="s">
        <v>3245</v>
      </c>
      <c r="E618" s="229" t="s">
        <v>3246</v>
      </c>
      <c r="F618" s="229" t="s">
        <v>3624</v>
      </c>
      <c r="G618" s="229" t="s">
        <v>3625</v>
      </c>
      <c r="H618" s="230" t="s">
        <v>3438</v>
      </c>
      <c r="I618" s="229" t="s">
        <v>3439</v>
      </c>
      <c r="J618" s="229" t="s">
        <v>3440</v>
      </c>
      <c r="K618" s="229" t="s">
        <v>3741</v>
      </c>
      <c r="BB618"/>
    </row>
    <row r="619" spans="1:54" x14ac:dyDescent="0.25">
      <c r="A619" s="208" t="str">
        <f t="shared" si="9"/>
        <v>Assets Under Management - Foreign</v>
      </c>
      <c r="B619" s="201" t="s">
        <v>758</v>
      </c>
      <c r="C619" s="229" t="s">
        <v>3247</v>
      </c>
      <c r="D619" s="229" t="s">
        <v>3248</v>
      </c>
      <c r="E619" s="229" t="s">
        <v>3249</v>
      </c>
      <c r="F619" s="229" t="s">
        <v>3626</v>
      </c>
      <c r="G619" s="229" t="s">
        <v>3627</v>
      </c>
      <c r="H619" s="230" t="s">
        <v>3441</v>
      </c>
      <c r="I619" s="229" t="s">
        <v>3442</v>
      </c>
      <c r="J619" s="229" t="s">
        <v>3443</v>
      </c>
      <c r="K619" s="229" t="s">
        <v>3742</v>
      </c>
      <c r="BB619"/>
    </row>
    <row r="620" spans="1:54" x14ac:dyDescent="0.25">
      <c r="A620" s="208" t="str">
        <f t="shared" si="9"/>
        <v>Assets Under Management - Fee Earning</v>
      </c>
      <c r="B620" s="201" t="s">
        <v>759</v>
      </c>
      <c r="C620" s="229" t="s">
        <v>3250</v>
      </c>
      <c r="D620" s="229" t="s">
        <v>3251</v>
      </c>
      <c r="E620" s="229" t="s">
        <v>3252</v>
      </c>
      <c r="F620" s="229" t="s">
        <v>3628</v>
      </c>
      <c r="G620" s="229" t="s">
        <v>3629</v>
      </c>
      <c r="H620" s="230" t="s">
        <v>3444</v>
      </c>
      <c r="I620" s="229" t="s">
        <v>3445</v>
      </c>
      <c r="J620" s="229" t="s">
        <v>3446</v>
      </c>
      <c r="K620" s="229" t="s">
        <v>3743</v>
      </c>
      <c r="BB620"/>
    </row>
    <row r="621" spans="1:54" x14ac:dyDescent="0.25">
      <c r="A621" s="208" t="str">
        <f t="shared" si="9"/>
        <v>Assets Under Management - Non Fee Earning</v>
      </c>
      <c r="B621" s="201" t="s">
        <v>760</v>
      </c>
      <c r="C621" s="229" t="s">
        <v>3253</v>
      </c>
      <c r="D621" s="229" t="s">
        <v>3254</v>
      </c>
      <c r="E621" s="229" t="s">
        <v>3255</v>
      </c>
      <c r="F621" s="229" t="s">
        <v>3630</v>
      </c>
      <c r="G621" s="229" t="s">
        <v>3631</v>
      </c>
      <c r="H621" s="230" t="s">
        <v>3447</v>
      </c>
      <c r="I621" s="229" t="s">
        <v>3448</v>
      </c>
      <c r="J621" s="229" t="s">
        <v>3449</v>
      </c>
      <c r="K621" s="229" t="s">
        <v>3744</v>
      </c>
      <c r="BB621"/>
    </row>
    <row r="622" spans="1:54" x14ac:dyDescent="0.25">
      <c r="A622" s="208" t="str">
        <f t="shared" si="9"/>
        <v>Assets Under Management - Retail Customers</v>
      </c>
      <c r="B622" s="201" t="s">
        <v>761</v>
      </c>
      <c r="C622" s="229" t="s">
        <v>3256</v>
      </c>
      <c r="D622" s="229" t="s">
        <v>3257</v>
      </c>
      <c r="E622" s="229" t="s">
        <v>3258</v>
      </c>
      <c r="F622" s="229" t="s">
        <v>3632</v>
      </c>
      <c r="G622" s="229" t="s">
        <v>3633</v>
      </c>
      <c r="H622" s="230" t="s">
        <v>3450</v>
      </c>
      <c r="I622" s="229" t="s">
        <v>3451</v>
      </c>
      <c r="J622" s="229" t="s">
        <v>3452</v>
      </c>
      <c r="K622" s="229" t="s">
        <v>3745</v>
      </c>
      <c r="BB622"/>
    </row>
    <row r="623" spans="1:54" x14ac:dyDescent="0.25">
      <c r="A623" s="208" t="str">
        <f t="shared" si="9"/>
        <v>Assets Under Management - Institutional Customers</v>
      </c>
      <c r="B623" s="201" t="s">
        <v>762</v>
      </c>
      <c r="C623" s="229" t="s">
        <v>3259</v>
      </c>
      <c r="D623" s="229" t="s">
        <v>3260</v>
      </c>
      <c r="E623" s="229" t="s">
        <v>3261</v>
      </c>
      <c r="F623" s="229" t="s">
        <v>3634</v>
      </c>
      <c r="G623" s="229" t="s">
        <v>3635</v>
      </c>
      <c r="H623" s="230" t="s">
        <v>3453</v>
      </c>
      <c r="I623" s="229" t="s">
        <v>3454</v>
      </c>
      <c r="J623" s="229" t="s">
        <v>3455</v>
      </c>
      <c r="K623" s="229" t="s">
        <v>3746</v>
      </c>
      <c r="BB623"/>
    </row>
    <row r="624" spans="1:54" x14ac:dyDescent="0.25">
      <c r="A624" s="208" t="str">
        <f t="shared" si="9"/>
        <v>Assets Under Management - Small, Medium Enterprise Customers</v>
      </c>
      <c r="B624" s="201" t="s">
        <v>763</v>
      </c>
      <c r="C624" s="229" t="s">
        <v>3262</v>
      </c>
      <c r="D624" s="229" t="s">
        <v>3263</v>
      </c>
      <c r="E624" s="229" t="s">
        <v>3264</v>
      </c>
      <c r="F624" s="229" t="s">
        <v>3636</v>
      </c>
      <c r="G624" s="229" t="s">
        <v>3637</v>
      </c>
      <c r="H624" s="230" t="s">
        <v>3456</v>
      </c>
      <c r="I624" s="229" t="s">
        <v>3457</v>
      </c>
      <c r="J624" s="229" t="s">
        <v>3458</v>
      </c>
      <c r="K624" s="229" t="s">
        <v>3747</v>
      </c>
      <c r="BB624"/>
    </row>
    <row r="625" spans="1:54" x14ac:dyDescent="0.25">
      <c r="A625" s="208" t="str">
        <f t="shared" si="9"/>
        <v>Assets Under Management - Other Customers</v>
      </c>
      <c r="B625" s="201" t="s">
        <v>764</v>
      </c>
      <c r="C625" s="229" t="s">
        <v>3241</v>
      </c>
      <c r="D625" s="229" t="s">
        <v>3242</v>
      </c>
      <c r="E625" s="229" t="s">
        <v>3243</v>
      </c>
      <c r="F625" s="229" t="s">
        <v>3622</v>
      </c>
      <c r="G625" s="229" t="s">
        <v>3623</v>
      </c>
      <c r="H625" s="230" t="s">
        <v>3459</v>
      </c>
      <c r="I625" s="229" t="s">
        <v>3436</v>
      </c>
      <c r="J625" s="229" t="s">
        <v>3437</v>
      </c>
      <c r="K625" s="229" t="s">
        <v>3740</v>
      </c>
      <c r="BB625"/>
    </row>
    <row r="626" spans="1:54" x14ac:dyDescent="0.25">
      <c r="A626" s="208" t="str">
        <f t="shared" si="9"/>
        <v>Assets Under Management - Total Customers</v>
      </c>
      <c r="B626" s="201" t="s">
        <v>765</v>
      </c>
      <c r="C626" s="229" t="s">
        <v>3265</v>
      </c>
      <c r="D626" s="229" t="s">
        <v>3266</v>
      </c>
      <c r="E626" s="229" t="s">
        <v>3267</v>
      </c>
      <c r="F626" s="229" t="s">
        <v>3638</v>
      </c>
      <c r="G626" s="229" t="s">
        <v>3639</v>
      </c>
      <c r="H626" s="230" t="s">
        <v>3460</v>
      </c>
      <c r="I626" s="229" t="s">
        <v>3461</v>
      </c>
      <c r="J626" s="229" t="s">
        <v>3462</v>
      </c>
      <c r="K626" s="229" t="s">
        <v>3748</v>
      </c>
      <c r="BB626"/>
    </row>
    <row r="627" spans="1:54" x14ac:dyDescent="0.25">
      <c r="A627" s="208" t="str">
        <f t="shared" si="9"/>
        <v>Assets Under Management - Beginning of Period</v>
      </c>
      <c r="B627" s="201" t="s">
        <v>766</v>
      </c>
      <c r="C627" s="229" t="s">
        <v>3268</v>
      </c>
      <c r="D627" s="229" t="s">
        <v>3269</v>
      </c>
      <c r="E627" s="229" t="s">
        <v>3270</v>
      </c>
      <c r="F627" s="229" t="s">
        <v>3640</v>
      </c>
      <c r="G627" s="229" t="s">
        <v>3641</v>
      </c>
      <c r="H627" s="230" t="s">
        <v>3463</v>
      </c>
      <c r="I627" s="229" t="s">
        <v>3464</v>
      </c>
      <c r="J627" s="229" t="s">
        <v>3465</v>
      </c>
      <c r="K627" s="229" t="s">
        <v>3749</v>
      </c>
      <c r="BB627"/>
    </row>
    <row r="628" spans="1:54" x14ac:dyDescent="0.25">
      <c r="A628" s="208" t="str">
        <f t="shared" si="9"/>
        <v>Assets Under Management - Inflows</v>
      </c>
      <c r="B628" s="201" t="s">
        <v>767</v>
      </c>
      <c r="C628" s="229" t="s">
        <v>3271</v>
      </c>
      <c r="D628" s="229" t="s">
        <v>3272</v>
      </c>
      <c r="E628" s="229" t="s">
        <v>3273</v>
      </c>
      <c r="F628" s="229" t="s">
        <v>3642</v>
      </c>
      <c r="G628" s="229" t="s">
        <v>3643</v>
      </c>
      <c r="H628" s="230" t="s">
        <v>3466</v>
      </c>
      <c r="I628" s="229" t="s">
        <v>3467</v>
      </c>
      <c r="J628" s="229" t="s">
        <v>3468</v>
      </c>
      <c r="K628" s="229" t="s">
        <v>3750</v>
      </c>
      <c r="BB628"/>
    </row>
    <row r="629" spans="1:54" x14ac:dyDescent="0.25">
      <c r="A629" s="208" t="str">
        <f t="shared" si="9"/>
        <v>Assets Under Management - Outflows</v>
      </c>
      <c r="B629" s="201" t="s">
        <v>768</v>
      </c>
      <c r="C629" s="229" t="s">
        <v>3274</v>
      </c>
      <c r="D629" s="229" t="s">
        <v>3275</v>
      </c>
      <c r="E629" s="229" t="s">
        <v>3276</v>
      </c>
      <c r="F629" s="229" t="s">
        <v>3644</v>
      </c>
      <c r="G629" s="229" t="s">
        <v>3645</v>
      </c>
      <c r="H629" s="230" t="s">
        <v>3469</v>
      </c>
      <c r="I629" s="229" t="s">
        <v>3470</v>
      </c>
      <c r="J629" s="229" t="s">
        <v>3471</v>
      </c>
      <c r="K629" s="229" t="s">
        <v>3751</v>
      </c>
      <c r="BB629"/>
    </row>
    <row r="630" spans="1:54" x14ac:dyDescent="0.25">
      <c r="A630" s="208" t="str">
        <f t="shared" si="9"/>
        <v>Assets Under Management - Net Inflows / (Outflows)</v>
      </c>
      <c r="B630" s="201" t="s">
        <v>769</v>
      </c>
      <c r="C630" s="229" t="s">
        <v>3277</v>
      </c>
      <c r="D630" s="229" t="s">
        <v>3278</v>
      </c>
      <c r="E630" s="229" t="s">
        <v>3279</v>
      </c>
      <c r="F630" s="229" t="s">
        <v>3646</v>
      </c>
      <c r="G630" s="229" t="s">
        <v>3647</v>
      </c>
      <c r="H630" s="230" t="s">
        <v>3472</v>
      </c>
      <c r="I630" s="229" t="s">
        <v>3473</v>
      </c>
      <c r="J630" s="229" t="s">
        <v>3474</v>
      </c>
      <c r="K630" s="229" t="s">
        <v>3752</v>
      </c>
      <c r="BB630"/>
    </row>
    <row r="631" spans="1:54" x14ac:dyDescent="0.25">
      <c r="A631" s="208" t="str">
        <f t="shared" si="9"/>
        <v>Assets Under Management - Cash Flows &amp; Dividends</v>
      </c>
      <c r="B631" s="201" t="s">
        <v>0</v>
      </c>
      <c r="C631" s="229" t="s">
        <v>3280</v>
      </c>
      <c r="D631" s="229" t="s">
        <v>3281</v>
      </c>
      <c r="E631" s="229" t="s">
        <v>3282</v>
      </c>
      <c r="F631" s="229" t="s">
        <v>3648</v>
      </c>
      <c r="G631" s="229" t="s">
        <v>3649</v>
      </c>
      <c r="H631" s="230" t="s">
        <v>3475</v>
      </c>
      <c r="I631" s="229" t="s">
        <v>3476</v>
      </c>
      <c r="J631" s="229" t="s">
        <v>3477</v>
      </c>
      <c r="K631" s="229" t="s">
        <v>3753</v>
      </c>
      <c r="BB631"/>
    </row>
    <row r="632" spans="1:54" x14ac:dyDescent="0.25">
      <c r="A632" s="208" t="str">
        <f t="shared" si="9"/>
        <v>Assets Under Management - Market Appreciation / (Depreciation)</v>
      </c>
      <c r="B632" s="201" t="s">
        <v>1</v>
      </c>
      <c r="C632" s="229" t="s">
        <v>3283</v>
      </c>
      <c r="D632" s="229" t="s">
        <v>3284</v>
      </c>
      <c r="E632" s="229" t="s">
        <v>3285</v>
      </c>
      <c r="F632" s="229" t="s">
        <v>3650</v>
      </c>
      <c r="G632" s="229" t="s">
        <v>3651</v>
      </c>
      <c r="H632" s="230" t="s">
        <v>3478</v>
      </c>
      <c r="I632" s="229" t="s">
        <v>3479</v>
      </c>
      <c r="J632" s="229" t="s">
        <v>3480</v>
      </c>
      <c r="K632" s="229" t="s">
        <v>3754</v>
      </c>
      <c r="BB632"/>
    </row>
    <row r="633" spans="1:54" x14ac:dyDescent="0.25">
      <c r="A633" s="208" t="str">
        <f t="shared" si="9"/>
        <v>Assets Under Management - Acquisitions and Transfers</v>
      </c>
      <c r="B633" s="201" t="s">
        <v>11</v>
      </c>
      <c r="C633" s="229" t="s">
        <v>3286</v>
      </c>
      <c r="D633" s="229" t="s">
        <v>3287</v>
      </c>
      <c r="E633" s="229" t="s">
        <v>3288</v>
      </c>
      <c r="F633" s="229" t="s">
        <v>3652</v>
      </c>
      <c r="G633" s="229" t="s">
        <v>3653</v>
      </c>
      <c r="H633" s="230" t="s">
        <v>3481</v>
      </c>
      <c r="I633" s="229" t="s">
        <v>3482</v>
      </c>
      <c r="J633" s="229" t="s">
        <v>3483</v>
      </c>
      <c r="K633" s="229" t="s">
        <v>3755</v>
      </c>
      <c r="BB633"/>
    </row>
    <row r="634" spans="1:54" x14ac:dyDescent="0.25">
      <c r="A634" s="208" t="str">
        <f t="shared" si="9"/>
        <v>Assets Under Management - Other Adjustments</v>
      </c>
      <c r="B634" s="201" t="s">
        <v>12</v>
      </c>
      <c r="C634" s="229" t="s">
        <v>3289</v>
      </c>
      <c r="D634" s="229" t="s">
        <v>3290</v>
      </c>
      <c r="E634" s="229" t="s">
        <v>3291</v>
      </c>
      <c r="F634" s="229" t="s">
        <v>3654</v>
      </c>
      <c r="G634" s="229" t="s">
        <v>3655</v>
      </c>
      <c r="H634" s="230" t="s">
        <v>3484</v>
      </c>
      <c r="I634" s="229" t="s">
        <v>3485</v>
      </c>
      <c r="J634" s="229" t="s">
        <v>3486</v>
      </c>
      <c r="K634" s="229" t="s">
        <v>3756</v>
      </c>
      <c r="BB634"/>
    </row>
    <row r="635" spans="1:54" x14ac:dyDescent="0.25">
      <c r="A635" s="208" t="str">
        <f t="shared" si="9"/>
        <v>Assets Under Management - End of Period</v>
      </c>
      <c r="B635" s="201" t="s">
        <v>13</v>
      </c>
      <c r="C635" s="229" t="s">
        <v>3292</v>
      </c>
      <c r="D635" s="229" t="s">
        <v>3293</v>
      </c>
      <c r="E635" s="229" t="s">
        <v>3294</v>
      </c>
      <c r="F635" s="229" t="s">
        <v>3656</v>
      </c>
      <c r="G635" s="229" t="s">
        <v>3657</v>
      </c>
      <c r="H635" s="230" t="s">
        <v>3487</v>
      </c>
      <c r="I635" s="229" t="s">
        <v>3488</v>
      </c>
      <c r="J635" s="229" t="s">
        <v>3489</v>
      </c>
      <c r="K635" s="229" t="s">
        <v>3757</v>
      </c>
      <c r="BB635"/>
    </row>
    <row r="636" spans="1:54" x14ac:dyDescent="0.25">
      <c r="A636" s="208" t="str">
        <f t="shared" si="9"/>
        <v>Assets Under Management - Average</v>
      </c>
      <c r="B636" s="201" t="s">
        <v>14</v>
      </c>
      <c r="C636" s="229" t="s">
        <v>3295</v>
      </c>
      <c r="D636" s="229" t="s">
        <v>3296</v>
      </c>
      <c r="E636" s="229" t="s">
        <v>3297</v>
      </c>
      <c r="F636" s="229" t="s">
        <v>3658</v>
      </c>
      <c r="G636" s="229" t="s">
        <v>3659</v>
      </c>
      <c r="H636" s="230" t="s">
        <v>3490</v>
      </c>
      <c r="I636" s="229" t="s">
        <v>3491</v>
      </c>
      <c r="J636" s="229" t="s">
        <v>3492</v>
      </c>
      <c r="K636" s="229" t="s">
        <v>3758</v>
      </c>
      <c r="BB636"/>
    </row>
    <row r="637" spans="1:54" x14ac:dyDescent="0.25">
      <c r="A637" s="208" t="str">
        <f t="shared" si="9"/>
        <v>Assets Under Management - Net Change</v>
      </c>
      <c r="B637" s="201" t="s">
        <v>15</v>
      </c>
      <c r="C637" s="229" t="s">
        <v>3298</v>
      </c>
      <c r="D637" s="229" t="s">
        <v>3299</v>
      </c>
      <c r="E637" s="229" t="s">
        <v>3300</v>
      </c>
      <c r="F637" s="229" t="s">
        <v>3660</v>
      </c>
      <c r="G637" s="229" t="s">
        <v>3661</v>
      </c>
      <c r="H637" s="230" t="s">
        <v>3493</v>
      </c>
      <c r="I637" s="229" t="s">
        <v>3494</v>
      </c>
      <c r="J637" s="229" t="s">
        <v>3495</v>
      </c>
      <c r="K637" s="229" t="s">
        <v>3759</v>
      </c>
      <c r="BB637"/>
    </row>
    <row r="638" spans="1:54" x14ac:dyDescent="0.25">
      <c r="A638" s="208" t="str">
        <f t="shared" si="9"/>
        <v>Mutual Fund - Beginning of Period</v>
      </c>
      <c r="B638" s="201" t="s">
        <v>62</v>
      </c>
      <c r="C638" s="229" t="s">
        <v>3301</v>
      </c>
      <c r="D638" s="229" t="s">
        <v>3301</v>
      </c>
      <c r="E638" s="229" t="s">
        <v>3302</v>
      </c>
      <c r="F638" s="229" t="s">
        <v>3662</v>
      </c>
      <c r="G638" s="229" t="s">
        <v>3663</v>
      </c>
      <c r="H638" s="230" t="s">
        <v>3496</v>
      </c>
      <c r="I638" s="229" t="s">
        <v>3497</v>
      </c>
      <c r="J638" s="229" t="s">
        <v>3498</v>
      </c>
      <c r="K638" s="229" t="s">
        <v>3760</v>
      </c>
      <c r="BB638"/>
    </row>
    <row r="639" spans="1:54" x14ac:dyDescent="0.25">
      <c r="A639" s="208" t="str">
        <f t="shared" si="9"/>
        <v>Mutual Fund - Sales</v>
      </c>
      <c r="B639" s="201" t="s">
        <v>63</v>
      </c>
      <c r="C639" s="229" t="s">
        <v>3303</v>
      </c>
      <c r="D639" s="229" t="s">
        <v>3304</v>
      </c>
      <c r="E639" s="229" t="s">
        <v>3305</v>
      </c>
      <c r="F639" s="229" t="s">
        <v>3664</v>
      </c>
      <c r="G639" s="229" t="s">
        <v>3665</v>
      </c>
      <c r="H639" s="230" t="s">
        <v>3499</v>
      </c>
      <c r="I639" s="229" t="s">
        <v>3500</v>
      </c>
      <c r="J639" s="229" t="s">
        <v>3501</v>
      </c>
      <c r="K639" s="229" t="s">
        <v>3761</v>
      </c>
      <c r="BB639"/>
    </row>
    <row r="640" spans="1:54" x14ac:dyDescent="0.25">
      <c r="A640" s="208" t="str">
        <f t="shared" si="9"/>
        <v>Mutual Fund - Redemptions</v>
      </c>
      <c r="B640" s="201" t="s">
        <v>64</v>
      </c>
      <c r="C640" s="229" t="s">
        <v>3306</v>
      </c>
      <c r="D640" s="229" t="s">
        <v>3307</v>
      </c>
      <c r="E640" s="229" t="s">
        <v>3308</v>
      </c>
      <c r="F640" s="229" t="s">
        <v>3666</v>
      </c>
      <c r="G640" s="229" t="s">
        <v>3667</v>
      </c>
      <c r="H640" s="230" t="s">
        <v>3502</v>
      </c>
      <c r="I640" s="229" t="s">
        <v>3503</v>
      </c>
      <c r="J640" s="229" t="s">
        <v>3504</v>
      </c>
      <c r="K640" s="229" t="s">
        <v>3762</v>
      </c>
      <c r="BB640"/>
    </row>
    <row r="641" spans="1:54" x14ac:dyDescent="0.25">
      <c r="A641" s="208" t="str">
        <f t="shared" si="9"/>
        <v>Mutual Fund - Net Sales</v>
      </c>
      <c r="B641" s="201" t="s">
        <v>65</v>
      </c>
      <c r="C641" s="229" t="s">
        <v>3309</v>
      </c>
      <c r="D641" s="229" t="s">
        <v>3310</v>
      </c>
      <c r="E641" s="229" t="s">
        <v>3311</v>
      </c>
      <c r="F641" s="229" t="s">
        <v>3668</v>
      </c>
      <c r="G641" s="229" t="s">
        <v>3669</v>
      </c>
      <c r="H641" s="230" t="s">
        <v>3505</v>
      </c>
      <c r="I641" s="229" t="s">
        <v>3506</v>
      </c>
      <c r="J641" s="229" t="s">
        <v>3507</v>
      </c>
      <c r="K641" s="229" t="s">
        <v>3763</v>
      </c>
      <c r="BB641"/>
    </row>
    <row r="642" spans="1:54" x14ac:dyDescent="0.25">
      <c r="A642" s="208" t="str">
        <f t="shared" si="9"/>
        <v>Mutual Fund - Market Appreciation / (Depreciation)</v>
      </c>
      <c r="B642" s="201" t="s">
        <v>66</v>
      </c>
      <c r="C642" s="229" t="s">
        <v>3312</v>
      </c>
      <c r="D642" s="229" t="s">
        <v>3313</v>
      </c>
      <c r="E642" s="229" t="s">
        <v>3314</v>
      </c>
      <c r="F642" s="229" t="s">
        <v>3670</v>
      </c>
      <c r="G642" s="229" t="s">
        <v>3671</v>
      </c>
      <c r="H642" s="230" t="s">
        <v>3508</v>
      </c>
      <c r="I642" s="229" t="s">
        <v>3509</v>
      </c>
      <c r="J642" s="229" t="s">
        <v>3510</v>
      </c>
      <c r="K642" s="229" t="s">
        <v>3764</v>
      </c>
      <c r="BB642"/>
    </row>
    <row r="643" spans="1:54" x14ac:dyDescent="0.25">
      <c r="A643" s="208" t="str">
        <f t="shared" si="9"/>
        <v>Mutual Fund - Acquisitions and Other</v>
      </c>
      <c r="B643" s="201" t="s">
        <v>67</v>
      </c>
      <c r="C643" s="229" t="s">
        <v>3315</v>
      </c>
      <c r="D643" s="229" t="s">
        <v>3316</v>
      </c>
      <c r="E643" s="229" t="s">
        <v>3317</v>
      </c>
      <c r="F643" s="229" t="s">
        <v>3672</v>
      </c>
      <c r="G643" s="229" t="s">
        <v>3673</v>
      </c>
      <c r="H643" s="230" t="s">
        <v>3511</v>
      </c>
      <c r="I643" s="229" t="s">
        <v>3512</v>
      </c>
      <c r="J643" s="229" t="s">
        <v>3513</v>
      </c>
      <c r="K643" s="229" t="s">
        <v>3765</v>
      </c>
      <c r="BB643"/>
    </row>
    <row r="644" spans="1:54" x14ac:dyDescent="0.25">
      <c r="A644" s="208" t="str">
        <f t="shared" si="9"/>
        <v>Mutual Fund - End of Period</v>
      </c>
      <c r="B644" s="201" t="s">
        <v>68</v>
      </c>
      <c r="C644" s="229" t="s">
        <v>3318</v>
      </c>
      <c r="D644" s="229" t="s">
        <v>3318</v>
      </c>
      <c r="E644" s="229" t="s">
        <v>3319</v>
      </c>
      <c r="F644" s="229" t="s">
        <v>3674</v>
      </c>
      <c r="G644" s="229" t="s">
        <v>3675</v>
      </c>
      <c r="H644" s="230" t="s">
        <v>3514</v>
      </c>
      <c r="I644" s="229" t="s">
        <v>3515</v>
      </c>
      <c r="J644" s="229" t="s">
        <v>3516</v>
      </c>
      <c r="K644" s="229" t="s">
        <v>3766</v>
      </c>
      <c r="BB644"/>
    </row>
    <row r="645" spans="1:54" x14ac:dyDescent="0.25">
      <c r="A645" s="208" t="str">
        <f t="shared" si="9"/>
        <v>Daily Average Revenue Trades</v>
      </c>
      <c r="B645" s="201" t="s">
        <v>69</v>
      </c>
      <c r="C645" s="229" t="s">
        <v>3320</v>
      </c>
      <c r="D645" s="229" t="s">
        <v>3320</v>
      </c>
      <c r="E645" s="229" t="s">
        <v>3321</v>
      </c>
      <c r="F645" s="229" t="s">
        <v>3676</v>
      </c>
      <c r="G645" s="229" t="s">
        <v>3677</v>
      </c>
      <c r="H645" s="230" t="s">
        <v>3517</v>
      </c>
      <c r="I645" s="229" t="s">
        <v>3518</v>
      </c>
      <c r="J645" s="229" t="s">
        <v>3519</v>
      </c>
      <c r="K645" s="229" t="s">
        <v>3767</v>
      </c>
      <c r="BB645"/>
    </row>
    <row r="646" spans="1:54" x14ac:dyDescent="0.25">
      <c r="A646" s="208" t="str">
        <f t="shared" si="9"/>
        <v>Number of Trades Executed</v>
      </c>
      <c r="B646" s="201" t="s">
        <v>70</v>
      </c>
      <c r="C646" s="229" t="s">
        <v>3322</v>
      </c>
      <c r="D646" s="229" t="s">
        <v>3323</v>
      </c>
      <c r="E646" s="229" t="s">
        <v>3324</v>
      </c>
      <c r="F646" s="229" t="s">
        <v>3678</v>
      </c>
      <c r="G646" s="229" t="s">
        <v>3679</v>
      </c>
      <c r="H646" s="230" t="s">
        <v>3520</v>
      </c>
      <c r="I646" s="229" t="s">
        <v>3521</v>
      </c>
      <c r="J646" s="229" t="s">
        <v>3522</v>
      </c>
      <c r="K646" s="229" t="s">
        <v>3768</v>
      </c>
      <c r="BB646"/>
    </row>
    <row r="647" spans="1:54" x14ac:dyDescent="0.25">
      <c r="A647" s="208" t="str">
        <f t="shared" si="9"/>
        <v>Organic Growth Rate</v>
      </c>
      <c r="B647" s="201" t="s">
        <v>71</v>
      </c>
      <c r="C647" s="229" t="s">
        <v>3325</v>
      </c>
      <c r="D647" s="229" t="s">
        <v>3326</v>
      </c>
      <c r="E647" s="229" t="s">
        <v>3327</v>
      </c>
      <c r="F647" s="229" t="s">
        <v>3680</v>
      </c>
      <c r="G647" s="229" t="s">
        <v>3681</v>
      </c>
      <c r="H647" s="230" t="s">
        <v>3523</v>
      </c>
      <c r="I647" s="229" t="s">
        <v>3524</v>
      </c>
      <c r="J647" s="229" t="s">
        <v>3525</v>
      </c>
      <c r="K647" s="229" t="s">
        <v>3769</v>
      </c>
      <c r="BB647"/>
    </row>
    <row r="648" spans="1:54" x14ac:dyDescent="0.25">
      <c r="A648" s="208" t="str">
        <f t="shared" si="9"/>
        <v>Net New Client Assets</v>
      </c>
      <c r="B648" s="201" t="s">
        <v>72</v>
      </c>
      <c r="C648" s="229" t="s">
        <v>3328</v>
      </c>
      <c r="D648" s="229" t="s">
        <v>3329</v>
      </c>
      <c r="E648" s="229" t="s">
        <v>3330</v>
      </c>
      <c r="F648" s="229" t="s">
        <v>3682</v>
      </c>
      <c r="G648" s="229" t="s">
        <v>3683</v>
      </c>
      <c r="H648" s="230" t="s">
        <v>3526</v>
      </c>
      <c r="I648" s="229" t="s">
        <v>3527</v>
      </c>
      <c r="J648" s="229" t="s">
        <v>3528</v>
      </c>
      <c r="K648" s="229" t="s">
        <v>3770</v>
      </c>
      <c r="BB648"/>
    </row>
    <row r="649" spans="1:54" x14ac:dyDescent="0.25">
      <c r="A649" s="208" t="str">
        <f t="shared" ref="A649:A712" si="10">INDEX($B649:$CV649,$A$4)</f>
        <v>Average Revenue Per Trade</v>
      </c>
      <c r="B649" s="201" t="s">
        <v>73</v>
      </c>
      <c r="C649" s="229" t="s">
        <v>3331</v>
      </c>
      <c r="D649" s="229" t="s">
        <v>3332</v>
      </c>
      <c r="E649" s="229" t="s">
        <v>3333</v>
      </c>
      <c r="F649" s="229" t="s">
        <v>3684</v>
      </c>
      <c r="G649" s="229" t="s">
        <v>3685</v>
      </c>
      <c r="H649" s="230" t="s">
        <v>3529</v>
      </c>
      <c r="I649" s="229" t="s">
        <v>3530</v>
      </c>
      <c r="J649" s="229" t="s">
        <v>3531</v>
      </c>
      <c r="K649" s="229" t="s">
        <v>3771</v>
      </c>
      <c r="BB649"/>
    </row>
    <row r="650" spans="1:54" x14ac:dyDescent="0.25">
      <c r="A650" s="208" t="str">
        <f t="shared" si="10"/>
        <v>Assets Under Administration</v>
      </c>
      <c r="B650" s="201" t="s">
        <v>74</v>
      </c>
      <c r="C650" s="229" t="s">
        <v>3334</v>
      </c>
      <c r="D650" s="229" t="s">
        <v>3335</v>
      </c>
      <c r="E650" s="229" t="s">
        <v>3210</v>
      </c>
      <c r="F650" s="229" t="s">
        <v>3600</v>
      </c>
      <c r="G650" s="229" t="s">
        <v>3601</v>
      </c>
      <c r="H650" s="230" t="s">
        <v>3532</v>
      </c>
      <c r="I650" s="229" t="s">
        <v>3533</v>
      </c>
      <c r="J650" s="229" t="s">
        <v>3534</v>
      </c>
      <c r="K650" s="229" t="s">
        <v>3772</v>
      </c>
      <c r="BB650"/>
    </row>
    <row r="651" spans="1:54" x14ac:dyDescent="0.25">
      <c r="A651" s="208" t="str">
        <f t="shared" si="10"/>
        <v>Value of Customer Assets</v>
      </c>
      <c r="B651" s="201" t="s">
        <v>75</v>
      </c>
      <c r="C651" s="229" t="s">
        <v>3336</v>
      </c>
      <c r="D651" s="229" t="s">
        <v>3337</v>
      </c>
      <c r="E651" s="229" t="s">
        <v>3338</v>
      </c>
      <c r="F651" s="229" t="s">
        <v>3686</v>
      </c>
      <c r="G651" s="229" t="s">
        <v>3687</v>
      </c>
      <c r="H651" s="230" t="s">
        <v>3535</v>
      </c>
      <c r="I651" s="229" t="s">
        <v>3536</v>
      </c>
      <c r="J651" s="229" t="s">
        <v>3537</v>
      </c>
      <c r="K651" s="229" t="s">
        <v>3773</v>
      </c>
      <c r="BB651"/>
    </row>
    <row r="652" spans="1:54" x14ac:dyDescent="0.25">
      <c r="A652" s="208" t="str">
        <f t="shared" si="10"/>
        <v>Asset Managed Growth Rate</v>
      </c>
      <c r="B652" s="201" t="s">
        <v>76</v>
      </c>
      <c r="C652" s="229" t="s">
        <v>3339</v>
      </c>
      <c r="D652" s="229" t="s">
        <v>3340</v>
      </c>
      <c r="E652" s="229" t="s">
        <v>3341</v>
      </c>
      <c r="F652" s="229" t="s">
        <v>3688</v>
      </c>
      <c r="G652" s="229" t="s">
        <v>3689</v>
      </c>
      <c r="H652" s="230" t="s">
        <v>3538</v>
      </c>
      <c r="I652" s="229" t="s">
        <v>3539</v>
      </c>
      <c r="J652" s="229" t="s">
        <v>3540</v>
      </c>
      <c r="K652" s="229" t="s">
        <v>3774</v>
      </c>
      <c r="BB652"/>
    </row>
    <row r="653" spans="1:54" x14ac:dyDescent="0.25">
      <c r="A653" s="208" t="str">
        <f t="shared" si="10"/>
        <v>Assets Under Capital Lease - Accumulated Dep.</v>
      </c>
      <c r="B653" s="201" t="s">
        <v>732</v>
      </c>
      <c r="C653" s="229" t="s">
        <v>3342</v>
      </c>
      <c r="D653" s="229" t="s">
        <v>3343</v>
      </c>
      <c r="E653" s="229" t="s">
        <v>3344</v>
      </c>
      <c r="F653" s="229" t="s">
        <v>3690</v>
      </c>
      <c r="G653" s="229" t="s">
        <v>3691</v>
      </c>
      <c r="H653" s="230" t="s">
        <v>3541</v>
      </c>
      <c r="I653" s="229" t="s">
        <v>3542</v>
      </c>
      <c r="J653" s="229" t="s">
        <v>3543</v>
      </c>
      <c r="K653" s="229" t="s">
        <v>3775</v>
      </c>
      <c r="BB653"/>
    </row>
    <row r="654" spans="1:54" x14ac:dyDescent="0.25">
      <c r="A654" s="208" t="str">
        <f t="shared" si="10"/>
        <v>Assets Under Capital Lease - Gross</v>
      </c>
      <c r="B654" s="201" t="s">
        <v>733</v>
      </c>
      <c r="C654" s="229" t="s">
        <v>3345</v>
      </c>
      <c r="D654" s="229" t="s">
        <v>3346</v>
      </c>
      <c r="E654" s="229" t="s">
        <v>3347</v>
      </c>
      <c r="F654" s="229" t="s">
        <v>3692</v>
      </c>
      <c r="G654" s="229" t="s">
        <v>3693</v>
      </c>
      <c r="H654" s="230" t="s">
        <v>3544</v>
      </c>
      <c r="I654" s="229" t="s">
        <v>3545</v>
      </c>
      <c r="J654" s="229" t="s">
        <v>3546</v>
      </c>
      <c r="K654" s="229" t="s">
        <v>3776</v>
      </c>
      <c r="BB654"/>
    </row>
    <row r="655" spans="1:54" x14ac:dyDescent="0.25">
      <c r="A655" s="208" t="str">
        <f t="shared" si="10"/>
        <v>Assets on Operating Lease - Accumulated Dep.</v>
      </c>
      <c r="B655" s="201" t="s">
        <v>734</v>
      </c>
      <c r="C655" s="229" t="s">
        <v>3348</v>
      </c>
      <c r="D655" s="229" t="s">
        <v>3349</v>
      </c>
      <c r="E655" s="229" t="s">
        <v>3350</v>
      </c>
      <c r="F655" s="229" t="s">
        <v>3694</v>
      </c>
      <c r="G655" s="229" t="s">
        <v>3695</v>
      </c>
      <c r="H655" s="230" t="s">
        <v>3547</v>
      </c>
      <c r="I655" s="229" t="s">
        <v>3548</v>
      </c>
      <c r="J655" s="229" t="s">
        <v>3549</v>
      </c>
      <c r="K655" s="229" t="s">
        <v>3777</v>
      </c>
      <c r="BB655"/>
    </row>
    <row r="656" spans="1:54" x14ac:dyDescent="0.25">
      <c r="A656" s="208" t="str">
        <f t="shared" si="10"/>
        <v>Assets on Operating Lease - Gross</v>
      </c>
      <c r="B656" s="201" t="s">
        <v>735</v>
      </c>
      <c r="C656" s="229" t="s">
        <v>3351</v>
      </c>
      <c r="D656" s="229" t="s">
        <v>3352</v>
      </c>
      <c r="E656" s="229" t="s">
        <v>3353</v>
      </c>
      <c r="F656" s="229" t="s">
        <v>3696</v>
      </c>
      <c r="G656" s="229" t="s">
        <v>3697</v>
      </c>
      <c r="H656" s="230" t="s">
        <v>3550</v>
      </c>
      <c r="I656" s="229" t="s">
        <v>3551</v>
      </c>
      <c r="J656" s="229" t="s">
        <v>3552</v>
      </c>
      <c r="K656" s="229" t="s">
        <v>3778</v>
      </c>
      <c r="BB656"/>
    </row>
    <row r="657" spans="1:54" x14ac:dyDescent="0.25">
      <c r="A657" s="208" t="str">
        <f t="shared" si="10"/>
        <v>Capitalized Interest Data</v>
      </c>
      <c r="B657" s="201" t="s">
        <v>535</v>
      </c>
      <c r="C657" s="229" t="s">
        <v>3354</v>
      </c>
      <c r="D657" s="229" t="s">
        <v>3355</v>
      </c>
      <c r="E657" s="229" t="s">
        <v>3356</v>
      </c>
      <c r="F657" s="229" t="s">
        <v>3698</v>
      </c>
      <c r="G657" s="229" t="s">
        <v>3699</v>
      </c>
      <c r="H657" s="230" t="s">
        <v>3553</v>
      </c>
      <c r="I657" s="229" t="s">
        <v>3554</v>
      </c>
      <c r="J657" s="229" t="s">
        <v>3555</v>
      </c>
      <c r="K657" s="229" t="s">
        <v>3779</v>
      </c>
      <c r="BB657"/>
    </row>
    <row r="658" spans="1:54" x14ac:dyDescent="0.25">
      <c r="A658" s="208" t="str">
        <f t="shared" si="10"/>
        <v>Interest Capitalized, Beg. Of Period</v>
      </c>
      <c r="B658" s="201" t="s">
        <v>536</v>
      </c>
      <c r="C658" s="229" t="s">
        <v>3357</v>
      </c>
      <c r="D658" s="229" t="s">
        <v>3358</v>
      </c>
      <c r="E658" s="229" t="s">
        <v>3359</v>
      </c>
      <c r="F658" s="229" t="s">
        <v>3700</v>
      </c>
      <c r="G658" s="229" t="s">
        <v>3701</v>
      </c>
      <c r="H658" s="230" t="s">
        <v>3556</v>
      </c>
      <c r="I658" s="229" t="s">
        <v>3557</v>
      </c>
      <c r="J658" s="229" t="s">
        <v>3558</v>
      </c>
      <c r="K658" s="229" t="s">
        <v>3780</v>
      </c>
      <c r="BB658"/>
    </row>
    <row r="659" spans="1:54" x14ac:dyDescent="0.25">
      <c r="A659" s="208" t="str">
        <f t="shared" si="10"/>
        <v>Interest Capitalized, Expensed</v>
      </c>
      <c r="B659" s="201" t="s">
        <v>538</v>
      </c>
      <c r="C659" s="229" t="s">
        <v>3360</v>
      </c>
      <c r="D659" s="229" t="s">
        <v>3361</v>
      </c>
      <c r="E659" s="229" t="s">
        <v>3362</v>
      </c>
      <c r="F659" s="229" t="s">
        <v>3702</v>
      </c>
      <c r="G659" s="229" t="s">
        <v>3703</v>
      </c>
      <c r="H659" s="230" t="s">
        <v>3559</v>
      </c>
      <c r="I659" s="229" t="s">
        <v>3560</v>
      </c>
      <c r="J659" s="229" t="s">
        <v>3561</v>
      </c>
      <c r="K659" s="229" t="s">
        <v>3781</v>
      </c>
      <c r="BB659"/>
    </row>
    <row r="660" spans="1:54" x14ac:dyDescent="0.25">
      <c r="A660" s="208" t="str">
        <f t="shared" si="10"/>
        <v>Interest Capitalized, Written-off</v>
      </c>
      <c r="B660" s="201" t="s">
        <v>539</v>
      </c>
      <c r="C660" s="229" t="s">
        <v>3363</v>
      </c>
      <c r="D660" s="229" t="s">
        <v>3364</v>
      </c>
      <c r="E660" s="229" t="s">
        <v>3365</v>
      </c>
      <c r="F660" s="229" t="s">
        <v>3704</v>
      </c>
      <c r="G660" s="229" t="s">
        <v>3705</v>
      </c>
      <c r="H660" s="230" t="s">
        <v>3562</v>
      </c>
      <c r="I660" s="229" t="s">
        <v>3563</v>
      </c>
      <c r="J660" s="229" t="s">
        <v>3564</v>
      </c>
      <c r="K660" s="229" t="s">
        <v>3782</v>
      </c>
      <c r="BB660"/>
    </row>
    <row r="661" spans="1:54" x14ac:dyDescent="0.25">
      <c r="A661" s="208" t="str">
        <f t="shared" si="10"/>
        <v>Interest Capitalized, Other Adj.</v>
      </c>
      <c r="B661" s="201" t="s">
        <v>540</v>
      </c>
      <c r="C661" s="229" t="s">
        <v>3366</v>
      </c>
      <c r="D661" s="229" t="s">
        <v>3367</v>
      </c>
      <c r="E661" s="229" t="s">
        <v>3368</v>
      </c>
      <c r="F661" s="229" t="s">
        <v>3706</v>
      </c>
      <c r="G661" s="229" t="s">
        <v>3707</v>
      </c>
      <c r="H661" s="230" t="s">
        <v>3565</v>
      </c>
      <c r="I661" s="229" t="s">
        <v>3566</v>
      </c>
      <c r="J661" s="229" t="s">
        <v>3567</v>
      </c>
      <c r="K661" s="229" t="s">
        <v>3783</v>
      </c>
      <c r="BB661"/>
    </row>
    <row r="662" spans="1:54" x14ac:dyDescent="0.25">
      <c r="A662" s="208" t="str">
        <f t="shared" si="10"/>
        <v>Interest Capitalized, End Of Period</v>
      </c>
      <c r="B662" s="201" t="s">
        <v>541</v>
      </c>
      <c r="C662" s="229" t="s">
        <v>3369</v>
      </c>
      <c r="D662" s="229" t="s">
        <v>3370</v>
      </c>
      <c r="E662" s="229" t="s">
        <v>3371</v>
      </c>
      <c r="F662" s="229" t="s">
        <v>3708</v>
      </c>
      <c r="G662" s="229" t="s">
        <v>3709</v>
      </c>
      <c r="H662" s="230" t="s">
        <v>3568</v>
      </c>
      <c r="I662" s="229" t="s">
        <v>3569</v>
      </c>
      <c r="J662" s="229" t="s">
        <v>3570</v>
      </c>
      <c r="K662" s="229" t="s">
        <v>3784</v>
      </c>
      <c r="BB662"/>
    </row>
    <row r="663" spans="1:54" x14ac:dyDescent="0.25">
      <c r="A663" s="208" t="str">
        <f t="shared" si="10"/>
        <v>Loss Carry Forward Related Items</v>
      </c>
      <c r="B663" s="201" t="s">
        <v>542</v>
      </c>
      <c r="C663" s="229" t="s">
        <v>3372</v>
      </c>
      <c r="D663" s="229" t="s">
        <v>3373</v>
      </c>
      <c r="E663" s="229" t="s">
        <v>3374</v>
      </c>
      <c r="F663" s="229" t="s">
        <v>3710</v>
      </c>
      <c r="G663" s="229" t="s">
        <v>3711</v>
      </c>
      <c r="H663" s="230" t="s">
        <v>3571</v>
      </c>
      <c r="I663" s="229" t="s">
        <v>3572</v>
      </c>
      <c r="J663" s="229" t="s">
        <v>3573</v>
      </c>
      <c r="K663" s="229" t="s">
        <v>3785</v>
      </c>
      <c r="BB663"/>
    </row>
    <row r="664" spans="1:54" x14ac:dyDescent="0.25">
      <c r="A664" s="208" t="str">
        <f t="shared" si="10"/>
        <v>NOL C/F, Current Year</v>
      </c>
      <c r="B664" s="201" t="s">
        <v>543</v>
      </c>
      <c r="C664" s="229" t="s">
        <v>3375</v>
      </c>
      <c r="D664" s="229" t="s">
        <v>3376</v>
      </c>
      <c r="E664" s="229" t="s">
        <v>3377</v>
      </c>
      <c r="F664" s="229" t="s">
        <v>3712</v>
      </c>
      <c r="G664" s="229" t="s">
        <v>3713</v>
      </c>
      <c r="H664" s="230" t="s">
        <v>3574</v>
      </c>
      <c r="I664" s="229" t="s">
        <v>3575</v>
      </c>
      <c r="J664" s="229" t="s">
        <v>3576</v>
      </c>
      <c r="K664" s="229" t="s">
        <v>3786</v>
      </c>
      <c r="BB664"/>
    </row>
    <row r="665" spans="1:54" x14ac:dyDescent="0.25">
      <c r="A665" s="208" t="str">
        <f t="shared" si="10"/>
        <v>NOL C/F, Current Year + 1</v>
      </c>
      <c r="B665" s="201" t="s">
        <v>544</v>
      </c>
      <c r="C665" s="229" t="s">
        <v>3378</v>
      </c>
      <c r="D665" s="229" t="s">
        <v>3379</v>
      </c>
      <c r="E665" s="229" t="s">
        <v>3380</v>
      </c>
      <c r="F665" s="229" t="s">
        <v>3714</v>
      </c>
      <c r="G665" s="229" t="s">
        <v>3715</v>
      </c>
      <c r="H665" s="230" t="s">
        <v>3577</v>
      </c>
      <c r="I665" s="229" t="s">
        <v>3578</v>
      </c>
      <c r="J665" s="229" t="s">
        <v>3579</v>
      </c>
      <c r="K665" s="229" t="s">
        <v>3787</v>
      </c>
      <c r="BB665"/>
    </row>
    <row r="666" spans="1:54" x14ac:dyDescent="0.25">
      <c r="A666" s="208" t="str">
        <f t="shared" si="10"/>
        <v>NOL C/F, Current Year + 2</v>
      </c>
      <c r="B666" s="201" t="s">
        <v>545</v>
      </c>
      <c r="C666" s="229" t="s">
        <v>3381</v>
      </c>
      <c r="D666" s="229" t="s">
        <v>3382</v>
      </c>
      <c r="E666" s="229" t="s">
        <v>3383</v>
      </c>
      <c r="F666" s="229" t="s">
        <v>3716</v>
      </c>
      <c r="G666" s="229" t="s">
        <v>3717</v>
      </c>
      <c r="H666" s="230" t="s">
        <v>3580</v>
      </c>
      <c r="I666" s="229" t="s">
        <v>3581</v>
      </c>
      <c r="J666" s="229" t="s">
        <v>3582</v>
      </c>
      <c r="K666" s="229" t="s">
        <v>3788</v>
      </c>
      <c r="BB666"/>
    </row>
    <row r="667" spans="1:54" x14ac:dyDescent="0.25">
      <c r="A667" s="208" t="str">
        <f t="shared" si="10"/>
        <v>NOL C/F, Current Year + 3</v>
      </c>
      <c r="B667" s="201" t="s">
        <v>546</v>
      </c>
      <c r="C667" s="229" t="s">
        <v>3384</v>
      </c>
      <c r="D667" s="229" t="s">
        <v>3385</v>
      </c>
      <c r="E667" s="229" t="s">
        <v>3386</v>
      </c>
      <c r="F667" s="229" t="s">
        <v>3718</v>
      </c>
      <c r="G667" s="229" t="s">
        <v>3719</v>
      </c>
      <c r="H667" s="230" t="s">
        <v>3583</v>
      </c>
      <c r="I667" s="229" t="s">
        <v>3584</v>
      </c>
      <c r="J667" s="229" t="s">
        <v>3585</v>
      </c>
      <c r="K667" s="229" t="s">
        <v>3789</v>
      </c>
      <c r="BB667"/>
    </row>
    <row r="668" spans="1:54" x14ac:dyDescent="0.25">
      <c r="A668" s="208" t="str">
        <f t="shared" si="10"/>
        <v>NOL C/F, Current Year + 4</v>
      </c>
      <c r="B668" s="201" t="s">
        <v>547</v>
      </c>
      <c r="C668" s="229" t="s">
        <v>3387</v>
      </c>
      <c r="D668" s="229" t="s">
        <v>3388</v>
      </c>
      <c r="E668" s="229" t="s">
        <v>3389</v>
      </c>
      <c r="F668" s="229" t="s">
        <v>3720</v>
      </c>
      <c r="G668" s="229" t="s">
        <v>3721</v>
      </c>
      <c r="H668" s="230" t="s">
        <v>3586</v>
      </c>
      <c r="I668" s="229" t="s">
        <v>3587</v>
      </c>
      <c r="J668" s="229" t="s">
        <v>3588</v>
      </c>
      <c r="K668" s="229" t="s">
        <v>3790</v>
      </c>
      <c r="BB668"/>
    </row>
    <row r="669" spans="1:54" x14ac:dyDescent="0.25">
      <c r="A669" s="208" t="str">
        <f t="shared" si="10"/>
        <v>NOL C/F, After Five Years</v>
      </c>
      <c r="B669" s="201" t="s">
        <v>548</v>
      </c>
      <c r="C669" s="229" t="s">
        <v>3390</v>
      </c>
      <c r="D669" s="229" t="s">
        <v>3391</v>
      </c>
      <c r="E669" s="229" t="s">
        <v>3392</v>
      </c>
      <c r="F669" s="229" t="s">
        <v>3722</v>
      </c>
      <c r="G669" s="229" t="s">
        <v>3723</v>
      </c>
      <c r="H669" s="230" t="s">
        <v>3589</v>
      </c>
      <c r="I669" s="229" t="s">
        <v>3590</v>
      </c>
      <c r="J669" s="229" t="s">
        <v>3591</v>
      </c>
      <c r="K669" s="229" t="s">
        <v>3791</v>
      </c>
      <c r="BB669"/>
    </row>
    <row r="670" spans="1:54" x14ac:dyDescent="0.25">
      <c r="A670" s="208" t="str">
        <f t="shared" si="10"/>
        <v>NOL C/F, No Expiration</v>
      </c>
      <c r="B670" s="201" t="s">
        <v>549</v>
      </c>
      <c r="C670" s="229" t="s">
        <v>3393</v>
      </c>
      <c r="D670" s="229" t="s">
        <v>3394</v>
      </c>
      <c r="E670" s="229" t="s">
        <v>3395</v>
      </c>
      <c r="F670" s="229" t="s">
        <v>3724</v>
      </c>
      <c r="G670" s="229" t="s">
        <v>3725</v>
      </c>
      <c r="H670" s="230" t="s">
        <v>3592</v>
      </c>
      <c r="I670" s="229" t="s">
        <v>3593</v>
      </c>
      <c r="J670" s="229" t="s">
        <v>3594</v>
      </c>
      <c r="K670" s="229" t="s">
        <v>3792</v>
      </c>
      <c r="BB670"/>
    </row>
    <row r="671" spans="1:54" x14ac:dyDescent="0.25">
      <c r="A671" s="208" t="str">
        <f t="shared" si="10"/>
        <v>Total NOL C/F</v>
      </c>
      <c r="B671" s="201" t="s">
        <v>550</v>
      </c>
      <c r="C671" s="229" t="s">
        <v>3396</v>
      </c>
      <c r="D671" s="229" t="s">
        <v>3397</v>
      </c>
      <c r="E671" s="229" t="s">
        <v>3398</v>
      </c>
      <c r="F671" s="229" t="s">
        <v>3726</v>
      </c>
      <c r="G671" s="229" t="s">
        <v>3727</v>
      </c>
      <c r="H671" s="230" t="s">
        <v>3595</v>
      </c>
      <c r="I671" s="229" t="s">
        <v>3596</v>
      </c>
      <c r="J671" s="229" t="s">
        <v>3597</v>
      </c>
      <c r="K671" s="229" t="s">
        <v>3793</v>
      </c>
      <c r="BB671"/>
    </row>
    <row r="672" spans="1:54" x14ac:dyDescent="0.25">
      <c r="A672" s="208" t="str">
        <f t="shared" si="10"/>
        <v>Max. Year for NOL C/F</v>
      </c>
      <c r="B672" s="201" t="s">
        <v>551</v>
      </c>
      <c r="C672" s="229" t="s">
        <v>3794</v>
      </c>
      <c r="D672" s="229" t="s">
        <v>3795</v>
      </c>
      <c r="E672" s="229" t="s">
        <v>3796</v>
      </c>
      <c r="F672" s="229" t="s">
        <v>3974</v>
      </c>
      <c r="G672" s="229" t="s">
        <v>3975</v>
      </c>
      <c r="H672" s="230" t="s">
        <v>3884</v>
      </c>
      <c r="I672" s="229" t="s">
        <v>3885</v>
      </c>
      <c r="J672" s="229" t="s">
        <v>3886</v>
      </c>
      <c r="K672" s="229" t="s">
        <v>4034</v>
      </c>
      <c r="BB672"/>
    </row>
    <row r="673" spans="1:54" x14ac:dyDescent="0.25">
      <c r="A673" s="208" t="str">
        <f t="shared" si="10"/>
        <v>Capital Loss C/F, Current Year</v>
      </c>
      <c r="B673" s="201" t="s">
        <v>552</v>
      </c>
      <c r="C673" s="229" t="s">
        <v>3797</v>
      </c>
      <c r="D673" s="229" t="s">
        <v>3798</v>
      </c>
      <c r="E673" s="229" t="s">
        <v>3799</v>
      </c>
      <c r="F673" s="229" t="s">
        <v>3976</v>
      </c>
      <c r="G673" s="229" t="s">
        <v>3977</v>
      </c>
      <c r="H673" s="230" t="s">
        <v>3887</v>
      </c>
      <c r="I673" s="229" t="s">
        <v>3888</v>
      </c>
      <c r="J673" s="229" t="s">
        <v>3889</v>
      </c>
      <c r="K673" s="229" t="s">
        <v>4035</v>
      </c>
      <c r="BB673"/>
    </row>
    <row r="674" spans="1:54" x14ac:dyDescent="0.25">
      <c r="A674" s="208" t="str">
        <f t="shared" si="10"/>
        <v>Capital Loss C/F, Current Year + 1</v>
      </c>
      <c r="B674" s="201" t="s">
        <v>553</v>
      </c>
      <c r="C674" s="229" t="s">
        <v>3800</v>
      </c>
      <c r="D674" s="229" t="s">
        <v>3801</v>
      </c>
      <c r="E674" s="229" t="s">
        <v>3802</v>
      </c>
      <c r="F674" s="229" t="s">
        <v>3978</v>
      </c>
      <c r="G674" s="229" t="s">
        <v>3979</v>
      </c>
      <c r="H674" s="230" t="s">
        <v>3890</v>
      </c>
      <c r="I674" s="229" t="s">
        <v>3891</v>
      </c>
      <c r="J674" s="229" t="s">
        <v>3892</v>
      </c>
      <c r="K674" s="229" t="s">
        <v>4036</v>
      </c>
      <c r="BB674"/>
    </row>
    <row r="675" spans="1:54" x14ac:dyDescent="0.25">
      <c r="A675" s="208" t="str">
        <f t="shared" si="10"/>
        <v>Capital Loss C/F, Current Year + 2</v>
      </c>
      <c r="B675" s="201" t="s">
        <v>554</v>
      </c>
      <c r="C675" s="229" t="s">
        <v>3803</v>
      </c>
      <c r="D675" s="229" t="s">
        <v>3804</v>
      </c>
      <c r="E675" s="229" t="s">
        <v>3805</v>
      </c>
      <c r="F675" s="229" t="s">
        <v>3980</v>
      </c>
      <c r="G675" s="229" t="s">
        <v>3981</v>
      </c>
      <c r="H675" s="230" t="s">
        <v>3893</v>
      </c>
      <c r="I675" s="229" t="s">
        <v>3894</v>
      </c>
      <c r="J675" s="229" t="s">
        <v>3895</v>
      </c>
      <c r="K675" s="229" t="s">
        <v>4037</v>
      </c>
      <c r="BB675"/>
    </row>
    <row r="676" spans="1:54" x14ac:dyDescent="0.25">
      <c r="A676" s="208" t="str">
        <f t="shared" si="10"/>
        <v>Capital Loss C/F, Current Year + 3</v>
      </c>
      <c r="B676" s="201" t="s">
        <v>555</v>
      </c>
      <c r="C676" s="229" t="s">
        <v>3806</v>
      </c>
      <c r="D676" s="229" t="s">
        <v>3807</v>
      </c>
      <c r="E676" s="229" t="s">
        <v>3808</v>
      </c>
      <c r="F676" s="229" t="s">
        <v>3982</v>
      </c>
      <c r="G676" s="229" t="s">
        <v>3983</v>
      </c>
      <c r="H676" s="230" t="s">
        <v>3896</v>
      </c>
      <c r="I676" s="229" t="s">
        <v>3897</v>
      </c>
      <c r="J676" s="229" t="s">
        <v>3898</v>
      </c>
      <c r="K676" s="229" t="s">
        <v>4038</v>
      </c>
      <c r="BB676"/>
    </row>
    <row r="677" spans="1:54" x14ac:dyDescent="0.25">
      <c r="A677" s="208" t="str">
        <f t="shared" si="10"/>
        <v>Capital Loss C/F, Current Year + 4</v>
      </c>
      <c r="B677" s="201" t="s">
        <v>556</v>
      </c>
      <c r="C677" s="229" t="s">
        <v>3809</v>
      </c>
      <c r="D677" s="229" t="s">
        <v>3810</v>
      </c>
      <c r="E677" s="229" t="s">
        <v>3811</v>
      </c>
      <c r="F677" s="229" t="s">
        <v>3984</v>
      </c>
      <c r="G677" s="229" t="s">
        <v>3985</v>
      </c>
      <c r="H677" s="230" t="s">
        <v>3899</v>
      </c>
      <c r="I677" s="229" t="s">
        <v>3900</v>
      </c>
      <c r="J677" s="229" t="s">
        <v>3901</v>
      </c>
      <c r="K677" s="229" t="s">
        <v>4039</v>
      </c>
      <c r="BB677"/>
    </row>
    <row r="678" spans="1:54" x14ac:dyDescent="0.25">
      <c r="A678" s="208" t="str">
        <f t="shared" si="10"/>
        <v>Capital Loss C/F, After Five Years</v>
      </c>
      <c r="B678" s="201" t="s">
        <v>557</v>
      </c>
      <c r="C678" s="229" t="s">
        <v>3812</v>
      </c>
      <c r="D678" s="229" t="s">
        <v>3813</v>
      </c>
      <c r="E678" s="229" t="s">
        <v>3814</v>
      </c>
      <c r="F678" s="229" t="s">
        <v>3986</v>
      </c>
      <c r="G678" s="229" t="s">
        <v>3987</v>
      </c>
      <c r="H678" s="230" t="s">
        <v>3902</v>
      </c>
      <c r="I678" s="229" t="s">
        <v>3903</v>
      </c>
      <c r="J678" s="229" t="s">
        <v>3904</v>
      </c>
      <c r="K678" s="229" t="s">
        <v>4040</v>
      </c>
      <c r="BB678"/>
    </row>
    <row r="679" spans="1:54" x14ac:dyDescent="0.25">
      <c r="A679" s="208" t="str">
        <f t="shared" si="10"/>
        <v>Capital Loss C/F, No Expiration</v>
      </c>
      <c r="B679" s="201" t="s">
        <v>558</v>
      </c>
      <c r="C679" s="229" t="s">
        <v>3815</v>
      </c>
      <c r="D679" s="229" t="s">
        <v>3816</v>
      </c>
      <c r="E679" s="229" t="s">
        <v>3817</v>
      </c>
      <c r="F679" s="229" t="s">
        <v>3988</v>
      </c>
      <c r="G679" s="229" t="s">
        <v>3989</v>
      </c>
      <c r="H679" s="230" t="s">
        <v>3905</v>
      </c>
      <c r="I679" s="229" t="s">
        <v>3906</v>
      </c>
      <c r="J679" s="229" t="s">
        <v>3907</v>
      </c>
      <c r="K679" s="229" t="s">
        <v>4041</v>
      </c>
      <c r="BB679"/>
    </row>
    <row r="680" spans="1:54" x14ac:dyDescent="0.25">
      <c r="A680" s="208" t="str">
        <f t="shared" si="10"/>
        <v>Total Capital Loss C/F</v>
      </c>
      <c r="B680" s="201" t="s">
        <v>559</v>
      </c>
      <c r="C680" s="229" t="s">
        <v>3818</v>
      </c>
      <c r="D680" s="229" t="s">
        <v>3819</v>
      </c>
      <c r="E680" s="229" t="s">
        <v>3820</v>
      </c>
      <c r="F680" s="229" t="s">
        <v>3990</v>
      </c>
      <c r="G680" s="229" t="s">
        <v>3991</v>
      </c>
      <c r="H680" s="230" t="s">
        <v>3908</v>
      </c>
      <c r="I680" s="229" t="s">
        <v>3909</v>
      </c>
      <c r="J680" s="229" t="s">
        <v>3910</v>
      </c>
      <c r="K680" s="229" t="s">
        <v>4042</v>
      </c>
      <c r="BB680"/>
    </row>
    <row r="681" spans="1:54" x14ac:dyDescent="0.25">
      <c r="A681" s="208" t="str">
        <f t="shared" si="10"/>
        <v>Max. Year for Capital Loss C/F</v>
      </c>
      <c r="B681" s="201" t="s">
        <v>560</v>
      </c>
      <c r="C681" s="229" t="s">
        <v>3821</v>
      </c>
      <c r="D681" s="229" t="s">
        <v>3822</v>
      </c>
      <c r="E681" s="229" t="s">
        <v>3823</v>
      </c>
      <c r="F681" s="229" t="s">
        <v>3992</v>
      </c>
      <c r="G681" s="229" t="s">
        <v>3993</v>
      </c>
      <c r="H681" s="230" t="s">
        <v>3911</v>
      </c>
      <c r="I681" s="229" t="s">
        <v>3912</v>
      </c>
      <c r="J681" s="229" t="s">
        <v>3913</v>
      </c>
      <c r="K681" s="229" t="s">
        <v>4043</v>
      </c>
      <c r="BB681"/>
    </row>
    <row r="682" spans="1:54" x14ac:dyDescent="0.25">
      <c r="A682" s="208" t="str">
        <f t="shared" si="10"/>
        <v>Tax Benefit C/F, Current Year</v>
      </c>
      <c r="B682" s="201" t="s">
        <v>561</v>
      </c>
      <c r="C682" s="229" t="s">
        <v>3824</v>
      </c>
      <c r="D682" s="229" t="s">
        <v>3825</v>
      </c>
      <c r="E682" s="229" t="s">
        <v>3826</v>
      </c>
      <c r="F682" s="229" t="s">
        <v>3994</v>
      </c>
      <c r="G682" s="229" t="s">
        <v>3995</v>
      </c>
      <c r="H682" s="230" t="s">
        <v>3914</v>
      </c>
      <c r="I682" s="229" t="s">
        <v>3915</v>
      </c>
      <c r="J682" s="229" t="s">
        <v>3916</v>
      </c>
      <c r="K682" s="229" t="s">
        <v>4044</v>
      </c>
      <c r="BB682"/>
    </row>
    <row r="683" spans="1:54" x14ac:dyDescent="0.25">
      <c r="A683" s="208" t="str">
        <f t="shared" si="10"/>
        <v>Tax Benefit C/F, Current Year + 1</v>
      </c>
      <c r="B683" s="201" t="s">
        <v>562</v>
      </c>
      <c r="C683" s="229" t="s">
        <v>3827</v>
      </c>
      <c r="D683" s="229" t="s">
        <v>3828</v>
      </c>
      <c r="E683" s="229" t="s">
        <v>3829</v>
      </c>
      <c r="F683" s="229" t="s">
        <v>3996</v>
      </c>
      <c r="G683" s="229" t="s">
        <v>3997</v>
      </c>
      <c r="H683" s="230" t="s">
        <v>3917</v>
      </c>
      <c r="I683" s="229" t="s">
        <v>3918</v>
      </c>
      <c r="J683" s="229" t="s">
        <v>3919</v>
      </c>
      <c r="K683" s="229" t="s">
        <v>4045</v>
      </c>
      <c r="BB683"/>
    </row>
    <row r="684" spans="1:54" x14ac:dyDescent="0.25">
      <c r="A684" s="208" t="str">
        <f t="shared" si="10"/>
        <v>Tax Benefit C/F, Current Year + 2</v>
      </c>
      <c r="B684" s="201" t="s">
        <v>563</v>
      </c>
      <c r="C684" s="229" t="s">
        <v>3830</v>
      </c>
      <c r="D684" s="229" t="s">
        <v>3831</v>
      </c>
      <c r="E684" s="229" t="s">
        <v>3832</v>
      </c>
      <c r="F684" s="229" t="s">
        <v>3998</v>
      </c>
      <c r="G684" s="229" t="s">
        <v>3999</v>
      </c>
      <c r="H684" s="230" t="s">
        <v>3920</v>
      </c>
      <c r="I684" s="229" t="s">
        <v>3921</v>
      </c>
      <c r="J684" s="229" t="s">
        <v>3922</v>
      </c>
      <c r="K684" s="229" t="s">
        <v>4046</v>
      </c>
      <c r="BB684"/>
    </row>
    <row r="685" spans="1:54" x14ac:dyDescent="0.25">
      <c r="A685" s="208" t="str">
        <f t="shared" si="10"/>
        <v>Tax Benefit C/F, Current Year + 3</v>
      </c>
      <c r="B685" s="201" t="s">
        <v>564</v>
      </c>
      <c r="C685" s="229" t="s">
        <v>3833</v>
      </c>
      <c r="D685" s="229" t="s">
        <v>3834</v>
      </c>
      <c r="E685" s="229" t="s">
        <v>3835</v>
      </c>
      <c r="F685" s="229" t="s">
        <v>4000</v>
      </c>
      <c r="G685" s="229" t="s">
        <v>4001</v>
      </c>
      <c r="H685" s="230" t="s">
        <v>3923</v>
      </c>
      <c r="I685" s="229" t="s">
        <v>3924</v>
      </c>
      <c r="J685" s="229" t="s">
        <v>3925</v>
      </c>
      <c r="K685" s="229" t="s">
        <v>4047</v>
      </c>
      <c r="BB685"/>
    </row>
    <row r="686" spans="1:54" x14ac:dyDescent="0.25">
      <c r="A686" s="208" t="str">
        <f t="shared" si="10"/>
        <v>Tax Benefit C/F, Current Year + 4</v>
      </c>
      <c r="B686" s="201" t="s">
        <v>565</v>
      </c>
      <c r="C686" s="229" t="s">
        <v>3836</v>
      </c>
      <c r="D686" s="229" t="s">
        <v>3837</v>
      </c>
      <c r="E686" s="229" t="s">
        <v>3838</v>
      </c>
      <c r="F686" s="229" t="s">
        <v>4002</v>
      </c>
      <c r="G686" s="229" t="s">
        <v>4003</v>
      </c>
      <c r="H686" s="230" t="s">
        <v>3926</v>
      </c>
      <c r="I686" s="229" t="s">
        <v>3927</v>
      </c>
      <c r="J686" s="229" t="s">
        <v>3928</v>
      </c>
      <c r="K686" s="229" t="s">
        <v>4048</v>
      </c>
      <c r="BB686"/>
    </row>
    <row r="687" spans="1:54" x14ac:dyDescent="0.25">
      <c r="A687" s="208" t="str">
        <f t="shared" si="10"/>
        <v>Tax Benefit C/F, After Five Years</v>
      </c>
      <c r="B687" s="201" t="s">
        <v>566</v>
      </c>
      <c r="C687" s="229" t="s">
        <v>3839</v>
      </c>
      <c r="D687" s="229" t="s">
        <v>3840</v>
      </c>
      <c r="E687" s="229" t="s">
        <v>3841</v>
      </c>
      <c r="F687" s="229" t="s">
        <v>4004</v>
      </c>
      <c r="G687" s="229" t="s">
        <v>4005</v>
      </c>
      <c r="H687" s="230" t="s">
        <v>3929</v>
      </c>
      <c r="I687" s="229" t="s">
        <v>3930</v>
      </c>
      <c r="J687" s="229" t="s">
        <v>3931</v>
      </c>
      <c r="K687" s="229" t="s">
        <v>4049</v>
      </c>
      <c r="BB687"/>
    </row>
    <row r="688" spans="1:54" x14ac:dyDescent="0.25">
      <c r="A688" s="208" t="str">
        <f t="shared" si="10"/>
        <v>Tax Benefit C/F, No Expiration</v>
      </c>
      <c r="B688" s="201" t="s">
        <v>567</v>
      </c>
      <c r="C688" s="229" t="s">
        <v>3842</v>
      </c>
      <c r="D688" s="229" t="s">
        <v>3843</v>
      </c>
      <c r="E688" s="229" t="s">
        <v>3844</v>
      </c>
      <c r="F688" s="229" t="s">
        <v>4006</v>
      </c>
      <c r="G688" s="229" t="s">
        <v>4007</v>
      </c>
      <c r="H688" s="230" t="s">
        <v>3932</v>
      </c>
      <c r="I688" s="229" t="s">
        <v>3933</v>
      </c>
      <c r="J688" s="229" t="s">
        <v>3934</v>
      </c>
      <c r="K688" s="229" t="s">
        <v>4050</v>
      </c>
      <c r="BB688"/>
    </row>
    <row r="689" spans="1:54" x14ac:dyDescent="0.25">
      <c r="A689" s="208" t="str">
        <f t="shared" si="10"/>
        <v>Total Tax Benefit C/F</v>
      </c>
      <c r="B689" s="201" t="s">
        <v>568</v>
      </c>
      <c r="C689" s="229" t="s">
        <v>3845</v>
      </c>
      <c r="D689" s="229" t="s">
        <v>3846</v>
      </c>
      <c r="E689" s="229" t="s">
        <v>3847</v>
      </c>
      <c r="F689" s="229" t="s">
        <v>4008</v>
      </c>
      <c r="G689" s="229" t="s">
        <v>4009</v>
      </c>
      <c r="H689" s="230" t="s">
        <v>3935</v>
      </c>
      <c r="I689" s="229" t="s">
        <v>3936</v>
      </c>
      <c r="J689" s="229" t="s">
        <v>3937</v>
      </c>
      <c r="K689" s="229" t="s">
        <v>4051</v>
      </c>
      <c r="BB689"/>
    </row>
    <row r="690" spans="1:54" x14ac:dyDescent="0.25">
      <c r="A690" s="208" t="str">
        <f t="shared" si="10"/>
        <v>Max. Year for Tax Benefit C/F</v>
      </c>
      <c r="B690" s="201" t="s">
        <v>569</v>
      </c>
      <c r="C690" s="229" t="s">
        <v>3848</v>
      </c>
      <c r="D690" s="229" t="s">
        <v>3849</v>
      </c>
      <c r="E690" s="229" t="s">
        <v>3850</v>
      </c>
      <c r="F690" s="229" t="s">
        <v>4010</v>
      </c>
      <c r="G690" s="229" t="s">
        <v>4011</v>
      </c>
      <c r="H690" s="230" t="s">
        <v>3938</v>
      </c>
      <c r="I690" s="229" t="s">
        <v>3939</v>
      </c>
      <c r="J690" s="229" t="s">
        <v>3940</v>
      </c>
      <c r="K690" s="229" t="s">
        <v>4052</v>
      </c>
      <c r="BB690"/>
    </row>
    <row r="691" spans="1:54" x14ac:dyDescent="0.25">
      <c r="A691" s="208" t="str">
        <f t="shared" si="10"/>
        <v>Adoption of FIN 48 Related Items</v>
      </c>
      <c r="B691" s="201" t="s">
        <v>702</v>
      </c>
      <c r="C691" s="229" t="s">
        <v>3851</v>
      </c>
      <c r="D691" s="229" t="s">
        <v>3852</v>
      </c>
      <c r="E691" s="229" t="s">
        <v>3853</v>
      </c>
      <c r="F691" s="229" t="s">
        <v>4012</v>
      </c>
      <c r="G691" s="229" t="s">
        <v>4013</v>
      </c>
      <c r="H691" s="230" t="s">
        <v>3941</v>
      </c>
      <c r="I691" s="229" t="s">
        <v>3942</v>
      </c>
      <c r="J691" s="229" t="s">
        <v>3943</v>
      </c>
      <c r="K691" s="229" t="s">
        <v>4053</v>
      </c>
      <c r="BB691"/>
    </row>
    <row r="692" spans="1:54" x14ac:dyDescent="0.25">
      <c r="A692" s="208" t="str">
        <f t="shared" si="10"/>
        <v>Trans. Impact of FIN 48 on Current Assets</v>
      </c>
      <c r="B692" s="244" t="s">
        <v>8265</v>
      </c>
      <c r="C692" s="229" t="s">
        <v>3854</v>
      </c>
      <c r="D692" s="229" t="s">
        <v>3855</v>
      </c>
      <c r="E692" s="229" t="s">
        <v>3856</v>
      </c>
      <c r="F692" s="229" t="s">
        <v>4014</v>
      </c>
      <c r="G692" s="229" t="s">
        <v>4015</v>
      </c>
      <c r="H692" s="230" t="s">
        <v>3944</v>
      </c>
      <c r="I692" s="229" t="s">
        <v>3945</v>
      </c>
      <c r="J692" s="229" t="s">
        <v>3946</v>
      </c>
      <c r="K692" s="229" t="s">
        <v>4054</v>
      </c>
      <c r="BB692"/>
    </row>
    <row r="693" spans="1:54" x14ac:dyDescent="0.25">
      <c r="A693" s="208" t="str">
        <f t="shared" si="10"/>
        <v>Trans. Impact of FIN 48 on Long Term Assets</v>
      </c>
      <c r="B693" s="244" t="s">
        <v>8266</v>
      </c>
      <c r="C693" s="229" t="s">
        <v>3857</v>
      </c>
      <c r="D693" s="229" t="s">
        <v>3858</v>
      </c>
      <c r="E693" s="229" t="s">
        <v>3859</v>
      </c>
      <c r="F693" s="229" t="s">
        <v>4016</v>
      </c>
      <c r="G693" s="229" t="s">
        <v>4017</v>
      </c>
      <c r="H693" s="230" t="s">
        <v>3947</v>
      </c>
      <c r="I693" s="229" t="s">
        <v>3948</v>
      </c>
      <c r="J693" s="229" t="s">
        <v>3949</v>
      </c>
      <c r="K693" s="229" t="s">
        <v>4055</v>
      </c>
      <c r="BB693"/>
    </row>
    <row r="694" spans="1:54" x14ac:dyDescent="0.25">
      <c r="A694" s="208" t="str">
        <f t="shared" si="10"/>
        <v>Trans. Impact of FIN 48 on Current Liabilities</v>
      </c>
      <c r="B694" s="244" t="s">
        <v>8267</v>
      </c>
      <c r="C694" s="229" t="s">
        <v>3860</v>
      </c>
      <c r="D694" s="229" t="s">
        <v>3861</v>
      </c>
      <c r="E694" s="229" t="s">
        <v>3862</v>
      </c>
      <c r="F694" s="229" t="s">
        <v>4018</v>
      </c>
      <c r="G694" s="229" t="s">
        <v>4019</v>
      </c>
      <c r="H694" s="230" t="s">
        <v>3950</v>
      </c>
      <c r="I694" s="229" t="s">
        <v>3951</v>
      </c>
      <c r="J694" s="229" t="s">
        <v>3952</v>
      </c>
      <c r="K694" s="229" t="s">
        <v>4056</v>
      </c>
      <c r="BB694"/>
    </row>
    <row r="695" spans="1:54" x14ac:dyDescent="0.25">
      <c r="A695" s="208" t="str">
        <f t="shared" si="10"/>
        <v>Trans. Impact of FIN 48 on Non-Current Liabilities</v>
      </c>
      <c r="B695" s="244" t="s">
        <v>8268</v>
      </c>
      <c r="C695" s="229" t="s">
        <v>3863</v>
      </c>
      <c r="D695" s="229" t="s">
        <v>3864</v>
      </c>
      <c r="E695" s="229" t="s">
        <v>3865</v>
      </c>
      <c r="F695" s="229" t="s">
        <v>4020</v>
      </c>
      <c r="G695" s="229" t="s">
        <v>4021</v>
      </c>
      <c r="H695" s="230" t="s">
        <v>3953</v>
      </c>
      <c r="I695" s="229" t="s">
        <v>3954</v>
      </c>
      <c r="J695" s="229" t="s">
        <v>3955</v>
      </c>
      <c r="K695" s="229" t="s">
        <v>4057</v>
      </c>
      <c r="BB695"/>
    </row>
    <row r="696" spans="1:54" x14ac:dyDescent="0.25">
      <c r="A696" s="208" t="str">
        <f t="shared" si="10"/>
        <v>Trans. Impact of FIN 48 on Retained Earnings</v>
      </c>
      <c r="B696" s="244" t="s">
        <v>8269</v>
      </c>
      <c r="C696" s="229" t="s">
        <v>3866</v>
      </c>
      <c r="D696" s="229" t="s">
        <v>3867</v>
      </c>
      <c r="E696" s="229" t="s">
        <v>3868</v>
      </c>
      <c r="F696" s="229" t="s">
        <v>4022</v>
      </c>
      <c r="G696" s="229" t="s">
        <v>4023</v>
      </c>
      <c r="H696" s="230" t="s">
        <v>3956</v>
      </c>
      <c r="I696" s="229" t="s">
        <v>3957</v>
      </c>
      <c r="J696" s="229" t="s">
        <v>3958</v>
      </c>
      <c r="K696" s="229" t="s">
        <v>4058</v>
      </c>
      <c r="BB696"/>
    </row>
    <row r="697" spans="1:54" x14ac:dyDescent="0.25">
      <c r="A697" s="208" t="str">
        <f t="shared" si="10"/>
        <v>Unrecog. Tax Benefits, Beginning of the Period</v>
      </c>
      <c r="B697" s="201" t="s">
        <v>685</v>
      </c>
      <c r="C697" s="229" t="s">
        <v>3869</v>
      </c>
      <c r="D697" s="229" t="s">
        <v>3870</v>
      </c>
      <c r="E697" s="229" t="s">
        <v>3871</v>
      </c>
      <c r="F697" s="229" t="s">
        <v>4024</v>
      </c>
      <c r="G697" s="229" t="s">
        <v>4025</v>
      </c>
      <c r="H697" s="230" t="s">
        <v>3959</v>
      </c>
      <c r="I697" s="229" t="s">
        <v>3960</v>
      </c>
      <c r="J697" s="229" t="s">
        <v>3961</v>
      </c>
      <c r="K697" s="229" t="s">
        <v>4059</v>
      </c>
      <c r="BB697"/>
    </row>
    <row r="698" spans="1:54" x14ac:dyDescent="0.25">
      <c r="A698" s="208" t="str">
        <f t="shared" si="10"/>
        <v>Additions Based on Tax Positions - Current Yr.</v>
      </c>
      <c r="B698" s="201" t="s">
        <v>686</v>
      </c>
      <c r="C698" s="229" t="s">
        <v>3872</v>
      </c>
      <c r="D698" s="229" t="s">
        <v>3873</v>
      </c>
      <c r="E698" s="229" t="s">
        <v>3874</v>
      </c>
      <c r="F698" s="229" t="s">
        <v>4026</v>
      </c>
      <c r="G698" s="229" t="s">
        <v>4027</v>
      </c>
      <c r="H698" s="230" t="s">
        <v>3962</v>
      </c>
      <c r="I698" s="229" t="s">
        <v>3963</v>
      </c>
      <c r="J698" s="229" t="s">
        <v>3964</v>
      </c>
      <c r="K698" s="229" t="s">
        <v>4060</v>
      </c>
      <c r="BB698"/>
    </row>
    <row r="699" spans="1:54" x14ac:dyDescent="0.25">
      <c r="A699" s="208" t="str">
        <f t="shared" si="10"/>
        <v>Reductions Based on Tax Positions - Current Yr.</v>
      </c>
      <c r="B699" s="201" t="s">
        <v>687</v>
      </c>
      <c r="C699" s="229" t="s">
        <v>3875</v>
      </c>
      <c r="D699" s="229" t="s">
        <v>3876</v>
      </c>
      <c r="E699" s="229" t="s">
        <v>3877</v>
      </c>
      <c r="F699" s="229" t="s">
        <v>4028</v>
      </c>
      <c r="G699" s="229" t="s">
        <v>4029</v>
      </c>
      <c r="H699" s="230" t="s">
        <v>3965</v>
      </c>
      <c r="I699" s="229" t="s">
        <v>3966</v>
      </c>
      <c r="J699" s="229" t="s">
        <v>3967</v>
      </c>
      <c r="K699" s="229" t="s">
        <v>4061</v>
      </c>
      <c r="BB699"/>
    </row>
    <row r="700" spans="1:54" x14ac:dyDescent="0.25">
      <c r="A700" s="208" t="str">
        <f t="shared" si="10"/>
        <v>Additions for Tax Positions - Prior Yrs</v>
      </c>
      <c r="B700" s="201" t="s">
        <v>688</v>
      </c>
      <c r="C700" s="229" t="s">
        <v>3878</v>
      </c>
      <c r="D700" s="229" t="s">
        <v>3879</v>
      </c>
      <c r="E700" s="229" t="s">
        <v>3880</v>
      </c>
      <c r="F700" s="229" t="s">
        <v>4030</v>
      </c>
      <c r="G700" s="229" t="s">
        <v>4031</v>
      </c>
      <c r="H700" s="230" t="s">
        <v>3968</v>
      </c>
      <c r="I700" s="229" t="s">
        <v>3969</v>
      </c>
      <c r="J700" s="229" t="s">
        <v>3970</v>
      </c>
      <c r="K700" s="229" t="s">
        <v>4062</v>
      </c>
      <c r="BB700"/>
    </row>
    <row r="701" spans="1:54" x14ac:dyDescent="0.25">
      <c r="A701" s="208" t="str">
        <f t="shared" si="10"/>
        <v>Reductions for Tax Positions - Prior Yrs</v>
      </c>
      <c r="B701" s="201" t="s">
        <v>689</v>
      </c>
      <c r="C701" s="229" t="s">
        <v>3881</v>
      </c>
      <c r="D701" s="229" t="s">
        <v>3882</v>
      </c>
      <c r="E701" s="229" t="s">
        <v>3883</v>
      </c>
      <c r="F701" s="229" t="s">
        <v>4032</v>
      </c>
      <c r="G701" s="229" t="s">
        <v>4033</v>
      </c>
      <c r="H701" s="230" t="s">
        <v>3971</v>
      </c>
      <c r="I701" s="229" t="s">
        <v>3972</v>
      </c>
      <c r="J701" s="229" t="s">
        <v>3973</v>
      </c>
      <c r="K701" s="229" t="s">
        <v>4063</v>
      </c>
      <c r="BB701"/>
    </row>
    <row r="702" spans="1:54" x14ac:dyDescent="0.25">
      <c r="A702" s="208" t="str">
        <f t="shared" si="10"/>
        <v>Settlements with Tax Authorities</v>
      </c>
      <c r="B702" s="201" t="s">
        <v>690</v>
      </c>
      <c r="C702" s="229" t="s">
        <v>4064</v>
      </c>
      <c r="D702" s="229" t="s">
        <v>4065</v>
      </c>
      <c r="E702" s="229" t="s">
        <v>4066</v>
      </c>
      <c r="F702" s="229" t="s">
        <v>4136</v>
      </c>
      <c r="G702" s="229" t="s">
        <v>4137</v>
      </c>
      <c r="H702" s="230" t="s">
        <v>4100</v>
      </c>
      <c r="I702" s="229" t="s">
        <v>4101</v>
      </c>
      <c r="J702" s="229" t="s">
        <v>4102</v>
      </c>
      <c r="K702" s="229" t="s">
        <v>4160</v>
      </c>
      <c r="BB702"/>
    </row>
    <row r="703" spans="1:54" x14ac:dyDescent="0.25">
      <c r="A703" s="208" t="str">
        <f t="shared" si="10"/>
        <v>Lapse of Statute of Limitations</v>
      </c>
      <c r="B703" s="201" t="s">
        <v>691</v>
      </c>
      <c r="C703" s="229" t="s">
        <v>4067</v>
      </c>
      <c r="D703" s="229" t="s">
        <v>4068</v>
      </c>
      <c r="E703" s="229" t="s">
        <v>4069</v>
      </c>
      <c r="F703" s="229" t="s">
        <v>4138</v>
      </c>
      <c r="G703" s="229" t="s">
        <v>4139</v>
      </c>
      <c r="H703" s="230" t="s">
        <v>4103</v>
      </c>
      <c r="I703" s="229" t="s">
        <v>4104</v>
      </c>
      <c r="J703" s="229" t="s">
        <v>4105</v>
      </c>
      <c r="K703" s="229" t="s">
        <v>4161</v>
      </c>
      <c r="BB703"/>
    </row>
    <row r="704" spans="1:54" x14ac:dyDescent="0.25">
      <c r="A704" s="208" t="str">
        <f t="shared" si="10"/>
        <v>Unrecog. Tax Benefits - Other Adj.</v>
      </c>
      <c r="B704" s="201" t="s">
        <v>692</v>
      </c>
      <c r="C704" s="229" t="s">
        <v>4070</v>
      </c>
      <c r="D704" s="229" t="s">
        <v>4071</v>
      </c>
      <c r="E704" s="229" t="s">
        <v>4072</v>
      </c>
      <c r="F704" s="229" t="s">
        <v>4140</v>
      </c>
      <c r="G704" s="229" t="s">
        <v>4141</v>
      </c>
      <c r="H704" s="230" t="s">
        <v>4106</v>
      </c>
      <c r="I704" s="229" t="s">
        <v>4107</v>
      </c>
      <c r="J704" s="229" t="s">
        <v>4108</v>
      </c>
      <c r="K704" s="229" t="s">
        <v>4162</v>
      </c>
      <c r="BB704"/>
    </row>
    <row r="705" spans="1:54" x14ac:dyDescent="0.25">
      <c r="A705" s="208" t="str">
        <f t="shared" si="10"/>
        <v>Unrecog. Tax Benefits, End of the Period</v>
      </c>
      <c r="B705" s="201" t="s">
        <v>693</v>
      </c>
      <c r="C705" s="229" t="s">
        <v>4073</v>
      </c>
      <c r="D705" s="229" t="s">
        <v>4074</v>
      </c>
      <c r="E705" s="229" t="s">
        <v>4075</v>
      </c>
      <c r="F705" s="229" t="s">
        <v>4142</v>
      </c>
      <c r="G705" s="229" t="s">
        <v>4143</v>
      </c>
      <c r="H705" s="230" t="s">
        <v>4109</v>
      </c>
      <c r="I705" s="229" t="s">
        <v>4110</v>
      </c>
      <c r="J705" s="229" t="s">
        <v>4111</v>
      </c>
      <c r="K705" s="229" t="s">
        <v>4163</v>
      </c>
      <c r="BB705"/>
    </row>
    <row r="706" spans="1:54" x14ac:dyDescent="0.25">
      <c r="A706" s="208" t="str">
        <f t="shared" si="10"/>
        <v>Account Code - Interest and Penalties</v>
      </c>
      <c r="B706" s="201" t="s">
        <v>694</v>
      </c>
      <c r="C706" s="229" t="s">
        <v>4076</v>
      </c>
      <c r="D706" s="229" t="s">
        <v>4077</v>
      </c>
      <c r="E706" s="229" t="s">
        <v>4078</v>
      </c>
      <c r="F706" s="229" t="s">
        <v>4144</v>
      </c>
      <c r="G706" s="229" t="s">
        <v>4145</v>
      </c>
      <c r="H706" s="230" t="s">
        <v>4112</v>
      </c>
      <c r="I706" s="229" t="s">
        <v>4113</v>
      </c>
      <c r="J706" s="229" t="s">
        <v>4114</v>
      </c>
      <c r="K706" s="229" t="s">
        <v>4164</v>
      </c>
      <c r="BB706"/>
    </row>
    <row r="707" spans="1:54" x14ac:dyDescent="0.25">
      <c r="A707" s="208" t="str">
        <f t="shared" si="10"/>
        <v>Interest and Penalties Recog. on IS - Before Tax</v>
      </c>
      <c r="B707" s="201" t="s">
        <v>695</v>
      </c>
      <c r="C707" s="229" t="s">
        <v>4079</v>
      </c>
      <c r="D707" s="229" t="s">
        <v>4080</v>
      </c>
      <c r="E707" s="229" t="s">
        <v>4081</v>
      </c>
      <c r="F707" s="229" t="s">
        <v>4146</v>
      </c>
      <c r="G707" s="229" t="s">
        <v>4147</v>
      </c>
      <c r="H707" s="229" t="s">
        <v>4115</v>
      </c>
      <c r="I707" s="229" t="s">
        <v>4116</v>
      </c>
      <c r="J707" s="229" t="s">
        <v>4117</v>
      </c>
      <c r="K707" s="229" t="s">
        <v>4165</v>
      </c>
      <c r="BB707"/>
    </row>
    <row r="708" spans="1:54" x14ac:dyDescent="0.25">
      <c r="A708" s="208" t="str">
        <f t="shared" si="10"/>
        <v>Interest and Penalties Recog. on IS - After Tax</v>
      </c>
      <c r="B708" s="201" t="s">
        <v>696</v>
      </c>
      <c r="C708" s="229" t="s">
        <v>4082</v>
      </c>
      <c r="D708" s="229" t="s">
        <v>4083</v>
      </c>
      <c r="E708" s="229" t="s">
        <v>4084</v>
      </c>
      <c r="F708" s="229" t="s">
        <v>4148</v>
      </c>
      <c r="G708" s="229" t="s">
        <v>4149</v>
      </c>
      <c r="H708" s="229" t="s">
        <v>4118</v>
      </c>
      <c r="I708" s="229" t="s">
        <v>4119</v>
      </c>
      <c r="J708" s="229" t="s">
        <v>4120</v>
      </c>
      <c r="K708" s="229" t="s">
        <v>4166</v>
      </c>
      <c r="BB708"/>
    </row>
    <row r="709" spans="1:54" x14ac:dyDescent="0.25">
      <c r="A709" s="208" t="str">
        <f t="shared" si="10"/>
        <v>Interest and Penalties Recog. on BS - Before Tax</v>
      </c>
      <c r="B709" s="201" t="s">
        <v>697</v>
      </c>
      <c r="C709" s="229" t="s">
        <v>4085</v>
      </c>
      <c r="D709" s="229" t="s">
        <v>4086</v>
      </c>
      <c r="E709" s="229" t="s">
        <v>4087</v>
      </c>
      <c r="F709" s="229" t="s">
        <v>4150</v>
      </c>
      <c r="G709" s="229" t="s">
        <v>4151</v>
      </c>
      <c r="H709" s="229" t="s">
        <v>4121</v>
      </c>
      <c r="I709" s="229" t="s">
        <v>4122</v>
      </c>
      <c r="J709" s="229" t="s">
        <v>4123</v>
      </c>
      <c r="K709" s="229" t="s">
        <v>4167</v>
      </c>
      <c r="BB709"/>
    </row>
    <row r="710" spans="1:54" x14ac:dyDescent="0.25">
      <c r="A710" s="208" t="str">
        <f t="shared" si="10"/>
        <v>Interest and Penalties Recog. on BS - After Tax</v>
      </c>
      <c r="B710" s="201" t="s">
        <v>698</v>
      </c>
      <c r="C710" s="229" t="s">
        <v>4088</v>
      </c>
      <c r="D710" s="229" t="s">
        <v>4089</v>
      </c>
      <c r="E710" s="229" t="s">
        <v>4090</v>
      </c>
      <c r="F710" s="229" t="s">
        <v>4152</v>
      </c>
      <c r="G710" s="229" t="s">
        <v>4153</v>
      </c>
      <c r="H710" s="229" t="s">
        <v>4124</v>
      </c>
      <c r="I710" s="229" t="s">
        <v>4125</v>
      </c>
      <c r="J710" s="229" t="s">
        <v>4126</v>
      </c>
      <c r="K710" s="229" t="s">
        <v>4168</v>
      </c>
      <c r="BB710"/>
    </row>
    <row r="711" spans="1:54" x14ac:dyDescent="0.25">
      <c r="A711" s="208" t="str">
        <f t="shared" si="10"/>
        <v>Changes in Unrecog. Tax Benefit within a Year of the Rep. Date - Min</v>
      </c>
      <c r="B711" s="201" t="s">
        <v>699</v>
      </c>
      <c r="C711" s="229" t="s">
        <v>4091</v>
      </c>
      <c r="D711" s="229" t="s">
        <v>4092</v>
      </c>
      <c r="E711" s="229" t="s">
        <v>4093</v>
      </c>
      <c r="F711" s="229" t="s">
        <v>4154</v>
      </c>
      <c r="G711" s="229" t="s">
        <v>4155</v>
      </c>
      <c r="H711" s="230" t="s">
        <v>4127</v>
      </c>
      <c r="I711" s="229" t="s">
        <v>4128</v>
      </c>
      <c r="J711" s="229" t="s">
        <v>4129</v>
      </c>
      <c r="K711" s="229" t="s">
        <v>4169</v>
      </c>
      <c r="BB711"/>
    </row>
    <row r="712" spans="1:54" x14ac:dyDescent="0.25">
      <c r="A712" s="208" t="str">
        <f t="shared" si="10"/>
        <v>Changes in Unrecog. Tax Benefit within a Year of the Rep. Date - Max</v>
      </c>
      <c r="B712" s="201" t="s">
        <v>700</v>
      </c>
      <c r="C712" s="229" t="s">
        <v>4094</v>
      </c>
      <c r="D712" s="229" t="s">
        <v>4095</v>
      </c>
      <c r="E712" s="229" t="s">
        <v>4096</v>
      </c>
      <c r="F712" s="229" t="s">
        <v>4156</v>
      </c>
      <c r="G712" s="229" t="s">
        <v>4157</v>
      </c>
      <c r="H712" s="230" t="s">
        <v>4130</v>
      </c>
      <c r="I712" s="229" t="s">
        <v>4131</v>
      </c>
      <c r="J712" s="229" t="s">
        <v>4132</v>
      </c>
      <c r="K712" s="229" t="s">
        <v>4170</v>
      </c>
      <c r="BB712"/>
    </row>
    <row r="713" spans="1:54" x14ac:dyDescent="0.25">
      <c r="A713" s="208" t="str">
        <f t="shared" ref="A713:A776" si="11">INDEX($B713:$CV713,$A$4)</f>
        <v>Impact of Unrecog. Tax Benefit on the Effective Tax Rate</v>
      </c>
      <c r="B713" s="201" t="s">
        <v>701</v>
      </c>
      <c r="C713" s="229" t="s">
        <v>4097</v>
      </c>
      <c r="D713" s="229" t="s">
        <v>4098</v>
      </c>
      <c r="E713" s="229" t="s">
        <v>4099</v>
      </c>
      <c r="F713" s="229" t="s">
        <v>4158</v>
      </c>
      <c r="G713" s="229" t="s">
        <v>4159</v>
      </c>
      <c r="H713" s="230" t="s">
        <v>4133</v>
      </c>
      <c r="I713" s="229" t="s">
        <v>4134</v>
      </c>
      <c r="J713" s="229" t="s">
        <v>4135</v>
      </c>
      <c r="K713" s="229" t="s">
        <v>4171</v>
      </c>
      <c r="BB713"/>
    </row>
    <row r="714" spans="1:54" x14ac:dyDescent="0.25">
      <c r="A714" s="208" t="str">
        <f t="shared" si="11"/>
        <v>RATIOS</v>
      </c>
      <c r="B714" s="201" t="s">
        <v>263</v>
      </c>
      <c r="C714" s="201" t="s">
        <v>4738</v>
      </c>
      <c r="D714" s="201" t="s">
        <v>4738</v>
      </c>
      <c r="E714" s="201" t="s">
        <v>263</v>
      </c>
      <c r="F714" s="201" t="s">
        <v>6808</v>
      </c>
      <c r="G714" s="201" t="s">
        <v>6809</v>
      </c>
      <c r="H714" s="201" t="s">
        <v>6810</v>
      </c>
      <c r="I714" s="201" t="s">
        <v>6811</v>
      </c>
      <c r="J714" s="201" t="s">
        <v>263</v>
      </c>
      <c r="K714" s="201" t="s">
        <v>4839</v>
      </c>
      <c r="BB714"/>
    </row>
    <row r="715" spans="1:54" x14ac:dyDescent="0.25">
      <c r="A715" s="208" t="str">
        <f t="shared" si="11"/>
        <v>VALUATION</v>
      </c>
      <c r="B715" s="201" t="s">
        <v>372</v>
      </c>
      <c r="C715" s="201" t="s">
        <v>7003</v>
      </c>
      <c r="D715" s="201" t="s">
        <v>7003</v>
      </c>
      <c r="E715" s="201" t="s">
        <v>7004</v>
      </c>
      <c r="F715" s="201" t="s">
        <v>7005</v>
      </c>
      <c r="G715" s="201" t="s">
        <v>7006</v>
      </c>
      <c r="H715" s="201" t="s">
        <v>7007</v>
      </c>
      <c r="I715" s="201" t="s">
        <v>7008</v>
      </c>
      <c r="J715" s="201" t="s">
        <v>7009</v>
      </c>
      <c r="K715" s="201" t="s">
        <v>7010</v>
      </c>
      <c r="BB715"/>
    </row>
    <row r="716" spans="1:54" x14ac:dyDescent="0.25">
      <c r="A716" s="208" t="str">
        <f t="shared" si="11"/>
        <v>TEV / Total Revenue</v>
      </c>
      <c r="B716" s="201" t="s">
        <v>373</v>
      </c>
      <c r="C716" s="229" t="s">
        <v>7646</v>
      </c>
      <c r="D716" s="201" t="s">
        <v>7647</v>
      </c>
      <c r="E716" s="229" t="s">
        <v>8077</v>
      </c>
      <c r="F716" s="229" t="s">
        <v>8081</v>
      </c>
      <c r="G716" s="229" t="s">
        <v>8082</v>
      </c>
      <c r="H716" s="230" t="s">
        <v>8078</v>
      </c>
      <c r="I716" s="229" t="s">
        <v>8079</v>
      </c>
      <c r="J716" s="229" t="s">
        <v>8080</v>
      </c>
      <c r="K716" s="229" t="s">
        <v>8083</v>
      </c>
      <c r="BB716"/>
    </row>
    <row r="717" spans="1:54" x14ac:dyDescent="0.25">
      <c r="A717" s="208" t="str">
        <f t="shared" si="11"/>
        <v>TEV / EBITDA</v>
      </c>
      <c r="B717" s="201" t="s">
        <v>374</v>
      </c>
      <c r="C717" s="198" t="s">
        <v>7029</v>
      </c>
      <c r="D717" s="201" t="s">
        <v>7030</v>
      </c>
      <c r="E717" s="198" t="s">
        <v>7031</v>
      </c>
      <c r="F717" s="198" t="s">
        <v>7032</v>
      </c>
      <c r="G717" s="198" t="s">
        <v>7033</v>
      </c>
      <c r="H717" s="198" t="s">
        <v>7034</v>
      </c>
      <c r="I717" s="198" t="s">
        <v>7035</v>
      </c>
      <c r="J717" s="198" t="s">
        <v>7036</v>
      </c>
      <c r="K717" s="198" t="s">
        <v>374</v>
      </c>
      <c r="BB717"/>
    </row>
    <row r="718" spans="1:54" x14ac:dyDescent="0.25">
      <c r="A718" s="208" t="str">
        <f t="shared" si="11"/>
        <v>TEV / EBIT</v>
      </c>
      <c r="B718" s="201" t="s">
        <v>375</v>
      </c>
      <c r="C718" s="198" t="s">
        <v>8093</v>
      </c>
      <c r="D718" s="201" t="s">
        <v>8094</v>
      </c>
      <c r="E718" s="198" t="s">
        <v>8095</v>
      </c>
      <c r="F718" s="198" t="s">
        <v>8096</v>
      </c>
      <c r="G718" s="198" t="s">
        <v>8097</v>
      </c>
      <c r="H718" s="198" t="s">
        <v>8098</v>
      </c>
      <c r="I718" s="198" t="s">
        <v>8099</v>
      </c>
      <c r="J718" s="198" t="s">
        <v>8100</v>
      </c>
      <c r="K718" s="198" t="s">
        <v>375</v>
      </c>
      <c r="BB718"/>
    </row>
    <row r="719" spans="1:54" x14ac:dyDescent="0.25">
      <c r="A719" s="208" t="str">
        <f t="shared" si="11"/>
        <v>P/E</v>
      </c>
      <c r="B719" s="201" t="s">
        <v>376</v>
      </c>
      <c r="C719" s="198" t="s">
        <v>7037</v>
      </c>
      <c r="D719" s="201" t="s">
        <v>7037</v>
      </c>
      <c r="E719" s="198" t="s">
        <v>7038</v>
      </c>
      <c r="F719" s="198" t="s">
        <v>7039</v>
      </c>
      <c r="G719" s="198" t="s">
        <v>7040</v>
      </c>
      <c r="H719" s="198" t="s">
        <v>7041</v>
      </c>
      <c r="I719" s="198" t="s">
        <v>7042</v>
      </c>
      <c r="J719" s="198" t="s">
        <v>7043</v>
      </c>
      <c r="K719" s="198" t="s">
        <v>7044</v>
      </c>
      <c r="BB719"/>
    </row>
    <row r="720" spans="1:54" x14ac:dyDescent="0.25">
      <c r="A720" s="208" t="str">
        <f t="shared" si="11"/>
        <v>P/BV</v>
      </c>
      <c r="B720" s="201" t="s">
        <v>377</v>
      </c>
      <c r="C720" s="198" t="s">
        <v>8101</v>
      </c>
      <c r="D720" s="201" t="s">
        <v>8102</v>
      </c>
      <c r="E720" s="198" t="s">
        <v>8103</v>
      </c>
      <c r="F720" s="198" t="s">
        <v>8104</v>
      </c>
      <c r="G720" s="198" t="s">
        <v>8105</v>
      </c>
      <c r="H720" s="198" t="s">
        <v>8106</v>
      </c>
      <c r="I720" s="198" t="s">
        <v>8107</v>
      </c>
      <c r="J720" s="198" t="s">
        <v>8108</v>
      </c>
      <c r="K720" s="198" t="s">
        <v>8109</v>
      </c>
      <c r="BB720"/>
    </row>
    <row r="721" spans="1:54" x14ac:dyDescent="0.25">
      <c r="A721" s="208" t="str">
        <f t="shared" si="11"/>
        <v>P/Tangible BV</v>
      </c>
      <c r="B721" s="201" t="s">
        <v>378</v>
      </c>
      <c r="C721" s="229" t="s">
        <v>8084</v>
      </c>
      <c r="D721" s="201" t="s">
        <v>8085</v>
      </c>
      <c r="E721" s="229" t="s">
        <v>8086</v>
      </c>
      <c r="F721" s="229" t="s">
        <v>8090</v>
      </c>
      <c r="G721" s="229" t="s">
        <v>8091</v>
      </c>
      <c r="H721" s="231" t="s">
        <v>8087</v>
      </c>
      <c r="I721" s="229" t="s">
        <v>8088</v>
      </c>
      <c r="J721" s="229" t="s">
        <v>8089</v>
      </c>
      <c r="K721" s="229" t="s">
        <v>8092</v>
      </c>
      <c r="BB721"/>
    </row>
    <row r="722" spans="1:54" x14ac:dyDescent="0.25">
      <c r="A722" s="208" t="str">
        <f t="shared" si="11"/>
        <v>PROFITABILITY</v>
      </c>
      <c r="B722" s="201" t="s">
        <v>264</v>
      </c>
      <c r="C722" t="s">
        <v>8110</v>
      </c>
      <c r="D722" s="201" t="s">
        <v>8111</v>
      </c>
      <c r="E722" t="s">
        <v>8112</v>
      </c>
      <c r="F722" t="s">
        <v>8113</v>
      </c>
      <c r="G722" t="s">
        <v>8114</v>
      </c>
      <c r="H722" t="s">
        <v>8115</v>
      </c>
      <c r="I722" t="s">
        <v>8116</v>
      </c>
      <c r="J722" t="s">
        <v>8117</v>
      </c>
      <c r="K722" t="s">
        <v>8118</v>
      </c>
      <c r="BB722"/>
    </row>
    <row r="723" spans="1:54" x14ac:dyDescent="0.25">
      <c r="A723" s="208" t="str">
        <f t="shared" si="11"/>
        <v>Return on Assets (%)</v>
      </c>
      <c r="B723" s="201" t="s">
        <v>265</v>
      </c>
      <c r="C723" s="229" t="s">
        <v>4570</v>
      </c>
      <c r="D723" s="229" t="s">
        <v>4571</v>
      </c>
      <c r="E723" s="229" t="s">
        <v>4572</v>
      </c>
      <c r="F723" s="229" t="s">
        <v>4594</v>
      </c>
      <c r="G723" s="229" t="s">
        <v>4595</v>
      </c>
      <c r="H723" s="205" t="s">
        <v>4582</v>
      </c>
      <c r="I723" s="229" t="s">
        <v>4583</v>
      </c>
      <c r="J723" s="229" t="s">
        <v>4584</v>
      </c>
      <c r="K723" s="229" t="s">
        <v>4602</v>
      </c>
      <c r="BB723"/>
    </row>
    <row r="724" spans="1:54" x14ac:dyDescent="0.25">
      <c r="A724" s="208" t="str">
        <f t="shared" si="11"/>
        <v>Return on Capital (%)</v>
      </c>
      <c r="B724" s="201" t="s">
        <v>266</v>
      </c>
      <c r="C724" s="229" t="s">
        <v>4573</v>
      </c>
      <c r="D724" s="229" t="s">
        <v>4574</v>
      </c>
      <c r="E724" s="229" t="s">
        <v>4575</v>
      </c>
      <c r="F724" s="229" t="s">
        <v>4596</v>
      </c>
      <c r="G724" s="229" t="s">
        <v>4597</v>
      </c>
      <c r="H724" s="205" t="s">
        <v>4585</v>
      </c>
      <c r="I724" s="229" t="s">
        <v>4586</v>
      </c>
      <c r="J724" s="229" t="s">
        <v>4587</v>
      </c>
      <c r="K724" s="229" t="s">
        <v>4603</v>
      </c>
      <c r="BB724"/>
    </row>
    <row r="725" spans="1:54" x14ac:dyDescent="0.25">
      <c r="A725" s="208" t="str">
        <f t="shared" si="11"/>
        <v>Return on Equity (%)</v>
      </c>
      <c r="B725" s="201" t="s">
        <v>267</v>
      </c>
      <c r="C725" s="229" t="s">
        <v>4576</v>
      </c>
      <c r="D725" s="229" t="s">
        <v>4577</v>
      </c>
      <c r="E725" s="229" t="s">
        <v>4578</v>
      </c>
      <c r="F725" s="229" t="s">
        <v>4598</v>
      </c>
      <c r="G725" s="229" t="s">
        <v>4599</v>
      </c>
      <c r="H725" s="205" t="s">
        <v>4588</v>
      </c>
      <c r="I725" s="229" t="s">
        <v>4589</v>
      </c>
      <c r="J725" s="229" t="s">
        <v>4590</v>
      </c>
      <c r="K725" s="229" t="s">
        <v>4604</v>
      </c>
      <c r="BB725"/>
    </row>
    <row r="726" spans="1:54" x14ac:dyDescent="0.25">
      <c r="A726" s="208" t="str">
        <f t="shared" si="11"/>
        <v>Return on Common Equity (%)</v>
      </c>
      <c r="B726" s="201" t="s">
        <v>736</v>
      </c>
      <c r="C726" s="229" t="s">
        <v>4579</v>
      </c>
      <c r="D726" s="229" t="s">
        <v>4580</v>
      </c>
      <c r="E726" s="229" t="s">
        <v>4581</v>
      </c>
      <c r="F726" s="229" t="s">
        <v>4600</v>
      </c>
      <c r="G726" s="229" t="s">
        <v>4601</v>
      </c>
      <c r="H726" s="205" t="s">
        <v>4591</v>
      </c>
      <c r="I726" s="229" t="s">
        <v>4592</v>
      </c>
      <c r="J726" s="229" t="s">
        <v>4593</v>
      </c>
      <c r="K726" s="229" t="s">
        <v>4604</v>
      </c>
      <c r="BB726"/>
    </row>
    <row r="727" spans="1:54" x14ac:dyDescent="0.25">
      <c r="A727" s="208" t="str">
        <f t="shared" si="11"/>
        <v>MARGIN ANALYSIS</v>
      </c>
      <c r="B727" s="201" t="s">
        <v>268</v>
      </c>
      <c r="C727" t="s">
        <v>6812</v>
      </c>
      <c r="D727" s="201" t="s">
        <v>6813</v>
      </c>
      <c r="E727" t="s">
        <v>6814</v>
      </c>
      <c r="F727" t="s">
        <v>6815</v>
      </c>
      <c r="G727" t="s">
        <v>6816</v>
      </c>
      <c r="H727" t="s">
        <v>6817</v>
      </c>
      <c r="I727" t="s">
        <v>6818</v>
      </c>
      <c r="J727" t="s">
        <v>6819</v>
      </c>
      <c r="K727" t="s">
        <v>6820</v>
      </c>
      <c r="BB727"/>
    </row>
    <row r="728" spans="1:54" x14ac:dyDescent="0.25">
      <c r="A728" s="208" t="str">
        <f t="shared" si="11"/>
        <v>Gross Margin (%)</v>
      </c>
      <c r="B728" s="201" t="s">
        <v>269</v>
      </c>
      <c r="C728" t="s">
        <v>6821</v>
      </c>
      <c r="D728" s="201" t="s">
        <v>6821</v>
      </c>
      <c r="E728" t="s">
        <v>6822</v>
      </c>
      <c r="F728" t="s">
        <v>6823</v>
      </c>
      <c r="G728" t="s">
        <v>6824</v>
      </c>
      <c r="H728" t="s">
        <v>6825</v>
      </c>
      <c r="I728" t="s">
        <v>6826</v>
      </c>
      <c r="J728" t="s">
        <v>6827</v>
      </c>
      <c r="K728" t="s">
        <v>6828</v>
      </c>
      <c r="BB728"/>
    </row>
    <row r="729" spans="1:54" x14ac:dyDescent="0.25">
      <c r="A729" s="208" t="str">
        <f t="shared" si="11"/>
        <v>EBITDA Margin (%)</v>
      </c>
      <c r="B729" s="201" t="s">
        <v>270</v>
      </c>
      <c r="C729" s="229" t="s">
        <v>8061</v>
      </c>
      <c r="D729" s="201" t="s">
        <v>8062</v>
      </c>
      <c r="E729" s="229" t="s">
        <v>8063</v>
      </c>
      <c r="F729" s="229" t="s">
        <v>8071</v>
      </c>
      <c r="G729" s="229" t="s">
        <v>8072</v>
      </c>
      <c r="H729" s="205" t="s">
        <v>7796</v>
      </c>
      <c r="I729" s="229" t="s">
        <v>8066</v>
      </c>
      <c r="J729" s="229" t="s">
        <v>8067</v>
      </c>
      <c r="K729" s="229" t="s">
        <v>8075</v>
      </c>
      <c r="BB729"/>
    </row>
    <row r="730" spans="1:54" x14ac:dyDescent="0.25">
      <c r="A730" s="208" t="str">
        <f t="shared" si="11"/>
        <v>EBIT Margin (%)</v>
      </c>
      <c r="B730" s="201" t="s">
        <v>271</v>
      </c>
      <c r="C730" s="229" t="s">
        <v>8064</v>
      </c>
      <c r="D730" s="201" t="s">
        <v>8064</v>
      </c>
      <c r="E730" s="229" t="s">
        <v>8065</v>
      </c>
      <c r="F730" s="229" t="s">
        <v>8073</v>
      </c>
      <c r="G730" s="229" t="s">
        <v>8074</v>
      </c>
      <c r="H730" s="205" t="s">
        <v>8068</v>
      </c>
      <c r="I730" s="229" t="s">
        <v>8069</v>
      </c>
      <c r="J730" s="229" t="s">
        <v>8070</v>
      </c>
      <c r="K730" s="229" t="s">
        <v>8076</v>
      </c>
      <c r="BB730"/>
    </row>
    <row r="731" spans="1:54" x14ac:dyDescent="0.25">
      <c r="A731" s="208" t="str">
        <f t="shared" si="11"/>
        <v>Net Income Margin (%)</v>
      </c>
      <c r="B731" s="201" t="s">
        <v>272</v>
      </c>
      <c r="C731" t="s">
        <v>6829</v>
      </c>
      <c r="D731" s="201" t="s">
        <v>6830</v>
      </c>
      <c r="E731" t="s">
        <v>6831</v>
      </c>
      <c r="F731" t="s">
        <v>6832</v>
      </c>
      <c r="G731" t="s">
        <v>6833</v>
      </c>
      <c r="H731" t="s">
        <v>6834</v>
      </c>
      <c r="I731" t="s">
        <v>6835</v>
      </c>
      <c r="J731" t="s">
        <v>6836</v>
      </c>
      <c r="K731" t="s">
        <v>6837</v>
      </c>
      <c r="BB731"/>
    </row>
    <row r="732" spans="1:54" x14ac:dyDescent="0.25">
      <c r="A732" s="208" t="str">
        <f t="shared" si="11"/>
        <v>Capex as % of Revenues</v>
      </c>
      <c r="B732" s="201" t="s">
        <v>746</v>
      </c>
      <c r="C732" s="229" t="s">
        <v>8052</v>
      </c>
      <c r="D732" s="201" t="s">
        <v>8053</v>
      </c>
      <c r="E732" s="229" t="s">
        <v>8054</v>
      </c>
      <c r="F732" s="229" t="s">
        <v>8058</v>
      </c>
      <c r="G732" s="229" t="s">
        <v>8059</v>
      </c>
      <c r="H732" s="205" t="s">
        <v>8055</v>
      </c>
      <c r="I732" s="229" t="s">
        <v>8056</v>
      </c>
      <c r="J732" s="229" t="s">
        <v>8057</v>
      </c>
      <c r="K732" s="229" t="s">
        <v>8060</v>
      </c>
      <c r="BB732"/>
    </row>
    <row r="733" spans="1:54" x14ac:dyDescent="0.25">
      <c r="A733" s="208" t="str">
        <f t="shared" si="11"/>
        <v>ASSET TURNOVER</v>
      </c>
      <c r="B733" s="201" t="s">
        <v>277</v>
      </c>
      <c r="C733" s="201" t="s">
        <v>6838</v>
      </c>
      <c r="D733" s="201" t="s">
        <v>6839</v>
      </c>
      <c r="E733" s="201" t="s">
        <v>6840</v>
      </c>
      <c r="F733" s="201" t="s">
        <v>6841</v>
      </c>
      <c r="G733" s="201" t="s">
        <v>6842</v>
      </c>
      <c r="H733" s="201" t="s">
        <v>6843</v>
      </c>
      <c r="I733" s="201" t="s">
        <v>6844</v>
      </c>
      <c r="J733" s="201" t="s">
        <v>6845</v>
      </c>
      <c r="K733" s="201" t="s">
        <v>6846</v>
      </c>
      <c r="BB733"/>
    </row>
    <row r="734" spans="1:54" x14ac:dyDescent="0.25">
      <c r="A734" s="208" t="str">
        <f t="shared" si="11"/>
        <v>Total Asset Turnover</v>
      </c>
      <c r="B734" s="201" t="s">
        <v>273</v>
      </c>
      <c r="C734" s="201" t="s">
        <v>6847</v>
      </c>
      <c r="D734" s="201" t="s">
        <v>6848</v>
      </c>
      <c r="E734" s="201" t="s">
        <v>6849</v>
      </c>
      <c r="F734" s="201" t="s">
        <v>6850</v>
      </c>
      <c r="G734" s="201" t="s">
        <v>6851</v>
      </c>
      <c r="H734" s="201" t="s">
        <v>6852</v>
      </c>
      <c r="I734" s="201" t="s">
        <v>6853</v>
      </c>
      <c r="J734" s="201" t="s">
        <v>6854</v>
      </c>
      <c r="K734" s="201" t="s">
        <v>6855</v>
      </c>
      <c r="BB734"/>
    </row>
    <row r="735" spans="1:54" x14ac:dyDescent="0.25">
      <c r="A735" s="208" t="str">
        <f t="shared" si="11"/>
        <v>Fixed Asset Turnover</v>
      </c>
      <c r="B735" s="201" t="s">
        <v>274</v>
      </c>
      <c r="C735" s="201" t="s">
        <v>6856</v>
      </c>
      <c r="D735" s="201" t="s">
        <v>6857</v>
      </c>
      <c r="E735" s="201" t="s">
        <v>6858</v>
      </c>
      <c r="F735" s="201" t="s">
        <v>6859</v>
      </c>
      <c r="G735" s="201" t="s">
        <v>6860</v>
      </c>
      <c r="H735" s="201" t="s">
        <v>6861</v>
      </c>
      <c r="I735" s="201" t="s">
        <v>6862</v>
      </c>
      <c r="J735" s="201" t="s">
        <v>6863</v>
      </c>
      <c r="K735" s="201" t="s">
        <v>6864</v>
      </c>
      <c r="BB735"/>
    </row>
    <row r="736" spans="1:54" x14ac:dyDescent="0.25">
      <c r="A736" s="208" t="str">
        <f t="shared" si="11"/>
        <v>Accounts Receivable Turnover</v>
      </c>
      <c r="B736" s="201" t="s">
        <v>275</v>
      </c>
      <c r="C736" t="s">
        <v>8043</v>
      </c>
      <c r="D736" t="s">
        <v>8044</v>
      </c>
      <c r="E736" t="s">
        <v>8045</v>
      </c>
      <c r="F736" t="s">
        <v>8046</v>
      </c>
      <c r="G736" t="s">
        <v>8047</v>
      </c>
      <c r="H736" t="s">
        <v>8048</v>
      </c>
      <c r="I736" t="s">
        <v>8049</v>
      </c>
      <c r="J736" t="s">
        <v>8050</v>
      </c>
      <c r="K736" t="s">
        <v>8051</v>
      </c>
      <c r="BB736"/>
    </row>
    <row r="737" spans="1:54" x14ac:dyDescent="0.25">
      <c r="A737" s="208" t="str">
        <f t="shared" si="11"/>
        <v>Inventory Turnover</v>
      </c>
      <c r="B737" s="201" t="s">
        <v>276</v>
      </c>
      <c r="C737" s="201" t="s">
        <v>6865</v>
      </c>
      <c r="D737" s="201" t="s">
        <v>6866</v>
      </c>
      <c r="E737" s="201" t="s">
        <v>6867</v>
      </c>
      <c r="F737" s="201" t="s">
        <v>6868</v>
      </c>
      <c r="G737" s="201" t="s">
        <v>6869</v>
      </c>
      <c r="H737" s="201" t="s">
        <v>6870</v>
      </c>
      <c r="I737" s="201" t="s">
        <v>6871</v>
      </c>
      <c r="J737" s="201" t="s">
        <v>6872</v>
      </c>
      <c r="K737" s="201" t="s">
        <v>6873</v>
      </c>
      <c r="BB737"/>
    </row>
    <row r="738" spans="1:54" x14ac:dyDescent="0.25">
      <c r="A738" s="208" t="str">
        <f t="shared" si="11"/>
        <v>SHORT-TERM LIQUIDITY</v>
      </c>
      <c r="B738" s="201" t="s">
        <v>278</v>
      </c>
      <c r="C738" t="s">
        <v>6874</v>
      </c>
      <c r="D738" s="201" t="s">
        <v>6875</v>
      </c>
      <c r="E738" t="s">
        <v>6876</v>
      </c>
      <c r="F738" t="s">
        <v>6877</v>
      </c>
      <c r="G738" t="s">
        <v>6878</v>
      </c>
      <c r="H738" t="s">
        <v>6875</v>
      </c>
      <c r="I738" t="s">
        <v>6879</v>
      </c>
      <c r="J738" t="s">
        <v>6880</v>
      </c>
      <c r="K738" t="s">
        <v>6881</v>
      </c>
      <c r="BB738"/>
    </row>
    <row r="739" spans="1:54" x14ac:dyDescent="0.25">
      <c r="A739" s="208" t="str">
        <f t="shared" si="11"/>
        <v>Current Ratio</v>
      </c>
      <c r="B739" s="201" t="s">
        <v>279</v>
      </c>
      <c r="C739" t="s">
        <v>6882</v>
      </c>
      <c r="D739" s="201" t="s">
        <v>6883</v>
      </c>
      <c r="E739" t="s">
        <v>6884</v>
      </c>
      <c r="F739" t="s">
        <v>6885</v>
      </c>
      <c r="G739" t="s">
        <v>6886</v>
      </c>
      <c r="H739" t="s">
        <v>6883</v>
      </c>
      <c r="I739" t="s">
        <v>6887</v>
      </c>
      <c r="J739" t="s">
        <v>6888</v>
      </c>
      <c r="K739" t="s">
        <v>6889</v>
      </c>
      <c r="BB739"/>
    </row>
    <row r="740" spans="1:54" x14ac:dyDescent="0.25">
      <c r="A740" s="208" t="str">
        <f t="shared" si="11"/>
        <v>Quick Ratio</v>
      </c>
      <c r="B740" s="201" t="s">
        <v>280</v>
      </c>
      <c r="C740" t="s">
        <v>6890</v>
      </c>
      <c r="D740" s="201" t="s">
        <v>6891</v>
      </c>
      <c r="E740" t="s">
        <v>6892</v>
      </c>
      <c r="F740" t="s">
        <v>6893</v>
      </c>
      <c r="G740" t="s">
        <v>6894</v>
      </c>
      <c r="H740" t="s">
        <v>6895</v>
      </c>
      <c r="I740" t="s">
        <v>6896</v>
      </c>
      <c r="J740" t="s">
        <v>6897</v>
      </c>
      <c r="K740" t="s">
        <v>6898</v>
      </c>
      <c r="BB740"/>
    </row>
    <row r="741" spans="1:54" x14ac:dyDescent="0.25">
      <c r="A741" s="208" t="str">
        <f t="shared" si="11"/>
        <v>Cash from Operations to Currrent Liabilities</v>
      </c>
      <c r="B741" s="201" t="s">
        <v>301</v>
      </c>
      <c r="C741" s="201" t="s">
        <v>8034</v>
      </c>
      <c r="D741" s="201" t="s">
        <v>8035</v>
      </c>
      <c r="E741" s="201" t="s">
        <v>8036</v>
      </c>
      <c r="F741" s="201" t="s">
        <v>8040</v>
      </c>
      <c r="G741" s="201" t="s">
        <v>8041</v>
      </c>
      <c r="H741" s="201" t="s">
        <v>8037</v>
      </c>
      <c r="I741" s="201" t="s">
        <v>8038</v>
      </c>
      <c r="J741" s="201" t="s">
        <v>8039</v>
      </c>
      <c r="K741" s="201" t="s">
        <v>8042</v>
      </c>
      <c r="BB741"/>
    </row>
    <row r="742" spans="1:54" x14ac:dyDescent="0.25">
      <c r="A742" s="208" t="str">
        <f t="shared" si="11"/>
        <v>Avg. Days Sales Outstanding</v>
      </c>
      <c r="B742" s="201" t="s">
        <v>298</v>
      </c>
      <c r="C742" t="s">
        <v>6908</v>
      </c>
      <c r="D742" s="201" t="s">
        <v>6909</v>
      </c>
      <c r="E742" t="s">
        <v>6910</v>
      </c>
      <c r="F742" t="s">
        <v>6911</v>
      </c>
      <c r="G742" t="s">
        <v>6912</v>
      </c>
      <c r="H742" t="s">
        <v>6913</v>
      </c>
      <c r="I742" t="s">
        <v>6914</v>
      </c>
      <c r="J742" t="s">
        <v>6915</v>
      </c>
      <c r="K742" t="s">
        <v>6916</v>
      </c>
      <c r="BB742"/>
    </row>
    <row r="743" spans="1:54" x14ac:dyDescent="0.25">
      <c r="A743" s="208" t="str">
        <f t="shared" si="11"/>
        <v>Avg. Days Inventory Outstanding</v>
      </c>
      <c r="B743" s="201" t="s">
        <v>299</v>
      </c>
      <c r="C743" t="s">
        <v>6917</v>
      </c>
      <c r="D743" s="201" t="s">
        <v>6918</v>
      </c>
      <c r="E743" t="s">
        <v>6919</v>
      </c>
      <c r="F743" t="s">
        <v>6920</v>
      </c>
      <c r="G743" t="s">
        <v>6921</v>
      </c>
      <c r="H743" t="s">
        <v>6922</v>
      </c>
      <c r="I743" t="s">
        <v>6923</v>
      </c>
      <c r="J743" t="s">
        <v>6924</v>
      </c>
      <c r="K743" t="s">
        <v>6925</v>
      </c>
      <c r="BB743"/>
    </row>
    <row r="744" spans="1:54" x14ac:dyDescent="0.25">
      <c r="A744" s="208" t="str">
        <f t="shared" si="11"/>
        <v>Avg. Days Payable Outstanding</v>
      </c>
      <c r="B744" s="201" t="s">
        <v>300</v>
      </c>
      <c r="C744" s="201" t="s">
        <v>6926</v>
      </c>
      <c r="D744" s="201" t="s">
        <v>6927</v>
      </c>
      <c r="E744" s="201" t="s">
        <v>6928</v>
      </c>
      <c r="F744" s="201" t="s">
        <v>6929</v>
      </c>
      <c r="G744" s="201" t="s">
        <v>6930</v>
      </c>
      <c r="H744" s="201" t="s">
        <v>6931</v>
      </c>
      <c r="I744" s="201" t="s">
        <v>6932</v>
      </c>
      <c r="J744" s="201" t="s">
        <v>6933</v>
      </c>
      <c r="K744" s="201" t="s">
        <v>6934</v>
      </c>
      <c r="BB744"/>
    </row>
    <row r="745" spans="1:54" x14ac:dyDescent="0.25">
      <c r="A745" s="208" t="str">
        <f t="shared" si="11"/>
        <v>Avg. Cash Conversion Cycle</v>
      </c>
      <c r="B745" s="201" t="s">
        <v>281</v>
      </c>
      <c r="C745" s="201" t="s">
        <v>6935</v>
      </c>
      <c r="D745" s="201" t="s">
        <v>6936</v>
      </c>
      <c r="E745" s="201" t="s">
        <v>6937</v>
      </c>
      <c r="F745" s="201" t="s">
        <v>6938</v>
      </c>
      <c r="G745" s="201" t="s">
        <v>6939</v>
      </c>
      <c r="H745" s="201" t="s">
        <v>4802</v>
      </c>
      <c r="I745" s="201" t="s">
        <v>6940</v>
      </c>
      <c r="J745" s="201" t="s">
        <v>6941</v>
      </c>
      <c r="K745" s="201" t="s">
        <v>6942</v>
      </c>
      <c r="BB745"/>
    </row>
    <row r="746" spans="1:54" x14ac:dyDescent="0.25">
      <c r="A746" s="208" t="str">
        <f t="shared" si="11"/>
        <v>LONG-TERM SOLVENCY</v>
      </c>
      <c r="B746" s="201" t="s">
        <v>282</v>
      </c>
      <c r="C746" t="s">
        <v>6899</v>
      </c>
      <c r="D746" s="201" t="s">
        <v>6900</v>
      </c>
      <c r="E746" t="s">
        <v>6901</v>
      </c>
      <c r="F746" t="s">
        <v>6902</v>
      </c>
      <c r="G746" t="s">
        <v>6903</v>
      </c>
      <c r="H746" t="s">
        <v>6904</v>
      </c>
      <c r="I746" t="s">
        <v>6905</v>
      </c>
      <c r="J746" t="s">
        <v>6906</v>
      </c>
      <c r="K746" t="s">
        <v>6907</v>
      </c>
      <c r="BB746"/>
    </row>
    <row r="747" spans="1:54" x14ac:dyDescent="0.25">
      <c r="A747" s="208" t="str">
        <f t="shared" si="11"/>
        <v>Total Debt / Equity (%)</v>
      </c>
      <c r="B747" s="201" t="s">
        <v>302</v>
      </c>
      <c r="C747" s="229" t="s">
        <v>4605</v>
      </c>
      <c r="D747" s="229" t="s">
        <v>4606</v>
      </c>
      <c r="E747" s="229" t="s">
        <v>4607</v>
      </c>
      <c r="F747" s="229" t="s">
        <v>4627</v>
      </c>
      <c r="G747" s="229" t="s">
        <v>4628</v>
      </c>
      <c r="H747" s="205" t="s">
        <v>4617</v>
      </c>
      <c r="I747" s="229" t="s">
        <v>4618</v>
      </c>
      <c r="J747" s="229" t="s">
        <v>4619</v>
      </c>
      <c r="K747" s="229" t="s">
        <v>4635</v>
      </c>
      <c r="BB747"/>
    </row>
    <row r="748" spans="1:54" x14ac:dyDescent="0.25">
      <c r="A748" s="208" t="str">
        <f t="shared" si="11"/>
        <v>Total Debt / Capital (%)</v>
      </c>
      <c r="B748" s="201" t="s">
        <v>303</v>
      </c>
      <c r="C748" s="229" t="s">
        <v>4608</v>
      </c>
      <c r="D748" s="229" t="s">
        <v>4609</v>
      </c>
      <c r="E748" s="229" t="s">
        <v>4610</v>
      </c>
      <c r="F748" s="229" t="s">
        <v>4629</v>
      </c>
      <c r="G748" s="229" t="s">
        <v>4630</v>
      </c>
      <c r="H748" s="205" t="s">
        <v>4620</v>
      </c>
      <c r="I748" s="229" t="s">
        <v>4618</v>
      </c>
      <c r="J748" s="229" t="s">
        <v>4621</v>
      </c>
      <c r="K748" s="229" t="s">
        <v>4636</v>
      </c>
      <c r="BB748"/>
    </row>
    <row r="749" spans="1:54" x14ac:dyDescent="0.25">
      <c r="A749" s="208" t="str">
        <f t="shared" si="11"/>
        <v>LT Debt / Equity (%)</v>
      </c>
      <c r="B749" s="201" t="s">
        <v>304</v>
      </c>
      <c r="C749" s="229" t="s">
        <v>4611</v>
      </c>
      <c r="D749" s="229" t="s">
        <v>4612</v>
      </c>
      <c r="E749" s="229" t="s">
        <v>4613</v>
      </c>
      <c r="F749" s="229" t="s">
        <v>4631</v>
      </c>
      <c r="G749" s="229" t="s">
        <v>4632</v>
      </c>
      <c r="H749" s="205" t="s">
        <v>4622</v>
      </c>
      <c r="I749" s="229" t="s">
        <v>4623</v>
      </c>
      <c r="J749" s="229" t="s">
        <v>4624</v>
      </c>
      <c r="K749" s="229" t="s">
        <v>4637</v>
      </c>
      <c r="BB749"/>
    </row>
    <row r="750" spans="1:54" x14ac:dyDescent="0.25">
      <c r="A750" s="208" t="str">
        <f t="shared" si="11"/>
        <v>LT Debt / Capital (%)</v>
      </c>
      <c r="B750" s="201" t="s">
        <v>305</v>
      </c>
      <c r="C750" s="229" t="s">
        <v>4614</v>
      </c>
      <c r="D750" s="229" t="s">
        <v>4615</v>
      </c>
      <c r="E750" s="229" t="s">
        <v>4616</v>
      </c>
      <c r="F750" s="229" t="s">
        <v>4633</v>
      </c>
      <c r="G750" s="229" t="s">
        <v>4634</v>
      </c>
      <c r="H750" s="205" t="s">
        <v>4625</v>
      </c>
      <c r="I750" s="229" t="s">
        <v>4623</v>
      </c>
      <c r="J750" s="229" t="s">
        <v>4626</v>
      </c>
      <c r="K750" s="229" t="s">
        <v>4638</v>
      </c>
      <c r="BB750"/>
    </row>
    <row r="751" spans="1:54" x14ac:dyDescent="0.25">
      <c r="A751" s="208" t="str">
        <f t="shared" si="11"/>
        <v>Total Liabilities / Total Assets (%)</v>
      </c>
      <c r="B751" s="201" t="s">
        <v>306</v>
      </c>
      <c r="C751" s="201" t="s">
        <v>7946</v>
      </c>
      <c r="D751" s="201" t="s">
        <v>7947</v>
      </c>
      <c r="E751" s="201" t="s">
        <v>7948</v>
      </c>
      <c r="F751" s="201" t="s">
        <v>7949</v>
      </c>
      <c r="G751" s="201" t="s">
        <v>7950</v>
      </c>
      <c r="H751" s="201" t="s">
        <v>7951</v>
      </c>
      <c r="I751" s="201" t="s">
        <v>7952</v>
      </c>
      <c r="J751" s="201" t="s">
        <v>7953</v>
      </c>
      <c r="K751" s="201" t="s">
        <v>7954</v>
      </c>
      <c r="BB751"/>
    </row>
    <row r="752" spans="1:54" x14ac:dyDescent="0.25">
      <c r="A752" s="208" t="str">
        <f t="shared" si="11"/>
        <v>EBIT / Interest Expense</v>
      </c>
      <c r="B752" s="201" t="s">
        <v>283</v>
      </c>
      <c r="C752" s="229" t="s">
        <v>7955</v>
      </c>
      <c r="D752" s="201" t="s">
        <v>7956</v>
      </c>
      <c r="E752" s="229" t="s">
        <v>7957</v>
      </c>
      <c r="F752" s="229" t="s">
        <v>7961</v>
      </c>
      <c r="G752" s="229" t="s">
        <v>7962</v>
      </c>
      <c r="H752" s="205" t="s">
        <v>7958</v>
      </c>
      <c r="I752" s="229" t="s">
        <v>7959</v>
      </c>
      <c r="J752" s="229" t="s">
        <v>7960</v>
      </c>
      <c r="K752" s="229" t="s">
        <v>7963</v>
      </c>
      <c r="BB752"/>
    </row>
    <row r="753" spans="1:54" x14ac:dyDescent="0.25">
      <c r="A753" s="208" t="str">
        <f t="shared" si="11"/>
        <v>EBITDA / Interest Expense</v>
      </c>
      <c r="B753" s="201" t="s">
        <v>296</v>
      </c>
      <c r="C753" t="s">
        <v>7980</v>
      </c>
      <c r="D753" s="201" t="s">
        <v>7981</v>
      </c>
      <c r="E753" t="s">
        <v>7982</v>
      </c>
      <c r="F753" t="s">
        <v>7983</v>
      </c>
      <c r="G753" t="s">
        <v>7984</v>
      </c>
      <c r="H753" t="s">
        <v>7985</v>
      </c>
      <c r="I753" t="s">
        <v>7986</v>
      </c>
      <c r="J753" t="s">
        <v>7987</v>
      </c>
      <c r="K753" t="s">
        <v>7988</v>
      </c>
      <c r="BB753"/>
    </row>
    <row r="754" spans="1:54" x14ac:dyDescent="0.25">
      <c r="A754" s="208" t="str">
        <f t="shared" si="11"/>
        <v>(EBITDA-CAPEX) / Interest Expense</v>
      </c>
      <c r="B754" s="201" t="s">
        <v>297</v>
      </c>
      <c r="C754" t="s">
        <v>7989</v>
      </c>
      <c r="D754" s="201" t="s">
        <v>7990</v>
      </c>
      <c r="E754" t="s">
        <v>7991</v>
      </c>
      <c r="F754" t="s">
        <v>7992</v>
      </c>
      <c r="G754" t="s">
        <v>7993</v>
      </c>
      <c r="H754" t="s">
        <v>7994</v>
      </c>
      <c r="I754" t="s">
        <v>7995</v>
      </c>
      <c r="J754" t="s">
        <v>7996</v>
      </c>
      <c r="K754" t="s">
        <v>7997</v>
      </c>
      <c r="BB754"/>
    </row>
    <row r="755" spans="1:54" x14ac:dyDescent="0.25">
      <c r="A755" s="208" t="str">
        <f t="shared" si="11"/>
        <v>Total Debt / EBITDA</v>
      </c>
      <c r="B755" s="201" t="s">
        <v>284</v>
      </c>
      <c r="C755" t="s">
        <v>7998</v>
      </c>
      <c r="D755" s="201" t="s">
        <v>7999</v>
      </c>
      <c r="E755" t="s">
        <v>8000</v>
      </c>
      <c r="F755" t="s">
        <v>8001</v>
      </c>
      <c r="G755" t="s">
        <v>8002</v>
      </c>
      <c r="H755" t="s">
        <v>8003</v>
      </c>
      <c r="I755" t="s">
        <v>8004</v>
      </c>
      <c r="J755" t="s">
        <v>8005</v>
      </c>
      <c r="K755" t="s">
        <v>8006</v>
      </c>
      <c r="BB755"/>
    </row>
    <row r="756" spans="1:54" x14ac:dyDescent="0.25">
      <c r="A756" s="208" t="str">
        <f t="shared" si="11"/>
        <v>Net Debt / EBITDA</v>
      </c>
      <c r="B756" s="201" t="s">
        <v>285</v>
      </c>
      <c r="C756" t="s">
        <v>8007</v>
      </c>
      <c r="D756" s="201" t="s">
        <v>8008</v>
      </c>
      <c r="E756" t="s">
        <v>8009</v>
      </c>
      <c r="F756" t="s">
        <v>8010</v>
      </c>
      <c r="G756" t="s">
        <v>8011</v>
      </c>
      <c r="H756" t="s">
        <v>8012</v>
      </c>
      <c r="I756" t="s">
        <v>8013</v>
      </c>
      <c r="J756" t="s">
        <v>8014</v>
      </c>
      <c r="K756" t="s">
        <v>8015</v>
      </c>
      <c r="BB756"/>
    </row>
    <row r="757" spans="1:54" x14ac:dyDescent="0.25">
      <c r="A757" s="208" t="str">
        <f t="shared" si="11"/>
        <v>Total Debt / (EBITDA-CAPEX)</v>
      </c>
      <c r="B757" s="201" t="s">
        <v>737</v>
      </c>
      <c r="C757" s="201" t="s">
        <v>8016</v>
      </c>
      <c r="D757" s="201" t="s">
        <v>8017</v>
      </c>
      <c r="E757" s="201" t="s">
        <v>8018</v>
      </c>
      <c r="F757" s="201" t="s">
        <v>8019</v>
      </c>
      <c r="G757" s="201" t="s">
        <v>8020</v>
      </c>
      <c r="H757" s="201" t="s">
        <v>8021</v>
      </c>
      <c r="I757" s="201" t="s">
        <v>8022</v>
      </c>
      <c r="J757" s="201" t="s">
        <v>8023</v>
      </c>
      <c r="K757" s="201" t="s">
        <v>8024</v>
      </c>
      <c r="BB757"/>
    </row>
    <row r="758" spans="1:54" x14ac:dyDescent="0.25">
      <c r="A758" s="208" t="str">
        <f t="shared" si="11"/>
        <v>Net Debt / (EBITDA-CAPEX)</v>
      </c>
      <c r="B758" s="201" t="s">
        <v>738</v>
      </c>
      <c r="C758" s="201" t="s">
        <v>8025</v>
      </c>
      <c r="D758" s="201" t="s">
        <v>8026</v>
      </c>
      <c r="E758" s="201" t="s">
        <v>8027</v>
      </c>
      <c r="F758" s="201" t="s">
        <v>8028</v>
      </c>
      <c r="G758" s="201" t="s">
        <v>8029</v>
      </c>
      <c r="H758" s="201" t="s">
        <v>8030</v>
      </c>
      <c r="I758" s="201" t="s">
        <v>8031</v>
      </c>
      <c r="J758" s="201" t="s">
        <v>8032</v>
      </c>
      <c r="K758" s="201" t="s">
        <v>8033</v>
      </c>
      <c r="BB758"/>
    </row>
    <row r="759" spans="1:54" x14ac:dyDescent="0.25">
      <c r="A759" s="208" t="str">
        <f t="shared" si="11"/>
        <v>Total Revenues/ Employee</v>
      </c>
      <c r="B759" s="201" t="s">
        <v>739</v>
      </c>
      <c r="C759" s="229" t="s">
        <v>7964</v>
      </c>
      <c r="D759" s="201" t="s">
        <v>7965</v>
      </c>
      <c r="E759" s="229" t="s">
        <v>7966</v>
      </c>
      <c r="F759" s="229" t="s">
        <v>7974</v>
      </c>
      <c r="G759" s="229" t="s">
        <v>7975</v>
      </c>
      <c r="H759" s="205" t="s">
        <v>7968</v>
      </c>
      <c r="I759" s="229" t="s">
        <v>7969</v>
      </c>
      <c r="J759" s="229" t="s">
        <v>7970</v>
      </c>
      <c r="K759" s="229" t="s">
        <v>7978</v>
      </c>
      <c r="BB759"/>
    </row>
    <row r="760" spans="1:54" x14ac:dyDescent="0.25">
      <c r="A760" s="208" t="str">
        <f t="shared" si="11"/>
        <v>Altman Z Score</v>
      </c>
      <c r="B760" s="201" t="s">
        <v>286</v>
      </c>
      <c r="C760" s="229" t="s">
        <v>286</v>
      </c>
      <c r="D760" s="201" t="s">
        <v>286</v>
      </c>
      <c r="E760" s="229" t="s">
        <v>7967</v>
      </c>
      <c r="F760" s="229" t="s">
        <v>7976</v>
      </c>
      <c r="G760" s="229" t="s">
        <v>7977</v>
      </c>
      <c r="H760" s="205" t="s">
        <v>7971</v>
      </c>
      <c r="I760" s="229" t="s">
        <v>7972</v>
      </c>
      <c r="J760" s="229" t="s">
        <v>7973</v>
      </c>
      <c r="K760" s="229" t="s">
        <v>7979</v>
      </c>
      <c r="BB760"/>
    </row>
    <row r="761" spans="1:54" x14ac:dyDescent="0.25">
      <c r="A761" s="208" t="str">
        <f t="shared" si="11"/>
        <v>GROWTH OVER PRIOR YEAR</v>
      </c>
      <c r="B761" s="201" t="s">
        <v>287</v>
      </c>
      <c r="C761" t="s">
        <v>6943</v>
      </c>
      <c r="D761" s="201" t="s">
        <v>6944</v>
      </c>
      <c r="E761" t="s">
        <v>6945</v>
      </c>
      <c r="F761" t="s">
        <v>6946</v>
      </c>
      <c r="G761" t="s">
        <v>6947</v>
      </c>
      <c r="H761" t="s">
        <v>6948</v>
      </c>
      <c r="I761" t="s">
        <v>6949</v>
      </c>
      <c r="J761" t="s">
        <v>6950</v>
      </c>
      <c r="K761" t="s">
        <v>6951</v>
      </c>
      <c r="BB761"/>
    </row>
    <row r="762" spans="1:54" x14ac:dyDescent="0.25">
      <c r="A762" s="208" t="str">
        <f t="shared" si="11"/>
        <v>Total Revenue (%)</v>
      </c>
      <c r="B762" s="201" t="s">
        <v>288</v>
      </c>
      <c r="C762" t="s">
        <v>6952</v>
      </c>
      <c r="D762" s="201" t="s">
        <v>6953</v>
      </c>
      <c r="E762" t="s">
        <v>6954</v>
      </c>
      <c r="F762" t="s">
        <v>6955</v>
      </c>
      <c r="G762" t="s">
        <v>6956</v>
      </c>
      <c r="H762" t="s">
        <v>6957</v>
      </c>
      <c r="I762" t="s">
        <v>6958</v>
      </c>
      <c r="J762" t="s">
        <v>6959</v>
      </c>
      <c r="K762" t="s">
        <v>6960</v>
      </c>
      <c r="BB762"/>
    </row>
    <row r="763" spans="1:54" x14ac:dyDescent="0.25">
      <c r="A763" s="208" t="str">
        <f t="shared" si="11"/>
        <v>Gross Profit (%)</v>
      </c>
      <c r="B763" s="201" t="s">
        <v>289</v>
      </c>
      <c r="C763" t="s">
        <v>6961</v>
      </c>
      <c r="D763" s="201" t="s">
        <v>6961</v>
      </c>
      <c r="E763" t="s">
        <v>6822</v>
      </c>
      <c r="F763" t="s">
        <v>6962</v>
      </c>
      <c r="G763" t="s">
        <v>6963</v>
      </c>
      <c r="H763" t="s">
        <v>6964</v>
      </c>
      <c r="I763" t="s">
        <v>6965</v>
      </c>
      <c r="J763" t="s">
        <v>6966</v>
      </c>
      <c r="K763" t="s">
        <v>6828</v>
      </c>
      <c r="BB763"/>
    </row>
    <row r="764" spans="1:54" x14ac:dyDescent="0.25">
      <c r="A764" s="208" t="str">
        <f t="shared" si="11"/>
        <v>EBITDA (%)</v>
      </c>
      <c r="B764" s="201" t="s">
        <v>290</v>
      </c>
      <c r="C764" s="229" t="s">
        <v>4639</v>
      </c>
      <c r="D764" s="229" t="s">
        <v>4640</v>
      </c>
      <c r="E764" s="229" t="s">
        <v>290</v>
      </c>
      <c r="F764" s="229" t="s">
        <v>290</v>
      </c>
      <c r="G764" s="229" t="s">
        <v>290</v>
      </c>
      <c r="H764" s="205" t="s">
        <v>290</v>
      </c>
      <c r="I764" s="229" t="s">
        <v>290</v>
      </c>
      <c r="J764" s="229" t="s">
        <v>290</v>
      </c>
      <c r="K764" s="229" t="s">
        <v>4642</v>
      </c>
      <c r="BB764"/>
    </row>
    <row r="765" spans="1:54" x14ac:dyDescent="0.25">
      <c r="A765" s="208" t="str">
        <f t="shared" si="11"/>
        <v>EBIT (%)</v>
      </c>
      <c r="B765" s="201" t="s">
        <v>291</v>
      </c>
      <c r="C765" s="229" t="s">
        <v>4641</v>
      </c>
      <c r="D765" s="229" t="s">
        <v>4641</v>
      </c>
      <c r="E765" s="229" t="s">
        <v>291</v>
      </c>
      <c r="F765" s="229" t="s">
        <v>291</v>
      </c>
      <c r="G765" s="229" t="s">
        <v>291</v>
      </c>
      <c r="H765" s="205" t="s">
        <v>291</v>
      </c>
      <c r="I765" s="229" t="s">
        <v>291</v>
      </c>
      <c r="J765" s="229" t="s">
        <v>291</v>
      </c>
      <c r="K765" s="229" t="s">
        <v>4643</v>
      </c>
      <c r="BB765"/>
    </row>
    <row r="766" spans="1:54" x14ac:dyDescent="0.25">
      <c r="A766" s="208" t="str">
        <f t="shared" si="11"/>
        <v>Net Income (%)</v>
      </c>
      <c r="B766" s="201" t="s">
        <v>292</v>
      </c>
      <c r="C766" t="s">
        <v>6967</v>
      </c>
      <c r="D766" s="201" t="s">
        <v>6968</v>
      </c>
      <c r="E766" t="s">
        <v>6969</v>
      </c>
      <c r="F766" t="s">
        <v>6970</v>
      </c>
      <c r="G766" t="s">
        <v>6971</v>
      </c>
      <c r="H766" t="s">
        <v>6972</v>
      </c>
      <c r="I766" t="s">
        <v>6973</v>
      </c>
      <c r="J766" t="s">
        <v>6974</v>
      </c>
      <c r="K766" t="s">
        <v>6975</v>
      </c>
      <c r="BB766"/>
    </row>
    <row r="767" spans="1:54" x14ac:dyDescent="0.25">
      <c r="A767" s="208" t="str">
        <f t="shared" si="11"/>
        <v>Diluted EPS before Extra (%)</v>
      </c>
      <c r="B767" s="201" t="s">
        <v>293</v>
      </c>
      <c r="C767" s="229" t="s">
        <v>7937</v>
      </c>
      <c r="D767" s="201" t="s">
        <v>7938</v>
      </c>
      <c r="E767" s="229" t="s">
        <v>7939</v>
      </c>
      <c r="F767" s="229" t="s">
        <v>7943</v>
      </c>
      <c r="G767" s="229" t="s">
        <v>7944</v>
      </c>
      <c r="H767" s="205" t="s">
        <v>7940</v>
      </c>
      <c r="I767" s="229" t="s">
        <v>7941</v>
      </c>
      <c r="J767" s="229" t="s">
        <v>7942</v>
      </c>
      <c r="K767" s="229" t="s">
        <v>7945</v>
      </c>
      <c r="BB767"/>
    </row>
    <row r="768" spans="1:54" x14ac:dyDescent="0.25">
      <c r="A768" s="208" t="str">
        <f t="shared" si="11"/>
        <v>CAGR (3 YEAR)</v>
      </c>
      <c r="B768" s="201" t="s">
        <v>294</v>
      </c>
      <c r="C768" s="201" t="s">
        <v>6976</v>
      </c>
      <c r="D768" s="201" t="s">
        <v>6977</v>
      </c>
      <c r="E768" s="201" t="s">
        <v>6978</v>
      </c>
      <c r="F768" s="201" t="s">
        <v>6979</v>
      </c>
      <c r="G768" s="201" t="s">
        <v>6980</v>
      </c>
      <c r="H768" s="201" t="s">
        <v>6981</v>
      </c>
      <c r="I768" s="201" t="s">
        <v>6982</v>
      </c>
      <c r="J768" s="201" t="s">
        <v>6983</v>
      </c>
      <c r="K768" s="201" t="s">
        <v>6984</v>
      </c>
      <c r="BB768"/>
    </row>
    <row r="769" spans="1:54" x14ac:dyDescent="0.25">
      <c r="A769" s="208" t="str">
        <f t="shared" si="11"/>
        <v>CAGR (5 YEAR)</v>
      </c>
      <c r="B769" s="201" t="s">
        <v>295</v>
      </c>
      <c r="C769" t="s">
        <v>7928</v>
      </c>
      <c r="D769" s="201" t="s">
        <v>7929</v>
      </c>
      <c r="E769" t="s">
        <v>7930</v>
      </c>
      <c r="F769" t="s">
        <v>7931</v>
      </c>
      <c r="G769" t="s">
        <v>7932</v>
      </c>
      <c r="H769" t="s">
        <v>7933</v>
      </c>
      <c r="I769" t="s">
        <v>7934</v>
      </c>
      <c r="J769" t="s">
        <v>7935</v>
      </c>
      <c r="K769" t="s">
        <v>7936</v>
      </c>
      <c r="BB769"/>
    </row>
    <row r="770" spans="1:54" x14ac:dyDescent="0.25">
      <c r="A770" s="208" t="str">
        <f t="shared" si="11"/>
        <v>Source: S&amp;P Capital IQ</v>
      </c>
      <c r="B770" s="201" t="s">
        <v>51</v>
      </c>
      <c r="C770" s="198" t="s">
        <v>6985</v>
      </c>
      <c r="D770" s="201" t="s">
        <v>6986</v>
      </c>
      <c r="E770" s="198" t="s">
        <v>6987</v>
      </c>
      <c r="F770" s="198" t="s">
        <v>6988</v>
      </c>
      <c r="G770" s="198" t="s">
        <v>6989</v>
      </c>
      <c r="H770" s="198" t="s">
        <v>6990</v>
      </c>
      <c r="I770" s="198" t="s">
        <v>6991</v>
      </c>
      <c r="J770" s="198" t="s">
        <v>6992</v>
      </c>
      <c r="K770" s="198" t="s">
        <v>6993</v>
      </c>
      <c r="BB770"/>
    </row>
    <row r="771" spans="1:54" x14ac:dyDescent="0.25">
      <c r="A771" s="208" t="str">
        <f t="shared" si="11"/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771" s="244" t="s">
        <v>8270</v>
      </c>
      <c r="C771" s="198" t="s">
        <v>6994</v>
      </c>
      <c r="D771" s="201" t="s">
        <v>6995</v>
      </c>
      <c r="E771" s="198" t="s">
        <v>6996</v>
      </c>
      <c r="F771" s="198" t="s">
        <v>6997</v>
      </c>
      <c r="G771" s="198" t="s">
        <v>6998</v>
      </c>
      <c r="H771" s="198" t="s">
        <v>6999</v>
      </c>
      <c r="I771" s="198" t="s">
        <v>7000</v>
      </c>
      <c r="J771" s="198" t="s">
        <v>7001</v>
      </c>
      <c r="K771" s="198" t="s">
        <v>7002</v>
      </c>
      <c r="BB771"/>
    </row>
    <row r="772" spans="1:54" x14ac:dyDescent="0.25">
      <c r="A772" s="208" t="str">
        <f t="shared" si="11"/>
        <v>In</v>
      </c>
      <c r="B772" s="244" t="s">
        <v>8271</v>
      </c>
      <c r="C772" s="201" t="s">
        <v>8180</v>
      </c>
      <c r="D772" s="201" t="s">
        <v>8180</v>
      </c>
      <c r="E772" s="201" t="s">
        <v>8181</v>
      </c>
      <c r="F772" s="201" t="s">
        <v>8182</v>
      </c>
      <c r="G772" s="201" t="s">
        <v>8183</v>
      </c>
      <c r="H772" s="201" t="s">
        <v>8184</v>
      </c>
      <c r="I772" s="201" t="s">
        <v>8185</v>
      </c>
      <c r="J772" s="201" t="s">
        <v>8186</v>
      </c>
      <c r="K772" s="201" t="s">
        <v>8187</v>
      </c>
      <c r="BB772"/>
    </row>
    <row r="773" spans="1:54" x14ac:dyDescent="0.25">
      <c r="A773" s="208" t="str">
        <f t="shared" si="11"/>
        <v>millions, except per share data</v>
      </c>
      <c r="B773" s="201" t="s">
        <v>842</v>
      </c>
      <c r="C773" s="229" t="s">
        <v>8272</v>
      </c>
      <c r="D773" s="244" t="s">
        <v>8273</v>
      </c>
      <c r="E773" s="229" t="s">
        <v>8274</v>
      </c>
      <c r="F773" s="229" t="s">
        <v>8275</v>
      </c>
      <c r="G773" s="229" t="s">
        <v>8276</v>
      </c>
      <c r="H773" s="230" t="s">
        <v>7011</v>
      </c>
      <c r="I773" s="229" t="s">
        <v>8277</v>
      </c>
      <c r="J773" s="229" t="s">
        <v>8278</v>
      </c>
      <c r="K773" s="229" t="s">
        <v>8279</v>
      </c>
      <c r="BB773"/>
    </row>
    <row r="774" spans="1:54" x14ac:dyDescent="0.25">
      <c r="A774" s="208" t="str">
        <f t="shared" si="11"/>
        <v>Name</v>
      </c>
      <c r="B774" s="201" t="s">
        <v>333</v>
      </c>
      <c r="C774" s="201" t="s">
        <v>7920</v>
      </c>
      <c r="D774" s="201" t="s">
        <v>7921</v>
      </c>
      <c r="E774" s="201" t="s">
        <v>7922</v>
      </c>
      <c r="F774" s="201" t="s">
        <v>333</v>
      </c>
      <c r="G774" s="201" t="s">
        <v>7923</v>
      </c>
      <c r="H774" s="201" t="s">
        <v>7924</v>
      </c>
      <c r="I774" s="201" t="s">
        <v>7925</v>
      </c>
      <c r="J774" s="201" t="s">
        <v>7926</v>
      </c>
      <c r="K774" s="201" t="s">
        <v>7927</v>
      </c>
      <c r="BB774"/>
    </row>
    <row r="775" spans="1:54" x14ac:dyDescent="0.25">
      <c r="A775" s="208" t="str">
        <f t="shared" si="11"/>
        <v>Target Company</v>
      </c>
      <c r="B775" s="201" t="s">
        <v>371</v>
      </c>
      <c r="C775" s="229" t="s">
        <v>4644</v>
      </c>
      <c r="D775" s="229" t="s">
        <v>4645</v>
      </c>
      <c r="E775" s="229" t="s">
        <v>4646</v>
      </c>
      <c r="F775" s="229" t="s">
        <v>4660</v>
      </c>
      <c r="G775" s="229" t="s">
        <v>4661</v>
      </c>
      <c r="H775" s="230" t="s">
        <v>4651</v>
      </c>
      <c r="I775" s="229" t="s">
        <v>4652</v>
      </c>
      <c r="J775" s="229" t="s">
        <v>4653</v>
      </c>
      <c r="K775" s="229" t="s">
        <v>4665</v>
      </c>
      <c r="BB775"/>
    </row>
    <row r="776" spans="1:54" x14ac:dyDescent="0.25">
      <c r="A776" s="208" t="str">
        <f t="shared" si="11"/>
        <v>Dates</v>
      </c>
      <c r="B776" s="201" t="s">
        <v>307</v>
      </c>
      <c r="C776" s="229" t="s">
        <v>4647</v>
      </c>
      <c r="D776" s="229" t="s">
        <v>4647</v>
      </c>
      <c r="E776" s="229" t="s">
        <v>307</v>
      </c>
      <c r="F776" s="229" t="s">
        <v>4662</v>
      </c>
      <c r="G776" s="229" t="s">
        <v>56</v>
      </c>
      <c r="H776" s="230" t="s">
        <v>4654</v>
      </c>
      <c r="I776" s="229" t="s">
        <v>4655</v>
      </c>
      <c r="J776" s="229" t="s">
        <v>4656</v>
      </c>
      <c r="K776" s="229" t="s">
        <v>4666</v>
      </c>
      <c r="BB776"/>
    </row>
    <row r="777" spans="1:54" x14ac:dyDescent="0.25">
      <c r="A777" s="208" t="str">
        <f t="shared" ref="A777:A840" si="12">INDEX($B777:$CV777,$A$4)</f>
        <v>Trading Data</v>
      </c>
      <c r="B777" s="201" t="s">
        <v>308</v>
      </c>
      <c r="C777" s="229" t="s">
        <v>4648</v>
      </c>
      <c r="D777" s="229" t="s">
        <v>4649</v>
      </c>
      <c r="E777" s="229" t="s">
        <v>4650</v>
      </c>
      <c r="F777" s="229" t="s">
        <v>4663</v>
      </c>
      <c r="G777" s="229" t="s">
        <v>4664</v>
      </c>
      <c r="H777" s="230" t="s">
        <v>4657</v>
      </c>
      <c r="I777" s="229" t="s">
        <v>4658</v>
      </c>
      <c r="J777" s="229" t="s">
        <v>4659</v>
      </c>
      <c r="K777" s="229" t="s">
        <v>4667</v>
      </c>
      <c r="BB777"/>
    </row>
    <row r="778" spans="1:54" x14ac:dyDescent="0.25">
      <c r="A778" s="208" t="str">
        <f t="shared" si="12"/>
        <v>Stock Price</v>
      </c>
      <c r="B778" s="201" t="s">
        <v>316</v>
      </c>
      <c r="C778" s="201" t="s">
        <v>7902</v>
      </c>
      <c r="D778" s="201" t="s">
        <v>7903</v>
      </c>
      <c r="E778" s="201" t="s">
        <v>7904</v>
      </c>
      <c r="F778" s="201" t="s">
        <v>7905</v>
      </c>
      <c r="G778" s="201" t="s">
        <v>7906</v>
      </c>
      <c r="H778" s="201" t="s">
        <v>7907</v>
      </c>
      <c r="I778" s="201" t="s">
        <v>7908</v>
      </c>
      <c r="J778" s="201" t="s">
        <v>7909</v>
      </c>
      <c r="K778" s="201" t="s">
        <v>7910</v>
      </c>
      <c r="BB778"/>
    </row>
    <row r="779" spans="1:54" x14ac:dyDescent="0.25">
      <c r="A779" s="208" t="str">
        <f t="shared" si="12"/>
        <v>52-Week</v>
      </c>
      <c r="B779" s="201" t="s">
        <v>8251</v>
      </c>
      <c r="C779" s="201" t="s">
        <v>7911</v>
      </c>
      <c r="D779" s="201" t="s">
        <v>7912</v>
      </c>
      <c r="E779" s="201" t="s">
        <v>7913</v>
      </c>
      <c r="F779" s="201" t="s">
        <v>7917</v>
      </c>
      <c r="G779" s="201" t="s">
        <v>7918</v>
      </c>
      <c r="H779" s="201" t="s">
        <v>7914</v>
      </c>
      <c r="I779" s="201" t="s">
        <v>7915</v>
      </c>
      <c r="J779" s="201" t="s">
        <v>7916</v>
      </c>
      <c r="K779" s="201" t="s">
        <v>7919</v>
      </c>
      <c r="BB779"/>
    </row>
    <row r="780" spans="1:54" x14ac:dyDescent="0.25">
      <c r="A780" s="208" t="str">
        <f t="shared" si="12"/>
        <v>High</v>
      </c>
      <c r="B780" s="201" t="s">
        <v>8252</v>
      </c>
      <c r="C780" s="201" t="s">
        <v>7738</v>
      </c>
      <c r="D780" s="201" t="s">
        <v>7738</v>
      </c>
      <c r="E780" s="201" t="s">
        <v>7739</v>
      </c>
      <c r="F780" s="201" t="s">
        <v>7740</v>
      </c>
      <c r="G780" s="201" t="s">
        <v>7741</v>
      </c>
      <c r="H780" s="201" t="s">
        <v>7738</v>
      </c>
      <c r="I780" s="201" t="s">
        <v>7742</v>
      </c>
      <c r="J780" s="201" t="s">
        <v>7741</v>
      </c>
      <c r="K780" s="201" t="s">
        <v>7743</v>
      </c>
      <c r="BB780"/>
    </row>
    <row r="781" spans="1:54" x14ac:dyDescent="0.25">
      <c r="A781" s="208" t="str">
        <f t="shared" si="12"/>
        <v>Low</v>
      </c>
      <c r="B781" s="201" t="s">
        <v>335</v>
      </c>
      <c r="C781" s="201" t="s">
        <v>8173</v>
      </c>
      <c r="D781" s="201" t="s">
        <v>8173</v>
      </c>
      <c r="E781" s="201" t="s">
        <v>8174</v>
      </c>
      <c r="F781" s="201" t="s">
        <v>8175</v>
      </c>
      <c r="G781" s="201" t="s">
        <v>8176</v>
      </c>
      <c r="H781" s="201" t="s">
        <v>8173</v>
      </c>
      <c r="I781" s="201" t="s">
        <v>8177</v>
      </c>
      <c r="J781" s="201" t="s">
        <v>8178</v>
      </c>
      <c r="K781" s="201" t="s">
        <v>8179</v>
      </c>
      <c r="BB781"/>
    </row>
    <row r="782" spans="1:54" x14ac:dyDescent="0.25">
      <c r="A782" s="208" t="str">
        <f t="shared" si="12"/>
        <v>% of</v>
      </c>
      <c r="B782" s="201" t="s">
        <v>317</v>
      </c>
      <c r="C782" s="229" t="s">
        <v>4668</v>
      </c>
      <c r="D782" s="229" t="s">
        <v>4668</v>
      </c>
      <c r="E782" s="229" t="s">
        <v>4669</v>
      </c>
      <c r="F782" s="229" t="s">
        <v>4696</v>
      </c>
      <c r="G782" s="229" t="s">
        <v>4697</v>
      </c>
      <c r="H782" s="230" t="s">
        <v>4682</v>
      </c>
      <c r="I782" s="229" t="s">
        <v>4683</v>
      </c>
      <c r="J782" s="229" t="s">
        <v>4669</v>
      </c>
      <c r="K782" s="229" t="s">
        <v>4706</v>
      </c>
      <c r="BB782"/>
    </row>
    <row r="783" spans="1:54" x14ac:dyDescent="0.25">
      <c r="A783" s="208" t="str">
        <f t="shared" si="12"/>
        <v>52W High</v>
      </c>
      <c r="B783" s="201" t="s">
        <v>336</v>
      </c>
      <c r="C783" s="229" t="s">
        <v>4670</v>
      </c>
      <c r="D783" s="229" t="s">
        <v>4671</v>
      </c>
      <c r="E783" s="229" t="s">
        <v>4672</v>
      </c>
      <c r="F783" s="229" t="s">
        <v>4698</v>
      </c>
      <c r="G783" s="229" t="s">
        <v>4699</v>
      </c>
      <c r="H783" s="232" t="s">
        <v>4684</v>
      </c>
      <c r="I783" s="229" t="s">
        <v>4685</v>
      </c>
      <c r="J783" s="229" t="s">
        <v>4686</v>
      </c>
      <c r="K783" s="229" t="s">
        <v>4707</v>
      </c>
      <c r="BB783"/>
    </row>
    <row r="784" spans="1:54" x14ac:dyDescent="0.25">
      <c r="A784" s="208" t="str">
        <f t="shared" si="12"/>
        <v>52W Low</v>
      </c>
      <c r="B784" s="201" t="s">
        <v>337</v>
      </c>
      <c r="C784" s="229" t="s">
        <v>4673</v>
      </c>
      <c r="D784" s="229" t="s">
        <v>4674</v>
      </c>
      <c r="E784" s="229" t="s">
        <v>4675</v>
      </c>
      <c r="F784" s="229" t="s">
        <v>4700</v>
      </c>
      <c r="G784" s="229" t="s">
        <v>4701</v>
      </c>
      <c r="H784" s="232" t="s">
        <v>4687</v>
      </c>
      <c r="I784" s="229" t="s">
        <v>4688</v>
      </c>
      <c r="J784" s="229" t="s">
        <v>4689</v>
      </c>
      <c r="K784" s="229" t="s">
        <v>4708</v>
      </c>
      <c r="BB784"/>
    </row>
    <row r="785" spans="1:54" x14ac:dyDescent="0.25">
      <c r="A785" s="208" t="str">
        <f t="shared" si="12"/>
        <v>EV Calculation</v>
      </c>
      <c r="B785" s="201" t="s">
        <v>309</v>
      </c>
      <c r="C785" s="229" t="s">
        <v>4676</v>
      </c>
      <c r="D785" s="229" t="s">
        <v>4677</v>
      </c>
      <c r="E785" s="229" t="s">
        <v>4678</v>
      </c>
      <c r="F785" s="229" t="s">
        <v>4702</v>
      </c>
      <c r="G785" s="229" t="s">
        <v>4703</v>
      </c>
      <c r="H785" s="230" t="s">
        <v>4690</v>
      </c>
      <c r="I785" s="229" t="s">
        <v>4691</v>
      </c>
      <c r="J785" s="229" t="s">
        <v>4692</v>
      </c>
      <c r="K785" s="229" t="s">
        <v>4709</v>
      </c>
      <c r="BB785"/>
    </row>
    <row r="786" spans="1:54" x14ac:dyDescent="0.25">
      <c r="A786" s="208" t="str">
        <f t="shared" si="12"/>
        <v>Shares Out</v>
      </c>
      <c r="B786" s="201" t="s">
        <v>338</v>
      </c>
      <c r="C786" s="229" t="s">
        <v>4679</v>
      </c>
      <c r="D786" s="229" t="s">
        <v>4680</v>
      </c>
      <c r="E786" s="229" t="s">
        <v>4681</v>
      </c>
      <c r="F786" s="229" t="s">
        <v>4704</v>
      </c>
      <c r="G786" s="229" t="s">
        <v>4705</v>
      </c>
      <c r="H786" s="230" t="s">
        <v>4693</v>
      </c>
      <c r="I786" s="229" t="s">
        <v>4694</v>
      </c>
      <c r="J786" s="229" t="s">
        <v>4695</v>
      </c>
      <c r="K786" s="229" t="s">
        <v>4710</v>
      </c>
      <c r="BB786"/>
    </row>
    <row r="787" spans="1:54" x14ac:dyDescent="0.25">
      <c r="A787" s="208" t="str">
        <f t="shared" si="12"/>
        <v>Market Cap</v>
      </c>
      <c r="B787" s="201" t="s">
        <v>339</v>
      </c>
      <c r="C787" s="229" t="s">
        <v>7012</v>
      </c>
      <c r="D787" s="201" t="s">
        <v>7012</v>
      </c>
      <c r="E787" s="201" t="s">
        <v>7013</v>
      </c>
      <c r="F787" s="201" t="s">
        <v>7014</v>
      </c>
      <c r="G787" s="201" t="s">
        <v>7015</v>
      </c>
      <c r="H787" s="201" t="s">
        <v>7016</v>
      </c>
      <c r="I787" s="201" t="s">
        <v>7017</v>
      </c>
      <c r="J787" s="201" t="s">
        <v>7018</v>
      </c>
      <c r="K787" s="201" t="s">
        <v>7019</v>
      </c>
      <c r="BB787"/>
    </row>
    <row r="788" spans="1:54" x14ac:dyDescent="0.25">
      <c r="A788" s="208" t="str">
        <f t="shared" si="12"/>
        <v>Cash</v>
      </c>
      <c r="B788" s="201" t="s">
        <v>340</v>
      </c>
      <c r="C788" s="229" t="s">
        <v>7860</v>
      </c>
      <c r="D788" s="201" t="s">
        <v>7861</v>
      </c>
      <c r="E788" s="229" t="s">
        <v>340</v>
      </c>
      <c r="F788" s="229" t="s">
        <v>7873</v>
      </c>
      <c r="G788" s="229" t="s">
        <v>7874</v>
      </c>
      <c r="H788" s="230" t="s">
        <v>7861</v>
      </c>
      <c r="I788" s="229" t="s">
        <v>7866</v>
      </c>
      <c r="J788" s="229" t="s">
        <v>7867</v>
      </c>
      <c r="K788" s="229" t="s">
        <v>7879</v>
      </c>
      <c r="BB788"/>
    </row>
    <row r="789" spans="1:54" x14ac:dyDescent="0.25">
      <c r="A789" s="208" t="str">
        <f t="shared" si="12"/>
        <v>Pref. Stock</v>
      </c>
      <c r="B789" s="201" t="s">
        <v>341</v>
      </c>
      <c r="C789" s="229" t="s">
        <v>7862</v>
      </c>
      <c r="D789" s="201" t="s">
        <v>7863</v>
      </c>
      <c r="E789" s="229" t="s">
        <v>7864</v>
      </c>
      <c r="F789" s="229" t="s">
        <v>7875</v>
      </c>
      <c r="G789" s="229" t="s">
        <v>7876</v>
      </c>
      <c r="H789" s="230" t="s">
        <v>7868</v>
      </c>
      <c r="I789" s="229" t="s">
        <v>7869</v>
      </c>
      <c r="J789" s="229" t="s">
        <v>7870</v>
      </c>
      <c r="K789" s="229" t="s">
        <v>7880</v>
      </c>
      <c r="BB789"/>
    </row>
    <row r="790" spans="1:54" x14ac:dyDescent="0.25">
      <c r="A790" s="208" t="str">
        <f t="shared" si="12"/>
        <v>Minority Int.</v>
      </c>
      <c r="B790" s="201" t="s">
        <v>342</v>
      </c>
      <c r="C790" s="229" t="s">
        <v>7547</v>
      </c>
      <c r="D790" s="201" t="s">
        <v>7548</v>
      </c>
      <c r="E790" s="229" t="s">
        <v>7865</v>
      </c>
      <c r="F790" s="229" t="s">
        <v>7877</v>
      </c>
      <c r="G790" s="229" t="s">
        <v>7878</v>
      </c>
      <c r="H790" s="230" t="s">
        <v>5415</v>
      </c>
      <c r="I790" s="229" t="s">
        <v>7871</v>
      </c>
      <c r="J790" s="229" t="s">
        <v>7872</v>
      </c>
      <c r="K790" s="229" t="s">
        <v>7881</v>
      </c>
      <c r="BB790"/>
    </row>
    <row r="791" spans="1:54" x14ac:dyDescent="0.25">
      <c r="A791" s="208" t="str">
        <f t="shared" si="12"/>
        <v>TEV</v>
      </c>
      <c r="B791" s="201" t="s">
        <v>401</v>
      </c>
      <c r="C791" s="201" t="s">
        <v>7020</v>
      </c>
      <c r="D791" s="201" t="s">
        <v>7021</v>
      </c>
      <c r="E791" s="201" t="s">
        <v>7022</v>
      </c>
      <c r="F791" s="201" t="s">
        <v>7023</v>
      </c>
      <c r="G791" s="201" t="s">
        <v>7024</v>
      </c>
      <c r="H791" s="201" t="s">
        <v>7025</v>
      </c>
      <c r="I791" s="201" t="s">
        <v>7026</v>
      </c>
      <c r="J791" s="201" t="s">
        <v>7027</v>
      </c>
      <c r="K791" s="201" t="s">
        <v>7028</v>
      </c>
      <c r="BB791"/>
    </row>
    <row r="792" spans="1:54" x14ac:dyDescent="0.25">
      <c r="A792" s="208" t="str">
        <f t="shared" si="12"/>
        <v>Total Revenue</v>
      </c>
      <c r="B792" s="201" t="s">
        <v>318</v>
      </c>
      <c r="C792" t="s">
        <v>5806</v>
      </c>
      <c r="D792" s="201" t="s">
        <v>5807</v>
      </c>
      <c r="E792" t="s">
        <v>7882</v>
      </c>
      <c r="F792" t="s">
        <v>7883</v>
      </c>
      <c r="G792" t="s">
        <v>5810</v>
      </c>
      <c r="H792" t="s">
        <v>5794</v>
      </c>
      <c r="I792" t="s">
        <v>7884</v>
      </c>
      <c r="J792" t="s">
        <v>7885</v>
      </c>
      <c r="K792" t="s">
        <v>7886</v>
      </c>
      <c r="BB792"/>
    </row>
    <row r="793" spans="1:54" x14ac:dyDescent="0.25">
      <c r="A793" s="208" t="str">
        <f t="shared" si="12"/>
        <v>TEV/Total Revenue</v>
      </c>
      <c r="B793" s="201" t="s">
        <v>402</v>
      </c>
      <c r="C793" s="198" t="s">
        <v>7646</v>
      </c>
      <c r="D793" s="201" t="s">
        <v>7647</v>
      </c>
      <c r="E793" s="198" t="s">
        <v>7887</v>
      </c>
      <c r="F793" s="198" t="s">
        <v>7888</v>
      </c>
      <c r="G793" s="198" t="s">
        <v>7889</v>
      </c>
      <c r="H793" s="198" t="s">
        <v>7651</v>
      </c>
      <c r="I793" s="198" t="s">
        <v>7890</v>
      </c>
      <c r="J793" s="198" t="s">
        <v>7891</v>
      </c>
      <c r="K793" s="198" t="s">
        <v>7892</v>
      </c>
      <c r="BB793"/>
    </row>
    <row r="794" spans="1:54" x14ac:dyDescent="0.25">
      <c r="A794" s="208" t="str">
        <f t="shared" si="12"/>
        <v>TEV/EBITDA</v>
      </c>
      <c r="B794" s="201" t="s">
        <v>400</v>
      </c>
      <c r="C794" s="198" t="s">
        <v>7029</v>
      </c>
      <c r="D794" s="201" t="s">
        <v>7030</v>
      </c>
      <c r="E794" s="198" t="s">
        <v>7031</v>
      </c>
      <c r="F794" s="198" t="s">
        <v>7032</v>
      </c>
      <c r="G794" s="198" t="s">
        <v>7033</v>
      </c>
      <c r="H794" s="198" t="s">
        <v>7034</v>
      </c>
      <c r="I794" s="198" t="s">
        <v>7035</v>
      </c>
      <c r="J794" s="198" t="s">
        <v>7036</v>
      </c>
      <c r="K794" s="198" t="s">
        <v>374</v>
      </c>
      <c r="BB794"/>
    </row>
    <row r="795" spans="1:54" x14ac:dyDescent="0.25">
      <c r="A795" s="208" t="str">
        <f t="shared" si="12"/>
        <v>Trading Multiples</v>
      </c>
      <c r="B795" s="201" t="s">
        <v>311</v>
      </c>
      <c r="C795" s="229" t="s">
        <v>7851</v>
      </c>
      <c r="D795" s="201" t="s">
        <v>7852</v>
      </c>
      <c r="E795" s="229" t="s">
        <v>7853</v>
      </c>
      <c r="F795" s="229" t="s">
        <v>7857</v>
      </c>
      <c r="G795" s="229" t="s">
        <v>7858</v>
      </c>
      <c r="H795" s="230" t="s">
        <v>7854</v>
      </c>
      <c r="I795" s="229" t="s">
        <v>7855</v>
      </c>
      <c r="J795" s="229" t="s">
        <v>7856</v>
      </c>
      <c r="K795" s="229" t="s">
        <v>7859</v>
      </c>
      <c r="BB795"/>
    </row>
    <row r="796" spans="1:54" x14ac:dyDescent="0.25">
      <c r="A796" s="208" t="str">
        <f t="shared" si="12"/>
        <v>Financial Data</v>
      </c>
      <c r="B796" s="201" t="s">
        <v>310</v>
      </c>
      <c r="C796" s="201" t="s">
        <v>7893</v>
      </c>
      <c r="D796" s="201" t="s">
        <v>7894</v>
      </c>
      <c r="E796" s="201" t="s">
        <v>7895</v>
      </c>
      <c r="F796" s="201" t="s">
        <v>7896</v>
      </c>
      <c r="G796" s="201" t="s">
        <v>7897</v>
      </c>
      <c r="H796" s="201" t="s">
        <v>7898</v>
      </c>
      <c r="I796" s="201" t="s">
        <v>7899</v>
      </c>
      <c r="J796" s="201" t="s">
        <v>7900</v>
      </c>
      <c r="K796" s="201" t="s">
        <v>7901</v>
      </c>
      <c r="BB796"/>
    </row>
    <row r="797" spans="1:54" x14ac:dyDescent="0.25">
      <c r="A797" s="208" t="str">
        <f t="shared" si="12"/>
        <v>PE</v>
      </c>
      <c r="B797" s="201" t="s">
        <v>319</v>
      </c>
      <c r="C797" t="s">
        <v>7037</v>
      </c>
      <c r="D797" s="201" t="s">
        <v>7037</v>
      </c>
      <c r="E797" t="s">
        <v>7038</v>
      </c>
      <c r="F797" t="s">
        <v>7039</v>
      </c>
      <c r="G797" t="s">
        <v>7040</v>
      </c>
      <c r="H797" t="s">
        <v>7041</v>
      </c>
      <c r="I797" t="s">
        <v>7042</v>
      </c>
      <c r="J797" t="s">
        <v>7043</v>
      </c>
      <c r="K797" t="s">
        <v>7044</v>
      </c>
      <c r="BB797"/>
    </row>
    <row r="798" spans="1:54" x14ac:dyDescent="0.25">
      <c r="A798" s="208" t="str">
        <f t="shared" si="12"/>
        <v>Price /</v>
      </c>
      <c r="B798" s="201" t="s">
        <v>320</v>
      </c>
      <c r="C798" s="229" t="s">
        <v>7833</v>
      </c>
      <c r="D798" s="201" t="s">
        <v>7834</v>
      </c>
      <c r="E798" s="229" t="s">
        <v>7835</v>
      </c>
      <c r="F798" s="229" t="s">
        <v>7846</v>
      </c>
      <c r="G798" s="229" t="s">
        <v>8295</v>
      </c>
      <c r="H798" s="230" t="s">
        <v>7839</v>
      </c>
      <c r="I798" s="229" t="s">
        <v>7840</v>
      </c>
      <c r="J798" s="229" t="s">
        <v>7841</v>
      </c>
      <c r="K798" s="229" t="s">
        <v>7849</v>
      </c>
      <c r="BB798"/>
    </row>
    <row r="799" spans="1:54" x14ac:dyDescent="0.25">
      <c r="A799" s="208" t="str">
        <f t="shared" si="12"/>
        <v>BV</v>
      </c>
      <c r="B799" s="201" t="s">
        <v>347</v>
      </c>
      <c r="C799" s="229" t="s">
        <v>7836</v>
      </c>
      <c r="D799" s="201" t="s">
        <v>7837</v>
      </c>
      <c r="E799" s="229" t="s">
        <v>7838</v>
      </c>
      <c r="F799" s="229" t="s">
        <v>347</v>
      </c>
      <c r="G799" s="229" t="s">
        <v>347</v>
      </c>
      <c r="H799" s="230" t="s">
        <v>7842</v>
      </c>
      <c r="I799" s="229" t="s">
        <v>7843</v>
      </c>
      <c r="J799" s="229" t="s">
        <v>7844</v>
      </c>
      <c r="K799" s="229" t="s">
        <v>347</v>
      </c>
      <c r="BB799"/>
    </row>
    <row r="800" spans="1:54" x14ac:dyDescent="0.25">
      <c r="A800" s="208" t="str">
        <f t="shared" si="12"/>
        <v>Tangible BV</v>
      </c>
      <c r="B800" s="201" t="s">
        <v>348</v>
      </c>
      <c r="C800" s="229" t="s">
        <v>2352</v>
      </c>
      <c r="D800" s="201" t="s">
        <v>2353</v>
      </c>
      <c r="E800" s="229" t="s">
        <v>2354</v>
      </c>
      <c r="F800" s="229" t="s">
        <v>7847</v>
      </c>
      <c r="G800" s="229" t="s">
        <v>7848</v>
      </c>
      <c r="H800" s="230" t="s">
        <v>2388</v>
      </c>
      <c r="I800" s="229" t="s">
        <v>2389</v>
      </c>
      <c r="J800" s="229" t="s">
        <v>7845</v>
      </c>
      <c r="K800" s="229" t="s">
        <v>7850</v>
      </c>
      <c r="BB800"/>
    </row>
    <row r="801" spans="1:54" x14ac:dyDescent="0.25">
      <c r="A801" s="208" t="str">
        <f t="shared" si="12"/>
        <v>Gross Margin</v>
      </c>
      <c r="B801" s="201" t="s">
        <v>321</v>
      </c>
      <c r="C801" t="s">
        <v>7784</v>
      </c>
      <c r="D801" s="201" t="s">
        <v>7784</v>
      </c>
      <c r="E801" t="s">
        <v>7785</v>
      </c>
      <c r="F801" t="s">
        <v>7786</v>
      </c>
      <c r="G801" t="s">
        <v>7787</v>
      </c>
      <c r="H801" t="s">
        <v>6825</v>
      </c>
      <c r="I801" t="s">
        <v>7788</v>
      </c>
      <c r="J801" t="s">
        <v>7789</v>
      </c>
      <c r="K801" t="s">
        <v>7790</v>
      </c>
      <c r="BB801"/>
    </row>
    <row r="802" spans="1:54" x14ac:dyDescent="0.25">
      <c r="A802" s="208" t="str">
        <f t="shared" si="12"/>
        <v>Margin Analysis (%)</v>
      </c>
      <c r="B802" s="201" t="s">
        <v>312</v>
      </c>
      <c r="C802" s="229" t="s">
        <v>7808</v>
      </c>
      <c r="D802" s="201" t="s">
        <v>7809</v>
      </c>
      <c r="E802" s="229" t="s">
        <v>7810</v>
      </c>
      <c r="F802" s="229" t="s">
        <v>7814</v>
      </c>
      <c r="G802" s="229" t="s">
        <v>7815</v>
      </c>
      <c r="H802" s="230" t="s">
        <v>7811</v>
      </c>
      <c r="I802" s="229" t="s">
        <v>7812</v>
      </c>
      <c r="J802" s="229" t="s">
        <v>7813</v>
      </c>
      <c r="K802" s="229" t="s">
        <v>7816</v>
      </c>
      <c r="BB802"/>
    </row>
    <row r="803" spans="1:54" x14ac:dyDescent="0.25">
      <c r="A803" s="208" t="str">
        <f t="shared" si="12"/>
        <v>EBITDA Margin</v>
      </c>
      <c r="B803" s="201" t="s">
        <v>322</v>
      </c>
      <c r="C803" t="s">
        <v>7791</v>
      </c>
      <c r="D803" s="201" t="s">
        <v>7792</v>
      </c>
      <c r="E803" t="s">
        <v>7793</v>
      </c>
      <c r="F803" t="s">
        <v>7794</v>
      </c>
      <c r="G803" t="s">
        <v>7795</v>
      </c>
      <c r="H803" t="s">
        <v>7796</v>
      </c>
      <c r="I803" t="s">
        <v>7797</v>
      </c>
      <c r="J803" t="s">
        <v>7798</v>
      </c>
      <c r="K803" t="s">
        <v>7799</v>
      </c>
      <c r="BB803"/>
    </row>
    <row r="804" spans="1:54" x14ac:dyDescent="0.25">
      <c r="A804" s="208" t="str">
        <f t="shared" si="12"/>
        <v>Net Income Margin</v>
      </c>
      <c r="B804" s="201" t="s">
        <v>323</v>
      </c>
      <c r="C804" t="s">
        <v>7800</v>
      </c>
      <c r="D804" s="201" t="s">
        <v>7801</v>
      </c>
      <c r="E804" t="s">
        <v>7802</v>
      </c>
      <c r="F804" t="s">
        <v>7803</v>
      </c>
      <c r="G804" t="s">
        <v>7804</v>
      </c>
      <c r="H804" t="s">
        <v>6834</v>
      </c>
      <c r="I804" t="s">
        <v>7805</v>
      </c>
      <c r="J804" t="s">
        <v>7806</v>
      </c>
      <c r="K804" t="s">
        <v>7807</v>
      </c>
      <c r="BB804"/>
    </row>
    <row r="805" spans="1:54" x14ac:dyDescent="0.25">
      <c r="A805" s="208" t="str">
        <f t="shared" si="12"/>
        <v>LTM Growth Rates (%)</v>
      </c>
      <c r="B805" s="201" t="s">
        <v>313</v>
      </c>
      <c r="C805" s="229" t="s">
        <v>7817</v>
      </c>
      <c r="D805" s="201" t="s">
        <v>7818</v>
      </c>
      <c r="E805" s="229" t="s">
        <v>7819</v>
      </c>
      <c r="F805" s="229" t="s">
        <v>7823</v>
      </c>
      <c r="G805" s="229" t="s">
        <v>7824</v>
      </c>
      <c r="H805" s="230" t="s">
        <v>7820</v>
      </c>
      <c r="I805" s="229" t="s">
        <v>7821</v>
      </c>
      <c r="J805" s="229" t="s">
        <v>7822</v>
      </c>
      <c r="K805" s="229" t="s">
        <v>7825</v>
      </c>
      <c r="BB805"/>
    </row>
    <row r="806" spans="1:54" x14ac:dyDescent="0.25">
      <c r="A806" s="208" t="str">
        <f t="shared" si="12"/>
        <v>EPS</v>
      </c>
      <c r="B806" s="201" t="s">
        <v>324</v>
      </c>
      <c r="C806" t="s">
        <v>7826</v>
      </c>
      <c r="D806" s="201" t="s">
        <v>7826</v>
      </c>
      <c r="E806" t="s">
        <v>7827</v>
      </c>
      <c r="F806" t="s">
        <v>324</v>
      </c>
      <c r="G806" t="s">
        <v>7828</v>
      </c>
      <c r="H806" t="s">
        <v>7829</v>
      </c>
      <c r="I806" t="s">
        <v>7830</v>
      </c>
      <c r="J806" t="s">
        <v>7831</v>
      </c>
      <c r="K806" t="s">
        <v>7832</v>
      </c>
      <c r="BB806"/>
    </row>
    <row r="807" spans="1:54" x14ac:dyDescent="0.25">
      <c r="A807" s="208" t="str">
        <f t="shared" si="12"/>
        <v>COMPARABLE COMPANY ANALYSIS</v>
      </c>
      <c r="B807" s="201" t="s">
        <v>424</v>
      </c>
      <c r="C807" s="201" t="s">
        <v>7763</v>
      </c>
      <c r="D807" s="201" t="s">
        <v>7763</v>
      </c>
      <c r="E807" s="201" t="s">
        <v>7764</v>
      </c>
      <c r="F807" s="201" t="s">
        <v>7765</v>
      </c>
      <c r="G807" s="201" t="s">
        <v>7766</v>
      </c>
      <c r="H807" s="201" t="s">
        <v>7767</v>
      </c>
      <c r="I807" s="201" t="s">
        <v>7768</v>
      </c>
      <c r="J807" s="201" t="s">
        <v>7769</v>
      </c>
      <c r="K807" s="201" t="s">
        <v>7770</v>
      </c>
      <c r="BB807"/>
    </row>
    <row r="808" spans="1:54" x14ac:dyDescent="0.25">
      <c r="A808" s="208" t="str">
        <f t="shared" si="12"/>
        <v>Total Debt/</v>
      </c>
      <c r="B808" s="201" t="s">
        <v>325</v>
      </c>
      <c r="C808" s="229" t="s">
        <v>8296</v>
      </c>
      <c r="D808" s="244" t="s">
        <v>8297</v>
      </c>
      <c r="E808" s="229" t="s">
        <v>7771</v>
      </c>
      <c r="F808" s="229" t="s">
        <v>7775</v>
      </c>
      <c r="G808" s="229" t="s">
        <v>7776</v>
      </c>
      <c r="H808" s="230" t="s">
        <v>7772</v>
      </c>
      <c r="I808" s="229" t="s">
        <v>7773</v>
      </c>
      <c r="J808" s="229" t="s">
        <v>7774</v>
      </c>
      <c r="K808" s="229" t="s">
        <v>7777</v>
      </c>
      <c r="BB808"/>
    </row>
    <row r="809" spans="1:54" x14ac:dyDescent="0.25">
      <c r="A809" s="208" t="str">
        <f t="shared" si="12"/>
        <v>LTM EBITDA</v>
      </c>
      <c r="B809" s="201" t="s">
        <v>353</v>
      </c>
      <c r="C809" s="201" t="s">
        <v>7778</v>
      </c>
      <c r="D809" s="201" t="s">
        <v>7779</v>
      </c>
      <c r="E809" s="201" t="s">
        <v>7780</v>
      </c>
      <c r="F809" s="201" t="s">
        <v>7781</v>
      </c>
      <c r="G809" s="201" t="s">
        <v>353</v>
      </c>
      <c r="H809" s="201" t="s">
        <v>353</v>
      </c>
      <c r="I809" s="201" t="s">
        <v>7782</v>
      </c>
      <c r="J809" s="201" t="s">
        <v>7783</v>
      </c>
      <c r="K809" s="201" t="s">
        <v>353</v>
      </c>
      <c r="BB809"/>
    </row>
    <row r="810" spans="1:54" x14ac:dyDescent="0.25">
      <c r="A810" s="208" t="str">
        <f t="shared" si="12"/>
        <v>Net Debt/</v>
      </c>
      <c r="B810" s="201" t="s">
        <v>326</v>
      </c>
      <c r="C810" s="229" t="s">
        <v>8298</v>
      </c>
      <c r="D810" s="229" t="s">
        <v>8299</v>
      </c>
      <c r="E810" s="229" t="s">
        <v>4711</v>
      </c>
      <c r="F810" s="229" t="s">
        <v>8300</v>
      </c>
      <c r="G810" s="229" t="s">
        <v>4806</v>
      </c>
      <c r="H810" s="230" t="s">
        <v>4756</v>
      </c>
      <c r="I810" s="229" t="s">
        <v>4757</v>
      </c>
      <c r="J810" s="229" t="s">
        <v>4758</v>
      </c>
      <c r="K810" s="229" t="s">
        <v>4832</v>
      </c>
      <c r="BB810"/>
    </row>
    <row r="811" spans="1:54" x14ac:dyDescent="0.25">
      <c r="A811" s="208" t="str">
        <f t="shared" si="12"/>
        <v>(Debt+Pref)/</v>
      </c>
      <c r="B811" s="201" t="s">
        <v>327</v>
      </c>
      <c r="C811" s="229" t="s">
        <v>4712</v>
      </c>
      <c r="D811" s="229" t="s">
        <v>4713</v>
      </c>
      <c r="E811" s="229" t="s">
        <v>4714</v>
      </c>
      <c r="F811" s="229" t="s">
        <v>4807</v>
      </c>
      <c r="G811" s="229" t="s">
        <v>4808</v>
      </c>
      <c r="H811" s="230" t="s">
        <v>4759</v>
      </c>
      <c r="I811" s="229" t="s">
        <v>4760</v>
      </c>
      <c r="J811" s="229" t="s">
        <v>4761</v>
      </c>
      <c r="K811" s="229" t="s">
        <v>4833</v>
      </c>
      <c r="BB811"/>
    </row>
    <row r="812" spans="1:54" x14ac:dyDescent="0.25">
      <c r="A812" s="208" t="str">
        <f t="shared" si="12"/>
        <v>EBITDA/</v>
      </c>
      <c r="B812" s="201" t="s">
        <v>328</v>
      </c>
      <c r="C812" s="229" t="s">
        <v>4715</v>
      </c>
      <c r="D812" s="229" t="s">
        <v>4716</v>
      </c>
      <c r="E812" s="229" t="s">
        <v>328</v>
      </c>
      <c r="F812" s="229" t="s">
        <v>328</v>
      </c>
      <c r="G812" s="229" t="s">
        <v>328</v>
      </c>
      <c r="H812" s="230" t="s">
        <v>4762</v>
      </c>
      <c r="I812" s="229" t="s">
        <v>328</v>
      </c>
      <c r="J812" s="229" t="s">
        <v>4762</v>
      </c>
      <c r="K812" s="229" t="s">
        <v>328</v>
      </c>
      <c r="BB812"/>
    </row>
    <row r="813" spans="1:54" x14ac:dyDescent="0.25">
      <c r="A813" s="208" t="str">
        <f t="shared" si="12"/>
        <v>Interest</v>
      </c>
      <c r="B813" s="201" t="s">
        <v>354</v>
      </c>
      <c r="C813" s="229" t="s">
        <v>4717</v>
      </c>
      <c r="D813" s="229" t="s">
        <v>4717</v>
      </c>
      <c r="E813" s="229" t="s">
        <v>4718</v>
      </c>
      <c r="F813" s="229" t="s">
        <v>4809</v>
      </c>
      <c r="G813" s="229" t="s">
        <v>4810</v>
      </c>
      <c r="H813" s="230" t="s">
        <v>4763</v>
      </c>
      <c r="I813" s="229" t="s">
        <v>4764</v>
      </c>
      <c r="J813" s="229" t="s">
        <v>4765</v>
      </c>
      <c r="K813" s="229" t="s">
        <v>4834</v>
      </c>
      <c r="BB813"/>
    </row>
    <row r="814" spans="1:54" x14ac:dyDescent="0.25">
      <c r="A814" s="208" t="str">
        <f t="shared" si="12"/>
        <v>(EBITDA-Capex)/</v>
      </c>
      <c r="B814" s="201" t="s">
        <v>329</v>
      </c>
      <c r="C814" s="229" t="s">
        <v>4719</v>
      </c>
      <c r="D814" s="229" t="s">
        <v>4720</v>
      </c>
      <c r="E814" s="229" t="s">
        <v>329</v>
      </c>
      <c r="F814" s="229" t="s">
        <v>329</v>
      </c>
      <c r="G814" s="229" t="s">
        <v>329</v>
      </c>
      <c r="H814" s="230" t="s">
        <v>4766</v>
      </c>
      <c r="I814" s="229" t="s">
        <v>329</v>
      </c>
      <c r="J814" s="229" t="s">
        <v>4767</v>
      </c>
      <c r="K814" s="229" t="s">
        <v>329</v>
      </c>
      <c r="BB814"/>
    </row>
    <row r="815" spans="1:54" x14ac:dyDescent="0.25">
      <c r="A815" s="208" t="str">
        <f t="shared" si="12"/>
        <v>Total Equity (%)</v>
      </c>
      <c r="B815" s="201" t="s">
        <v>355</v>
      </c>
      <c r="C815" s="229" t="s">
        <v>4721</v>
      </c>
      <c r="D815" s="229" t="s">
        <v>4722</v>
      </c>
      <c r="E815" s="229" t="s">
        <v>4723</v>
      </c>
      <c r="F815" s="229" t="s">
        <v>4811</v>
      </c>
      <c r="G815" s="229" t="s">
        <v>4812</v>
      </c>
      <c r="H815" s="230" t="s">
        <v>4768</v>
      </c>
      <c r="I815" s="229" t="s">
        <v>4769</v>
      </c>
      <c r="J815" s="229" t="s">
        <v>4770</v>
      </c>
      <c r="K815" s="229" t="s">
        <v>4835</v>
      </c>
      <c r="BB815"/>
    </row>
    <row r="816" spans="1:54" x14ac:dyDescent="0.25">
      <c r="A816" s="208" t="str">
        <f t="shared" si="12"/>
        <v>Total Cap. (%)</v>
      </c>
      <c r="B816" s="201" t="s">
        <v>356</v>
      </c>
      <c r="C816" s="229" t="s">
        <v>4724</v>
      </c>
      <c r="D816" s="229" t="s">
        <v>4725</v>
      </c>
      <c r="E816" s="229" t="s">
        <v>356</v>
      </c>
      <c r="F816" s="229" t="s">
        <v>4813</v>
      </c>
      <c r="G816" s="229" t="s">
        <v>4814</v>
      </c>
      <c r="H816" s="230" t="s">
        <v>4771</v>
      </c>
      <c r="I816" s="229" t="s">
        <v>4772</v>
      </c>
      <c r="J816" s="229" t="s">
        <v>4773</v>
      </c>
      <c r="K816" s="229" t="s">
        <v>4836</v>
      </c>
      <c r="BB816"/>
    </row>
    <row r="817" spans="1:54" x14ac:dyDescent="0.25">
      <c r="A817" s="208" t="str">
        <f t="shared" si="12"/>
        <v>Leverage and Coverage</v>
      </c>
      <c r="B817" s="201" t="s">
        <v>314</v>
      </c>
      <c r="C817" s="229" t="s">
        <v>4726</v>
      </c>
      <c r="D817" s="229" t="s">
        <v>4727</v>
      </c>
      <c r="E817" s="229" t="s">
        <v>4728</v>
      </c>
      <c r="F817" s="229" t="s">
        <v>4815</v>
      </c>
      <c r="G817" s="229" t="s">
        <v>4816</v>
      </c>
      <c r="H817" s="230" t="s">
        <v>4774</v>
      </c>
      <c r="I817" s="229" t="s">
        <v>4775</v>
      </c>
      <c r="J817" s="229" t="s">
        <v>4776</v>
      </c>
      <c r="K817" s="229" t="s">
        <v>4837</v>
      </c>
      <c r="BB817"/>
    </row>
    <row r="818" spans="1:54" x14ac:dyDescent="0.25">
      <c r="A818" s="208" t="str">
        <f t="shared" si="12"/>
        <v>LTM Profitability (%)</v>
      </c>
      <c r="B818" s="201" t="s">
        <v>315</v>
      </c>
      <c r="C818" s="229" t="s">
        <v>4729</v>
      </c>
      <c r="D818" s="229" t="s">
        <v>4730</v>
      </c>
      <c r="E818" s="229" t="s">
        <v>4731</v>
      </c>
      <c r="F818" s="229" t="s">
        <v>4817</v>
      </c>
      <c r="G818" s="229" t="s">
        <v>4818</v>
      </c>
      <c r="H818" s="230" t="s">
        <v>4777</v>
      </c>
      <c r="I818" s="229" t="s">
        <v>4778</v>
      </c>
      <c r="J818" s="229" t="s">
        <v>4779</v>
      </c>
      <c r="K818" s="229" t="s">
        <v>4838</v>
      </c>
      <c r="BB818"/>
    </row>
    <row r="819" spans="1:54" x14ac:dyDescent="0.25">
      <c r="A819" s="208" t="str">
        <f t="shared" si="12"/>
        <v>ROE</v>
      </c>
      <c r="B819" s="201" t="s">
        <v>357</v>
      </c>
      <c r="C819" s="229" t="s">
        <v>4732</v>
      </c>
      <c r="D819" s="229" t="s">
        <v>4733</v>
      </c>
      <c r="E819" s="229" t="s">
        <v>357</v>
      </c>
      <c r="F819" s="229" t="s">
        <v>357</v>
      </c>
      <c r="G819" s="229" t="s">
        <v>357</v>
      </c>
      <c r="H819" s="230" t="s">
        <v>4780</v>
      </c>
      <c r="I819" s="229" t="s">
        <v>357</v>
      </c>
      <c r="J819" s="229" t="s">
        <v>4781</v>
      </c>
      <c r="K819" s="229" t="s">
        <v>357</v>
      </c>
      <c r="BB819"/>
    </row>
    <row r="820" spans="1:54" x14ac:dyDescent="0.25">
      <c r="A820" s="208" t="str">
        <f t="shared" si="12"/>
        <v>ROA</v>
      </c>
      <c r="B820" s="201" t="s">
        <v>358</v>
      </c>
      <c r="C820" s="229" t="s">
        <v>4734</v>
      </c>
      <c r="D820" s="229" t="s">
        <v>4735</v>
      </c>
      <c r="E820" s="229" t="s">
        <v>358</v>
      </c>
      <c r="F820" s="229" t="s">
        <v>358</v>
      </c>
      <c r="G820" s="229" t="s">
        <v>358</v>
      </c>
      <c r="H820" s="230" t="s">
        <v>4782</v>
      </c>
      <c r="I820" s="229" t="s">
        <v>358</v>
      </c>
      <c r="J820" s="229" t="s">
        <v>4783</v>
      </c>
      <c r="K820" s="229" t="s">
        <v>358</v>
      </c>
      <c r="BB820"/>
    </row>
    <row r="821" spans="1:54" x14ac:dyDescent="0.25">
      <c r="A821" s="208" t="str">
        <f t="shared" si="12"/>
        <v>ROIC</v>
      </c>
      <c r="B821" s="201" t="s">
        <v>359</v>
      </c>
      <c r="C821" s="229" t="s">
        <v>4736</v>
      </c>
      <c r="D821" s="229" t="s">
        <v>4737</v>
      </c>
      <c r="E821" s="229" t="s">
        <v>359</v>
      </c>
      <c r="F821" s="229" t="s">
        <v>359</v>
      </c>
      <c r="G821" s="229" t="s">
        <v>359</v>
      </c>
      <c r="H821" s="230" t="s">
        <v>4784</v>
      </c>
      <c r="I821" s="229" t="s">
        <v>359</v>
      </c>
      <c r="J821" s="229" t="s">
        <v>4785</v>
      </c>
      <c r="K821" s="229" t="s">
        <v>359</v>
      </c>
      <c r="BB821"/>
    </row>
    <row r="822" spans="1:54" x14ac:dyDescent="0.25">
      <c r="A822" s="208" t="str">
        <f t="shared" si="12"/>
        <v>Ratio</v>
      </c>
      <c r="B822" s="201" t="s">
        <v>360</v>
      </c>
      <c r="C822" s="229" t="s">
        <v>4738</v>
      </c>
      <c r="D822" s="229" t="s">
        <v>4738</v>
      </c>
      <c r="E822" s="229" t="s">
        <v>360</v>
      </c>
      <c r="F822" s="229" t="s">
        <v>4819</v>
      </c>
      <c r="G822" s="229" t="s">
        <v>4820</v>
      </c>
      <c r="H822" s="230" t="s">
        <v>4738</v>
      </c>
      <c r="I822" s="229" t="s">
        <v>4786</v>
      </c>
      <c r="J822" s="229" t="s">
        <v>4787</v>
      </c>
      <c r="K822" s="229" t="s">
        <v>4839</v>
      </c>
      <c r="BB822"/>
    </row>
    <row r="823" spans="1:54" x14ac:dyDescent="0.25">
      <c r="A823" s="208" t="str">
        <f t="shared" si="12"/>
        <v>Quick</v>
      </c>
      <c r="B823" s="201" t="s">
        <v>331</v>
      </c>
      <c r="C823" s="229" t="s">
        <v>4739</v>
      </c>
      <c r="D823" s="229" t="s">
        <v>4740</v>
      </c>
      <c r="E823" s="229" t="s">
        <v>4741</v>
      </c>
      <c r="F823" s="229" t="s">
        <v>4821</v>
      </c>
      <c r="G823" s="229" t="s">
        <v>4822</v>
      </c>
      <c r="H823" s="230" t="s">
        <v>4788</v>
      </c>
      <c r="I823" s="229" t="s">
        <v>4789</v>
      </c>
      <c r="J823" s="229" t="s">
        <v>4790</v>
      </c>
      <c r="K823" s="229" t="s">
        <v>4840</v>
      </c>
      <c r="BB823"/>
    </row>
    <row r="824" spans="1:54" x14ac:dyDescent="0.25">
      <c r="A824" s="208" t="str">
        <f t="shared" si="12"/>
        <v>Avg.</v>
      </c>
      <c r="B824" s="201" t="s">
        <v>332</v>
      </c>
      <c r="C824" s="229" t="s">
        <v>4742</v>
      </c>
      <c r="D824" s="229" t="s">
        <v>4742</v>
      </c>
      <c r="E824" s="229" t="s">
        <v>4743</v>
      </c>
      <c r="F824" s="229" t="s">
        <v>4823</v>
      </c>
      <c r="G824" s="229" t="s">
        <v>4792</v>
      </c>
      <c r="H824" s="230" t="s">
        <v>4742</v>
      </c>
      <c r="I824" s="229" t="s">
        <v>4791</v>
      </c>
      <c r="J824" s="229" t="s">
        <v>4792</v>
      </c>
      <c r="K824" s="229" t="s">
        <v>4841</v>
      </c>
      <c r="BB824"/>
    </row>
    <row r="825" spans="1:54" x14ac:dyDescent="0.25">
      <c r="A825" s="208" t="str">
        <f t="shared" si="12"/>
        <v>Days Sales Out.</v>
      </c>
      <c r="B825" s="201" t="s">
        <v>361</v>
      </c>
      <c r="C825" s="229" t="s">
        <v>4744</v>
      </c>
      <c r="D825" s="229" t="s">
        <v>4745</v>
      </c>
      <c r="E825" s="229" t="s">
        <v>4746</v>
      </c>
      <c r="F825" s="229" t="s">
        <v>4824</v>
      </c>
      <c r="G825" s="229" t="s">
        <v>4825</v>
      </c>
      <c r="H825" t="s">
        <v>4793</v>
      </c>
      <c r="I825" s="229" t="s">
        <v>4794</v>
      </c>
      <c r="J825" s="229" t="s">
        <v>4795</v>
      </c>
      <c r="K825" s="229" t="s">
        <v>4842</v>
      </c>
      <c r="BB825"/>
    </row>
    <row r="826" spans="1:54" x14ac:dyDescent="0.25">
      <c r="A826" s="208" t="str">
        <f t="shared" si="12"/>
        <v>Days Inv. Out.</v>
      </c>
      <c r="B826" s="201" t="s">
        <v>362</v>
      </c>
      <c r="C826" s="229" t="s">
        <v>4747</v>
      </c>
      <c r="D826" s="229" t="s">
        <v>4748</v>
      </c>
      <c r="E826" s="229" t="s">
        <v>4749</v>
      </c>
      <c r="F826" s="229" t="s">
        <v>4826</v>
      </c>
      <c r="G826" s="229" t="s">
        <v>4827</v>
      </c>
      <c r="H826" t="s">
        <v>4796</v>
      </c>
      <c r="I826" s="229" t="s">
        <v>4797</v>
      </c>
      <c r="J826" s="229" t="s">
        <v>4798</v>
      </c>
      <c r="K826" s="229" t="s">
        <v>4843</v>
      </c>
      <c r="BB826"/>
    </row>
    <row r="827" spans="1:54" x14ac:dyDescent="0.25">
      <c r="A827" s="208" t="str">
        <f t="shared" si="12"/>
        <v>Days Payable Out.</v>
      </c>
      <c r="B827" s="201" t="s">
        <v>363</v>
      </c>
      <c r="C827" s="229" t="s">
        <v>4750</v>
      </c>
      <c r="D827" s="229" t="s">
        <v>4751</v>
      </c>
      <c r="E827" s="229" t="s">
        <v>4752</v>
      </c>
      <c r="F827" s="229" t="s">
        <v>4828</v>
      </c>
      <c r="G827" s="229" t="s">
        <v>4829</v>
      </c>
      <c r="H827" t="s">
        <v>4799</v>
      </c>
      <c r="I827" s="229" t="s">
        <v>4800</v>
      </c>
      <c r="J827" s="229" t="s">
        <v>4801</v>
      </c>
      <c r="K827" s="229" t="s">
        <v>4844</v>
      </c>
      <c r="BB827"/>
    </row>
    <row r="828" spans="1:54" x14ac:dyDescent="0.25">
      <c r="A828" s="208" t="str">
        <f t="shared" si="12"/>
        <v>Cash Conv. Cycle</v>
      </c>
      <c r="B828" s="201" t="s">
        <v>364</v>
      </c>
      <c r="C828" s="229" t="s">
        <v>4753</v>
      </c>
      <c r="D828" s="229" t="s">
        <v>4754</v>
      </c>
      <c r="E828" s="229" t="s">
        <v>4755</v>
      </c>
      <c r="F828" s="229" t="s">
        <v>4830</v>
      </c>
      <c r="G828" s="229" t="s">
        <v>4831</v>
      </c>
      <c r="H828" t="s">
        <v>4802</v>
      </c>
      <c r="I828" s="229" t="s">
        <v>4803</v>
      </c>
      <c r="J828" s="229" t="s">
        <v>4804</v>
      </c>
      <c r="K828" s="229" t="s">
        <v>4845</v>
      </c>
      <c r="BB828"/>
    </row>
    <row r="829" spans="1:54" x14ac:dyDescent="0.25">
      <c r="A829" s="208" t="str">
        <f t="shared" si="12"/>
        <v>Fixed Assets</v>
      </c>
      <c r="B829" s="201" t="s">
        <v>366</v>
      </c>
      <c r="C829" s="229" t="s">
        <v>7655</v>
      </c>
      <c r="D829" s="201" t="s">
        <v>7656</v>
      </c>
      <c r="E829" s="201" t="s">
        <v>7657</v>
      </c>
      <c r="F829" s="201" t="s">
        <v>7658</v>
      </c>
      <c r="G829" s="201" t="s">
        <v>7659</v>
      </c>
      <c r="H829" s="201" t="s">
        <v>7660</v>
      </c>
      <c r="I829" s="201" t="s">
        <v>7661</v>
      </c>
      <c r="J829" s="201" t="s">
        <v>7662</v>
      </c>
      <c r="K829" s="201" t="s">
        <v>7663</v>
      </c>
      <c r="BB829"/>
    </row>
    <row r="830" spans="1:54" x14ac:dyDescent="0.25">
      <c r="A830" s="208" t="str">
        <f t="shared" si="12"/>
        <v>A/R</v>
      </c>
      <c r="B830" s="201" t="s">
        <v>367</v>
      </c>
      <c r="C830" s="229" t="s">
        <v>7693</v>
      </c>
      <c r="D830" s="201" t="s">
        <v>7694</v>
      </c>
      <c r="E830" s="201" t="s">
        <v>7695</v>
      </c>
      <c r="F830" s="201" t="s">
        <v>7697</v>
      </c>
      <c r="G830" s="201" t="s">
        <v>367</v>
      </c>
      <c r="H830" s="201" t="s">
        <v>6507</v>
      </c>
      <c r="I830" s="201" t="s">
        <v>7696</v>
      </c>
      <c r="J830" s="201" t="s">
        <v>6509</v>
      </c>
      <c r="K830" s="201" t="s">
        <v>367</v>
      </c>
      <c r="BB830"/>
    </row>
    <row r="831" spans="1:54" x14ac:dyDescent="0.25">
      <c r="A831" s="208" t="str">
        <f t="shared" si="12"/>
        <v>Max</v>
      </c>
      <c r="B831" s="201" t="s">
        <v>368</v>
      </c>
      <c r="C831" s="229" t="s">
        <v>7664</v>
      </c>
      <c r="D831" s="201" t="s">
        <v>7664</v>
      </c>
      <c r="E831" s="201" t="s">
        <v>368</v>
      </c>
      <c r="F831" s="201" t="s">
        <v>368</v>
      </c>
      <c r="G831" s="201" t="s">
        <v>368</v>
      </c>
      <c r="H831" s="201" t="s">
        <v>7665</v>
      </c>
      <c r="I831" s="201" t="s">
        <v>7666</v>
      </c>
      <c r="J831" s="201" t="s">
        <v>368</v>
      </c>
      <c r="K831" s="201" t="s">
        <v>7667</v>
      </c>
      <c r="BB831"/>
    </row>
    <row r="832" spans="1:54" x14ac:dyDescent="0.25">
      <c r="A832" s="208" t="str">
        <f t="shared" si="12"/>
        <v>Median</v>
      </c>
      <c r="B832" s="201" t="s">
        <v>403</v>
      </c>
      <c r="C832" s="229" t="s">
        <v>7668</v>
      </c>
      <c r="D832" s="201" t="s">
        <v>7669</v>
      </c>
      <c r="E832" s="201" t="s">
        <v>7670</v>
      </c>
      <c r="F832" s="201" t="s">
        <v>403</v>
      </c>
      <c r="G832" s="201" t="s">
        <v>7671</v>
      </c>
      <c r="H832" s="201" t="s">
        <v>7672</v>
      </c>
      <c r="I832" s="201" t="s">
        <v>7673</v>
      </c>
      <c r="J832" s="201" t="s">
        <v>7671</v>
      </c>
      <c r="K832" s="201" t="s">
        <v>7674</v>
      </c>
      <c r="BB832"/>
    </row>
    <row r="833" spans="1:54" x14ac:dyDescent="0.25">
      <c r="A833" s="208" t="str">
        <f t="shared" si="12"/>
        <v>Min</v>
      </c>
      <c r="B833" s="201" t="s">
        <v>369</v>
      </c>
      <c r="C833" s="229" t="s">
        <v>7751</v>
      </c>
      <c r="D833" s="201" t="s">
        <v>7751</v>
      </c>
      <c r="E833" s="201" t="s">
        <v>7752</v>
      </c>
      <c r="F833" s="201" t="s">
        <v>369</v>
      </c>
      <c r="G833" s="201" t="s">
        <v>369</v>
      </c>
      <c r="H833" s="201" t="s">
        <v>7754</v>
      </c>
      <c r="I833" s="201" t="s">
        <v>7755</v>
      </c>
      <c r="J833" s="201" t="s">
        <v>7756</v>
      </c>
      <c r="K833" s="201" t="s">
        <v>7762</v>
      </c>
      <c r="BB833"/>
    </row>
    <row r="834" spans="1:54" x14ac:dyDescent="0.25">
      <c r="A834" s="208" t="str">
        <f t="shared" si="12"/>
        <v>Mean</v>
      </c>
      <c r="B834" s="201" t="s">
        <v>370</v>
      </c>
      <c r="C834" s="201" t="s">
        <v>4742</v>
      </c>
      <c r="D834" s="201" t="s">
        <v>4742</v>
      </c>
      <c r="E834" s="201" t="s">
        <v>7753</v>
      </c>
      <c r="F834" s="201" t="s">
        <v>7760</v>
      </c>
      <c r="G834" s="201" t="s">
        <v>7761</v>
      </c>
      <c r="H834" s="201" t="s">
        <v>7757</v>
      </c>
      <c r="I834" s="201" t="s">
        <v>7758</v>
      </c>
      <c r="J834" s="201" t="s">
        <v>7759</v>
      </c>
      <c r="K834" s="201" t="s">
        <v>4841</v>
      </c>
      <c r="BB834"/>
    </row>
    <row r="835" spans="1:54" x14ac:dyDescent="0.25">
      <c r="A835" s="208" t="str">
        <f t="shared" si="12"/>
        <v>Trading Data and Size</v>
      </c>
      <c r="B835" s="201" t="s">
        <v>383</v>
      </c>
      <c r="C835" s="201" t="s">
        <v>7675</v>
      </c>
      <c r="D835" s="201" t="s">
        <v>7676</v>
      </c>
      <c r="E835" s="201" t="s">
        <v>7677</v>
      </c>
      <c r="F835" s="201" t="s">
        <v>7687</v>
      </c>
      <c r="G835" s="201" t="s">
        <v>7688</v>
      </c>
      <c r="H835" s="201" t="s">
        <v>7681</v>
      </c>
      <c r="I835" s="201" t="s">
        <v>7682</v>
      </c>
      <c r="J835" s="201" t="s">
        <v>7683</v>
      </c>
      <c r="K835" s="201" t="s">
        <v>7691</v>
      </c>
      <c r="BB835"/>
    </row>
    <row r="836" spans="1:54" x14ac:dyDescent="0.25">
      <c r="A836" s="208" t="str">
        <f t="shared" si="12"/>
        <v>Current as % of 52-Week (%)</v>
      </c>
      <c r="B836" s="201" t="s">
        <v>398</v>
      </c>
      <c r="C836" s="201" t="s">
        <v>7678</v>
      </c>
      <c r="D836" s="201" t="s">
        <v>7679</v>
      </c>
      <c r="E836" s="201" t="s">
        <v>7680</v>
      </c>
      <c r="F836" s="201" t="s">
        <v>7689</v>
      </c>
      <c r="G836" s="201" t="s">
        <v>7690</v>
      </c>
      <c r="H836" s="201" t="s">
        <v>7684</v>
      </c>
      <c r="I836" s="201" t="s">
        <v>7685</v>
      </c>
      <c r="J836" s="201" t="s">
        <v>7686</v>
      </c>
      <c r="K836" s="201" t="s">
        <v>7692</v>
      </c>
      <c r="BB836"/>
    </row>
    <row r="837" spans="1:54" x14ac:dyDescent="0.25">
      <c r="A837" s="208" t="str">
        <f t="shared" si="12"/>
        <v>Shares</v>
      </c>
      <c r="B837" s="201" t="s">
        <v>379</v>
      </c>
      <c r="C837" s="201" t="s">
        <v>7744</v>
      </c>
      <c r="D837" s="201" t="s">
        <v>7744</v>
      </c>
      <c r="E837" s="201" t="s">
        <v>7745</v>
      </c>
      <c r="F837" s="201" t="s">
        <v>7746</v>
      </c>
      <c r="G837" s="201" t="s">
        <v>7747</v>
      </c>
      <c r="H837" s="201" t="s">
        <v>4693</v>
      </c>
      <c r="I837" s="201" t="s">
        <v>7748</v>
      </c>
      <c r="J837" s="201" t="s">
        <v>7749</v>
      </c>
      <c r="K837" s="201" t="s">
        <v>7750</v>
      </c>
      <c r="BB837"/>
    </row>
    <row r="838" spans="1:54" x14ac:dyDescent="0.25">
      <c r="A838" s="208" t="str">
        <f t="shared" si="12"/>
        <v>Out.</v>
      </c>
      <c r="B838" s="201" t="s">
        <v>384</v>
      </c>
      <c r="C838" s="201" t="s">
        <v>7698</v>
      </c>
      <c r="D838" s="201" t="s">
        <v>7699</v>
      </c>
      <c r="E838" s="201" t="s">
        <v>7700</v>
      </c>
      <c r="F838" s="201" t="s">
        <v>7719</v>
      </c>
      <c r="G838" s="201" t="s">
        <v>7720</v>
      </c>
      <c r="H838" s="201" t="s">
        <v>7708</v>
      </c>
      <c r="I838" s="201" t="s">
        <v>7709</v>
      </c>
      <c r="J838" s="201" t="s">
        <v>7710</v>
      </c>
      <c r="K838" s="201" t="s">
        <v>7726</v>
      </c>
      <c r="BB838"/>
    </row>
    <row r="839" spans="1:54" x14ac:dyDescent="0.25">
      <c r="A839" s="208" t="str">
        <f t="shared" si="12"/>
        <v>Market</v>
      </c>
      <c r="B839" s="201" t="s">
        <v>380</v>
      </c>
      <c r="C839" s="201" t="s">
        <v>7701</v>
      </c>
      <c r="D839" s="201" t="s">
        <v>7701</v>
      </c>
      <c r="E839" s="201" t="s">
        <v>7702</v>
      </c>
      <c r="F839" s="201" t="s">
        <v>7721</v>
      </c>
      <c r="G839" s="201" t="s">
        <v>7722</v>
      </c>
      <c r="H839" s="201" t="s">
        <v>7711</v>
      </c>
      <c r="I839" s="201" t="s">
        <v>7712</v>
      </c>
      <c r="J839" s="201" t="s">
        <v>7713</v>
      </c>
      <c r="K839" s="201" t="s">
        <v>7727</v>
      </c>
      <c r="BB839"/>
    </row>
    <row r="840" spans="1:54" x14ac:dyDescent="0.25">
      <c r="A840" s="208" t="str">
        <f t="shared" si="12"/>
        <v>Cap</v>
      </c>
      <c r="B840" s="201" t="s">
        <v>385</v>
      </c>
      <c r="C840" s="201" t="s">
        <v>7703</v>
      </c>
      <c r="D840" s="201" t="s">
        <v>7703</v>
      </c>
      <c r="E840" s="201" t="s">
        <v>7704</v>
      </c>
      <c r="F840" s="201" t="s">
        <v>7723</v>
      </c>
      <c r="G840" s="201" t="s">
        <v>7724</v>
      </c>
      <c r="H840" s="201" t="s">
        <v>7714</v>
      </c>
      <c r="I840" s="201" t="s">
        <v>7715</v>
      </c>
      <c r="J840" s="201" t="s">
        <v>7716</v>
      </c>
      <c r="K840" s="201" t="s">
        <v>7528</v>
      </c>
      <c r="BB840"/>
    </row>
    <row r="841" spans="1:54" x14ac:dyDescent="0.25">
      <c r="A841" s="208" t="str">
        <f t="shared" ref="A841:A873" si="13">INDEX($B841:$CV841,$A$4)</f>
        <v>Enterprise</v>
      </c>
      <c r="B841" s="201" t="s">
        <v>381</v>
      </c>
      <c r="C841" s="201" t="s">
        <v>7705</v>
      </c>
      <c r="D841" s="201" t="s">
        <v>7706</v>
      </c>
      <c r="E841" s="201" t="s">
        <v>7707</v>
      </c>
      <c r="F841" s="201" t="s">
        <v>7725</v>
      </c>
      <c r="G841" s="201" t="s">
        <v>381</v>
      </c>
      <c r="H841" s="201" t="s">
        <v>7706</v>
      </c>
      <c r="I841" s="201" t="s">
        <v>7717</v>
      </c>
      <c r="J841" s="201" t="s">
        <v>7718</v>
      </c>
      <c r="K841" s="201" t="s">
        <v>7728</v>
      </c>
      <c r="BB841"/>
    </row>
    <row r="842" spans="1:54" x14ac:dyDescent="0.25">
      <c r="A842" s="208" t="str">
        <f t="shared" si="13"/>
        <v>Value</v>
      </c>
      <c r="B842" s="201" t="s">
        <v>386</v>
      </c>
      <c r="C842" s="201" t="s">
        <v>7729</v>
      </c>
      <c r="D842" s="201" t="s">
        <v>7730</v>
      </c>
      <c r="E842" s="201" t="s">
        <v>7731</v>
      </c>
      <c r="F842" s="201" t="s">
        <v>7732</v>
      </c>
      <c r="G842" s="201" t="s">
        <v>7733</v>
      </c>
      <c r="H842" s="201" t="s">
        <v>7734</v>
      </c>
      <c r="I842" s="201" t="s">
        <v>7735</v>
      </c>
      <c r="J842" s="201" t="s">
        <v>7736</v>
      </c>
      <c r="K842" s="201" t="s">
        <v>7737</v>
      </c>
      <c r="BB842"/>
    </row>
    <row r="843" spans="1:54" x14ac:dyDescent="0.25">
      <c r="A843" s="208" t="str">
        <f t="shared" si="13"/>
        <v>Leverage and Trading Multiples</v>
      </c>
      <c r="B843" s="201" t="s">
        <v>387</v>
      </c>
      <c r="C843" s="229" t="s">
        <v>4846</v>
      </c>
      <c r="D843" s="229" t="s">
        <v>4847</v>
      </c>
      <c r="E843" s="229" t="s">
        <v>4848</v>
      </c>
      <c r="F843" s="229" t="s">
        <v>4863</v>
      </c>
      <c r="G843" s="229" t="s">
        <v>4864</v>
      </c>
      <c r="H843" s="230" t="s">
        <v>4853</v>
      </c>
      <c r="I843" s="229" t="s">
        <v>4854</v>
      </c>
      <c r="J843" s="229" t="s">
        <v>4855</v>
      </c>
      <c r="K843" s="229" t="s">
        <v>4867</v>
      </c>
      <c r="BB843"/>
    </row>
    <row r="844" spans="1:54" x14ac:dyDescent="0.25">
      <c r="A844" s="208" t="str">
        <f t="shared" si="13"/>
        <v>(EBITDA-Capex)</v>
      </c>
      <c r="B844" s="201" t="s">
        <v>57</v>
      </c>
      <c r="C844" s="229" t="s">
        <v>4849</v>
      </c>
      <c r="D844" s="229" t="s">
        <v>4850</v>
      </c>
      <c r="E844" s="229" t="s">
        <v>57</v>
      </c>
      <c r="F844" s="229" t="s">
        <v>57</v>
      </c>
      <c r="G844" s="229" t="s">
        <v>57</v>
      </c>
      <c r="H844" s="230" t="s">
        <v>4856</v>
      </c>
      <c r="I844" s="229" t="s">
        <v>57</v>
      </c>
      <c r="J844" s="229" t="s">
        <v>4857</v>
      </c>
      <c r="K844" s="229" t="s">
        <v>57</v>
      </c>
      <c r="BB844"/>
    </row>
    <row r="845" spans="1:54" x14ac:dyDescent="0.25">
      <c r="A845" s="208" t="str">
        <f t="shared" si="13"/>
        <v>/Interest</v>
      </c>
      <c r="B845" s="201" t="s">
        <v>388</v>
      </c>
      <c r="C845" s="229" t="s">
        <v>4851</v>
      </c>
      <c r="D845" s="229" t="s">
        <v>4851</v>
      </c>
      <c r="E845" s="229" t="s">
        <v>4852</v>
      </c>
      <c r="F845" s="229" t="s">
        <v>4865</v>
      </c>
      <c r="G845" s="229" t="s">
        <v>8301</v>
      </c>
      <c r="H845" s="230" t="s">
        <v>4858</v>
      </c>
      <c r="I845" s="229" t="s">
        <v>4859</v>
      </c>
      <c r="J845" s="229" t="s">
        <v>4860</v>
      </c>
      <c r="K845" s="229" t="s">
        <v>4868</v>
      </c>
      <c r="BB845"/>
    </row>
    <row r="846" spans="1:54" x14ac:dyDescent="0.25">
      <c r="A846" s="208" t="str">
        <f t="shared" si="13"/>
        <v>Tot. Equity (%)</v>
      </c>
      <c r="B846" s="201" t="s">
        <v>404</v>
      </c>
      <c r="C846" s="229" t="s">
        <v>4721</v>
      </c>
      <c r="D846" s="229" t="s">
        <v>4722</v>
      </c>
      <c r="E846" s="229" t="s">
        <v>4723</v>
      </c>
      <c r="F846" s="229" t="s">
        <v>4811</v>
      </c>
      <c r="G846" s="229" t="s">
        <v>4866</v>
      </c>
      <c r="H846" s="230" t="s">
        <v>4768</v>
      </c>
      <c r="I846" s="229" t="s">
        <v>4769</v>
      </c>
      <c r="J846" s="229" t="s">
        <v>4861</v>
      </c>
      <c r="K846" s="229" t="s">
        <v>4835</v>
      </c>
      <c r="BB846"/>
    </row>
    <row r="847" spans="1:54" x14ac:dyDescent="0.25">
      <c r="A847" s="208" t="str">
        <f t="shared" si="13"/>
        <v>Total Cap (%)</v>
      </c>
      <c r="B847" s="201" t="s">
        <v>389</v>
      </c>
      <c r="C847" s="229" t="s">
        <v>4724</v>
      </c>
      <c r="D847" s="229" t="s">
        <v>4725</v>
      </c>
      <c r="E847" s="229" t="s">
        <v>4773</v>
      </c>
      <c r="F847" s="229" t="s">
        <v>4813</v>
      </c>
      <c r="G847" s="229" t="s">
        <v>4814</v>
      </c>
      <c r="H847" s="230" t="s">
        <v>4771</v>
      </c>
      <c r="I847" s="229" t="s">
        <v>4772</v>
      </c>
      <c r="J847" s="229" t="s">
        <v>4862</v>
      </c>
      <c r="K847" s="229" t="s">
        <v>4836</v>
      </c>
      <c r="BB847"/>
    </row>
    <row r="848" spans="1:54" x14ac:dyDescent="0.25">
      <c r="A848" s="208" t="str">
        <f t="shared" si="13"/>
        <v>TEV/Revenue</v>
      </c>
      <c r="B848" s="201" t="s">
        <v>399</v>
      </c>
      <c r="C848" s="198" t="s">
        <v>7646</v>
      </c>
      <c r="D848" s="201" t="s">
        <v>7647</v>
      </c>
      <c r="E848" s="198" t="s">
        <v>7648</v>
      </c>
      <c r="F848" s="198" t="s">
        <v>7649</v>
      </c>
      <c r="G848" s="198" t="s">
        <v>7650</v>
      </c>
      <c r="H848" s="198" t="s">
        <v>7651</v>
      </c>
      <c r="I848" s="198" t="s">
        <v>7652</v>
      </c>
      <c r="J848" s="198" t="s">
        <v>7653</v>
      </c>
      <c r="K848" s="198" t="s">
        <v>7654</v>
      </c>
      <c r="BB848"/>
    </row>
    <row r="849" spans="1:54" x14ac:dyDescent="0.25">
      <c r="A849" s="208" t="str">
        <f t="shared" si="13"/>
        <v>Operating Statistics</v>
      </c>
      <c r="B849" s="201" t="s">
        <v>394</v>
      </c>
      <c r="C849" s="229" t="s">
        <v>4869</v>
      </c>
      <c r="D849" s="229" t="s">
        <v>4870</v>
      </c>
      <c r="E849" s="229" t="s">
        <v>4871</v>
      </c>
      <c r="F849" s="229" t="s">
        <v>4898</v>
      </c>
      <c r="G849" s="229" t="s">
        <v>4899</v>
      </c>
      <c r="H849" s="230" t="s">
        <v>4884</v>
      </c>
      <c r="I849" s="229" t="s">
        <v>4885</v>
      </c>
      <c r="J849" s="229" t="s">
        <v>4886</v>
      </c>
      <c r="K849" s="229" t="s">
        <v>4908</v>
      </c>
      <c r="BB849"/>
    </row>
    <row r="850" spans="1:54" x14ac:dyDescent="0.25">
      <c r="A850" s="208" t="str">
        <f t="shared" si="13"/>
        <v>3-Year Historical CAGR (%)</v>
      </c>
      <c r="B850" s="201" t="s">
        <v>390</v>
      </c>
      <c r="C850" s="229" t="s">
        <v>4872</v>
      </c>
      <c r="D850" s="229" t="s">
        <v>4873</v>
      </c>
      <c r="E850" s="229" t="s">
        <v>4874</v>
      </c>
      <c r="F850" s="229" t="s">
        <v>4900</v>
      </c>
      <c r="G850" s="229" t="s">
        <v>4901</v>
      </c>
      <c r="H850" s="230" t="s">
        <v>4887</v>
      </c>
      <c r="I850" s="229" t="s">
        <v>4888</v>
      </c>
      <c r="J850" s="229" t="s">
        <v>4889</v>
      </c>
      <c r="K850" s="229" t="s">
        <v>4909</v>
      </c>
      <c r="BB850"/>
    </row>
    <row r="851" spans="1:54" x14ac:dyDescent="0.25">
      <c r="A851" s="208" t="str">
        <f t="shared" si="13"/>
        <v>LTM Margins (%)</v>
      </c>
      <c r="B851" s="201" t="s">
        <v>391</v>
      </c>
      <c r="C851" s="229" t="s">
        <v>4875</v>
      </c>
      <c r="D851" s="229" t="s">
        <v>4876</v>
      </c>
      <c r="E851" s="229" t="s">
        <v>4877</v>
      </c>
      <c r="F851" s="229" t="s">
        <v>4902</v>
      </c>
      <c r="G851" s="229" t="s">
        <v>4903</v>
      </c>
      <c r="H851" s="230" t="s">
        <v>4890</v>
      </c>
      <c r="I851" s="229" t="s">
        <v>4891</v>
      </c>
      <c r="J851" s="229" t="s">
        <v>4892</v>
      </c>
      <c r="K851" s="229" t="s">
        <v>4910</v>
      </c>
      <c r="BB851"/>
    </row>
    <row r="852" spans="1:54" x14ac:dyDescent="0.25">
      <c r="A852" s="208" t="str">
        <f t="shared" si="13"/>
        <v>Liquidity Ratios</v>
      </c>
      <c r="B852" s="201" t="s">
        <v>392</v>
      </c>
      <c r="C852" s="229" t="s">
        <v>4878</v>
      </c>
      <c r="D852" s="229" t="s">
        <v>4879</v>
      </c>
      <c r="E852" s="229" t="s">
        <v>4880</v>
      </c>
      <c r="F852" s="229" t="s">
        <v>4904</v>
      </c>
      <c r="G852" s="229" t="s">
        <v>4905</v>
      </c>
      <c r="H852" s="230" t="s">
        <v>4879</v>
      </c>
      <c r="I852" s="229" t="s">
        <v>4893</v>
      </c>
      <c r="J852" s="229" t="s">
        <v>4894</v>
      </c>
      <c r="K852" s="229" t="s">
        <v>4911</v>
      </c>
      <c r="BB852"/>
    </row>
    <row r="853" spans="1:54" x14ac:dyDescent="0.25">
      <c r="A853" s="208" t="str">
        <f t="shared" si="13"/>
        <v>LTM Activity</v>
      </c>
      <c r="B853" s="201" t="s">
        <v>393</v>
      </c>
      <c r="C853" s="229" t="s">
        <v>4881</v>
      </c>
      <c r="D853" s="229" t="s">
        <v>4882</v>
      </c>
      <c r="E853" s="229" t="s">
        <v>4883</v>
      </c>
      <c r="F853" s="229" t="s">
        <v>4906</v>
      </c>
      <c r="G853" s="229" t="s">
        <v>4907</v>
      </c>
      <c r="H853" s="230" t="s">
        <v>4895</v>
      </c>
      <c r="I853" s="229" t="s">
        <v>4896</v>
      </c>
      <c r="J853" s="229" t="s">
        <v>4897</v>
      </c>
      <c r="K853" s="229" t="s">
        <v>4912</v>
      </c>
      <c r="BB853"/>
    </row>
    <row r="854" spans="1:54" x14ac:dyDescent="0.25">
      <c r="A854" s="208" t="str">
        <f t="shared" si="13"/>
        <v>Revenue</v>
      </c>
      <c r="B854" s="201" t="s">
        <v>382</v>
      </c>
      <c r="C854" s="229" t="s">
        <v>5806</v>
      </c>
      <c r="D854" s="201" t="s">
        <v>5807</v>
      </c>
      <c r="E854" s="201" t="s">
        <v>7643</v>
      </c>
      <c r="F854" s="201" t="s">
        <v>5792</v>
      </c>
      <c r="G854" s="201" t="s">
        <v>5793</v>
      </c>
      <c r="H854" s="201" t="s">
        <v>5794</v>
      </c>
      <c r="I854" s="201" t="s">
        <v>7644</v>
      </c>
      <c r="J854" s="201" t="s">
        <v>5796</v>
      </c>
      <c r="K854" s="201" t="s">
        <v>7645</v>
      </c>
      <c r="BB854"/>
    </row>
    <row r="855" spans="1:54" x14ac:dyDescent="0.25">
      <c r="A855" s="208" t="str">
        <f t="shared" si="13"/>
        <v>DSO</v>
      </c>
      <c r="B855" s="201" t="s">
        <v>395</v>
      </c>
      <c r="C855" s="229" t="s">
        <v>4744</v>
      </c>
      <c r="D855" s="229" t="s">
        <v>4745</v>
      </c>
      <c r="E855" s="229" t="s">
        <v>4746</v>
      </c>
      <c r="F855" s="229" t="s">
        <v>395</v>
      </c>
      <c r="G855" s="229" t="s">
        <v>395</v>
      </c>
      <c r="H855" t="s">
        <v>4793</v>
      </c>
      <c r="I855" s="229" t="s">
        <v>4794</v>
      </c>
      <c r="J855" s="229" t="s">
        <v>4795</v>
      </c>
      <c r="K855" s="229" t="s">
        <v>395</v>
      </c>
      <c r="BB855"/>
    </row>
    <row r="856" spans="1:54" x14ac:dyDescent="0.25">
      <c r="A856" s="208" t="str">
        <f t="shared" si="13"/>
        <v>DPO</v>
      </c>
      <c r="B856" s="201" t="s">
        <v>396</v>
      </c>
      <c r="C856" s="229" t="s">
        <v>4750</v>
      </c>
      <c r="D856" s="229" t="s">
        <v>4751</v>
      </c>
      <c r="E856" s="229" t="s">
        <v>4913</v>
      </c>
      <c r="F856" s="229" t="s">
        <v>396</v>
      </c>
      <c r="G856" s="229" t="s">
        <v>396</v>
      </c>
      <c r="H856" t="s">
        <v>4799</v>
      </c>
      <c r="I856" s="229" t="s">
        <v>4797</v>
      </c>
      <c r="J856" s="229" t="s">
        <v>4801</v>
      </c>
      <c r="K856" s="229" t="s">
        <v>396</v>
      </c>
      <c r="BB856"/>
    </row>
    <row r="857" spans="1:54" x14ac:dyDescent="0.25">
      <c r="A857" s="208" t="str">
        <f t="shared" si="13"/>
        <v>DIO</v>
      </c>
      <c r="B857" s="201" t="s">
        <v>397</v>
      </c>
      <c r="C857" s="229" t="s">
        <v>4747</v>
      </c>
      <c r="D857" s="229" t="s">
        <v>4748</v>
      </c>
      <c r="E857" s="229" t="s">
        <v>4749</v>
      </c>
      <c r="F857" s="229" t="s">
        <v>397</v>
      </c>
      <c r="G857" s="229" t="s">
        <v>397</v>
      </c>
      <c r="H857" t="s">
        <v>4796</v>
      </c>
      <c r="I857" s="229" t="s">
        <v>4800</v>
      </c>
      <c r="J857" s="229" t="s">
        <v>4798</v>
      </c>
      <c r="K857" s="229" t="s">
        <v>397</v>
      </c>
      <c r="BB857"/>
    </row>
    <row r="858" spans="1:54" x14ac:dyDescent="0.25">
      <c r="A858" s="208" t="str">
        <f t="shared" si="13"/>
        <v>FY</v>
      </c>
      <c r="B858" s="201" t="s">
        <v>343</v>
      </c>
      <c r="C858" s="229" t="s">
        <v>4914</v>
      </c>
      <c r="D858" s="229" t="s">
        <v>4915</v>
      </c>
      <c r="E858" s="229" t="s">
        <v>4916</v>
      </c>
      <c r="F858" s="229" t="s">
        <v>4919</v>
      </c>
      <c r="G858" s="229" t="s">
        <v>343</v>
      </c>
      <c r="H858" s="230" t="s">
        <v>343</v>
      </c>
      <c r="I858" s="229" t="s">
        <v>4917</v>
      </c>
      <c r="J858" s="229" t="s">
        <v>4918</v>
      </c>
      <c r="K858" s="229" t="s">
        <v>343</v>
      </c>
      <c r="BB858"/>
    </row>
    <row r="859" spans="1:54" x14ac:dyDescent="0.25">
      <c r="A859" s="208" t="str">
        <f t="shared" si="13"/>
        <v>CY+1</v>
      </c>
      <c r="B859" s="201" t="s">
        <v>345</v>
      </c>
      <c r="C859" s="229" t="s">
        <v>345</v>
      </c>
      <c r="D859" s="201" t="s">
        <v>345</v>
      </c>
      <c r="E859" s="201" t="s">
        <v>7631</v>
      </c>
      <c r="F859" s="201" t="s">
        <v>7632</v>
      </c>
      <c r="G859" s="201" t="s">
        <v>7633</v>
      </c>
      <c r="H859" s="201" t="s">
        <v>7634</v>
      </c>
      <c r="I859" s="201" t="s">
        <v>7635</v>
      </c>
      <c r="J859" s="201" t="s">
        <v>7636</v>
      </c>
      <c r="K859" s="201" t="s">
        <v>345</v>
      </c>
      <c r="BB859"/>
    </row>
    <row r="860" spans="1:54" x14ac:dyDescent="0.25">
      <c r="A860" s="208" t="str">
        <f t="shared" si="13"/>
        <v>CY+2</v>
      </c>
      <c r="B860" s="201" t="s">
        <v>346</v>
      </c>
      <c r="C860" s="229" t="s">
        <v>346</v>
      </c>
      <c r="D860" s="201" t="s">
        <v>346</v>
      </c>
      <c r="E860" s="201" t="s">
        <v>7637</v>
      </c>
      <c r="F860" s="201" t="s">
        <v>7638</v>
      </c>
      <c r="G860" s="201" t="s">
        <v>7639</v>
      </c>
      <c r="H860" s="201" t="s">
        <v>7640</v>
      </c>
      <c r="I860" s="201" t="s">
        <v>7641</v>
      </c>
      <c r="J860" s="201" t="s">
        <v>7642</v>
      </c>
      <c r="K860" s="201" t="s">
        <v>346</v>
      </c>
      <c r="BB860"/>
    </row>
    <row r="861" spans="1:54" x14ac:dyDescent="0.25">
      <c r="A861" s="208" t="str">
        <f t="shared" si="13"/>
        <v>FY-2</v>
      </c>
      <c r="B861" s="201" t="s">
        <v>349</v>
      </c>
      <c r="C861" s="229" t="s">
        <v>4920</v>
      </c>
      <c r="D861" s="229" t="s">
        <v>4921</v>
      </c>
      <c r="E861" s="229" t="s">
        <v>8302</v>
      </c>
      <c r="F861" s="229" t="s">
        <v>4940</v>
      </c>
      <c r="G861" s="229" t="s">
        <v>349</v>
      </c>
      <c r="H861" s="230" t="s">
        <v>349</v>
      </c>
      <c r="I861" s="229" t="s">
        <v>4930</v>
      </c>
      <c r="J861" s="229" t="s">
        <v>4931</v>
      </c>
      <c r="K861" s="229" t="s">
        <v>349</v>
      </c>
      <c r="BB861"/>
    </row>
    <row r="862" spans="1:54" x14ac:dyDescent="0.25">
      <c r="A862" s="208" t="str">
        <f t="shared" si="13"/>
        <v>FY-1</v>
      </c>
      <c r="B862" s="201" t="s">
        <v>350</v>
      </c>
      <c r="C862" s="229" t="s">
        <v>4922</v>
      </c>
      <c r="D862" s="229" t="s">
        <v>4923</v>
      </c>
      <c r="E862" s="229" t="s">
        <v>8303</v>
      </c>
      <c r="F862" s="229" t="s">
        <v>4941</v>
      </c>
      <c r="G862" s="229" t="s">
        <v>350</v>
      </c>
      <c r="H862" s="230" t="s">
        <v>350</v>
      </c>
      <c r="I862" s="229" t="s">
        <v>4932</v>
      </c>
      <c r="J862" s="229" t="s">
        <v>4933</v>
      </c>
      <c r="K862" s="229" t="s">
        <v>350</v>
      </c>
      <c r="BB862"/>
    </row>
    <row r="863" spans="1:54" x14ac:dyDescent="0.25">
      <c r="A863" s="208" t="str">
        <f t="shared" si="13"/>
        <v>5-Yr CAGR</v>
      </c>
      <c r="B863" s="201" t="s">
        <v>351</v>
      </c>
      <c r="C863" s="229" t="s">
        <v>4924</v>
      </c>
      <c r="D863" s="229" t="s">
        <v>4925</v>
      </c>
      <c r="E863" s="229" t="s">
        <v>4926</v>
      </c>
      <c r="F863" s="229" t="s">
        <v>4942</v>
      </c>
      <c r="G863" s="229" t="s">
        <v>4943</v>
      </c>
      <c r="H863" s="230" t="s">
        <v>4934</v>
      </c>
      <c r="I863" s="229" t="s">
        <v>4935</v>
      </c>
      <c r="J863" s="229" t="s">
        <v>4936</v>
      </c>
      <c r="K863" s="229" t="s">
        <v>4946</v>
      </c>
      <c r="BB863"/>
    </row>
    <row r="864" spans="1:54" x14ac:dyDescent="0.25">
      <c r="A864" s="208" t="str">
        <f t="shared" si="13"/>
        <v>3-Yr CAGR</v>
      </c>
      <c r="B864" s="201" t="s">
        <v>352</v>
      </c>
      <c r="C864" s="229" t="s">
        <v>4927</v>
      </c>
      <c r="D864" s="229" t="s">
        <v>4928</v>
      </c>
      <c r="E864" s="229" t="s">
        <v>4929</v>
      </c>
      <c r="F864" s="229" t="s">
        <v>4944</v>
      </c>
      <c r="G864" s="229" t="s">
        <v>4945</v>
      </c>
      <c r="H864" s="230" t="s">
        <v>4937</v>
      </c>
      <c r="I864" s="229" t="s">
        <v>4938</v>
      </c>
      <c r="J864" s="229" t="s">
        <v>4939</v>
      </c>
      <c r="K864" s="229" t="s">
        <v>4947</v>
      </c>
      <c r="BB864"/>
    </row>
    <row r="865" spans="1:54" x14ac:dyDescent="0.25">
      <c r="A865" s="208" t="str">
        <f t="shared" si="13"/>
        <v>INCOME STATEMENT (Contd.)</v>
      </c>
      <c r="B865" s="201" t="s">
        <v>631</v>
      </c>
      <c r="C865" s="229" t="s">
        <v>7623</v>
      </c>
      <c r="D865" s="201" t="s">
        <v>7624</v>
      </c>
      <c r="E865" s="201" t="s">
        <v>7625</v>
      </c>
      <c r="F865" s="201" t="s">
        <v>7626</v>
      </c>
      <c r="G865" s="201" t="s">
        <v>7627</v>
      </c>
      <c r="H865" s="201" t="s">
        <v>7628</v>
      </c>
      <c r="I865" s="201" t="s">
        <v>6436</v>
      </c>
      <c r="J865" s="201" t="s">
        <v>7629</v>
      </c>
      <c r="K865" s="201" t="s">
        <v>7630</v>
      </c>
      <c r="BB865"/>
    </row>
    <row r="866" spans="1:54" x14ac:dyDescent="0.25">
      <c r="A866" s="208" t="str">
        <f t="shared" si="13"/>
        <v>FYE</v>
      </c>
      <c r="B866" s="201" t="s">
        <v>334</v>
      </c>
      <c r="C866" s="229" t="s">
        <v>4948</v>
      </c>
      <c r="D866" s="229" t="s">
        <v>4949</v>
      </c>
      <c r="E866" s="229" t="s">
        <v>4950</v>
      </c>
      <c r="F866" s="229" t="s">
        <v>4960</v>
      </c>
      <c r="G866" s="229" t="s">
        <v>334</v>
      </c>
      <c r="H866" s="230" t="s">
        <v>4954</v>
      </c>
      <c r="I866" s="229" t="s">
        <v>4955</v>
      </c>
      <c r="J866" s="229" t="s">
        <v>4956</v>
      </c>
      <c r="K866" s="229" t="s">
        <v>334</v>
      </c>
      <c r="BB866"/>
    </row>
    <row r="867" spans="1:54" x14ac:dyDescent="0.25">
      <c r="A867" s="208" t="str">
        <f t="shared" si="13"/>
        <v>Trading Currency</v>
      </c>
      <c r="B867" s="201" t="s">
        <v>844</v>
      </c>
      <c r="C867" s="229" t="s">
        <v>4951</v>
      </c>
      <c r="D867" s="229" t="s">
        <v>4952</v>
      </c>
      <c r="E867" s="229" t="s">
        <v>4953</v>
      </c>
      <c r="F867" s="229" t="s">
        <v>4961</v>
      </c>
      <c r="G867" s="229" t="s">
        <v>4962</v>
      </c>
      <c r="H867" s="230" t="s">
        <v>4957</v>
      </c>
      <c r="I867" s="229" t="s">
        <v>4958</v>
      </c>
      <c r="J867" s="229" t="s">
        <v>4959</v>
      </c>
      <c r="K867" s="229" t="s">
        <v>4963</v>
      </c>
      <c r="BB867"/>
    </row>
    <row r="868" spans="1:54" x14ac:dyDescent="0.25">
      <c r="A868" s="208" t="str">
        <f>INDEX($B868:$CV868,$A$4)</f>
        <v>(EBITDA, Excl. Operating Leases-CAPEX)/Interest Exp.</v>
      </c>
      <c r="B868" s="201" t="s">
        <v>8189</v>
      </c>
      <c r="C868" s="201" t="s">
        <v>8194</v>
      </c>
      <c r="D868" s="201" t="s">
        <v>8195</v>
      </c>
      <c r="E868" s="201" t="s">
        <v>8196</v>
      </c>
      <c r="F868" s="201" t="s">
        <v>8197</v>
      </c>
      <c r="G868" s="201" t="s">
        <v>8198</v>
      </c>
      <c r="H868" s="201" t="s">
        <v>8199</v>
      </c>
      <c r="I868" s="201" t="s">
        <v>8200</v>
      </c>
      <c r="J868" s="201" t="s">
        <v>8201</v>
      </c>
      <c r="K868" s="201" t="s">
        <v>8202</v>
      </c>
    </row>
    <row r="869" spans="1:54" x14ac:dyDescent="0.25">
      <c r="A869" s="208" t="str">
        <f t="shared" si="13"/>
        <v>EBITDA, Excl. Operating Leases/Interest Expense</v>
      </c>
      <c r="B869" s="201" t="s">
        <v>8188</v>
      </c>
      <c r="C869" t="s">
        <v>8203</v>
      </c>
      <c r="D869" t="s">
        <v>8204</v>
      </c>
      <c r="E869" t="s">
        <v>8205</v>
      </c>
      <c r="F869" t="s">
        <v>8206</v>
      </c>
      <c r="G869" t="s">
        <v>8207</v>
      </c>
      <c r="H869" t="s">
        <v>8208</v>
      </c>
      <c r="I869" t="s">
        <v>8209</v>
      </c>
      <c r="J869" t="s">
        <v>8210</v>
      </c>
      <c r="K869" t="s">
        <v>8211</v>
      </c>
    </row>
    <row r="870" spans="1:54" x14ac:dyDescent="0.25">
      <c r="A870" s="208" t="str">
        <f t="shared" si="13"/>
        <v>Net Debt/(EBITDA, Excl. Operating Leases - CAPEX)</v>
      </c>
      <c r="B870" s="201" t="s">
        <v>8193</v>
      </c>
      <c r="C870" t="s">
        <v>8212</v>
      </c>
      <c r="D870" t="s">
        <v>8213</v>
      </c>
      <c r="E870" t="s">
        <v>8214</v>
      </c>
      <c r="F870" t="s">
        <v>8215</v>
      </c>
      <c r="G870" t="s">
        <v>8216</v>
      </c>
      <c r="H870" t="s">
        <v>8217</v>
      </c>
      <c r="I870" t="s">
        <v>8218</v>
      </c>
      <c r="J870" t="s">
        <v>8219</v>
      </c>
      <c r="K870" t="s">
        <v>8220</v>
      </c>
    </row>
    <row r="871" spans="1:54" x14ac:dyDescent="0.25">
      <c r="A871" s="208" t="str">
        <f t="shared" si="13"/>
        <v>Net Debt/EBITDA, Excl. Operating Leases</v>
      </c>
      <c r="B871" s="201" t="s">
        <v>8191</v>
      </c>
      <c r="C871" t="s">
        <v>8221</v>
      </c>
      <c r="D871" t="s">
        <v>8222</v>
      </c>
      <c r="E871" t="s">
        <v>8223</v>
      </c>
      <c r="F871" t="s">
        <v>8224</v>
      </c>
      <c r="G871" t="s">
        <v>8225</v>
      </c>
      <c r="H871" t="s">
        <v>8226</v>
      </c>
      <c r="I871" t="s">
        <v>8227</v>
      </c>
      <c r="J871" t="s">
        <v>8228</v>
      </c>
      <c r="K871" t="s">
        <v>8229</v>
      </c>
    </row>
    <row r="872" spans="1:54" x14ac:dyDescent="0.25">
      <c r="A872" s="208" t="str">
        <f t="shared" si="13"/>
        <v>Total Debt / EBITDA, Excl. Operating Leases</v>
      </c>
      <c r="B872" s="201" t="s">
        <v>8190</v>
      </c>
      <c r="C872" t="s">
        <v>8230</v>
      </c>
      <c r="D872" t="s">
        <v>8231</v>
      </c>
      <c r="E872" t="s">
        <v>8232</v>
      </c>
      <c r="F872" t="s">
        <v>8233</v>
      </c>
      <c r="G872" t="s">
        <v>8234</v>
      </c>
      <c r="H872" t="s">
        <v>8235</v>
      </c>
      <c r="I872" t="s">
        <v>8236</v>
      </c>
      <c r="J872" t="s">
        <v>8237</v>
      </c>
      <c r="K872" t="s">
        <v>8238</v>
      </c>
    </row>
    <row r="873" spans="1:54" x14ac:dyDescent="0.25">
      <c r="A873" s="208" t="str">
        <f t="shared" si="13"/>
        <v>Total Debt/(EBITDA, Excl. Operating Leases - CAPEX)</v>
      </c>
      <c r="B873" s="201" t="s">
        <v>8192</v>
      </c>
      <c r="C873" t="s">
        <v>8239</v>
      </c>
      <c r="D873" t="s">
        <v>8240</v>
      </c>
      <c r="E873" t="s">
        <v>8241</v>
      </c>
      <c r="F873" t="s">
        <v>8242</v>
      </c>
      <c r="G873" t="s">
        <v>8243</v>
      </c>
      <c r="H873" t="s">
        <v>8244</v>
      </c>
      <c r="I873" t="s">
        <v>8245</v>
      </c>
      <c r="J873" t="s">
        <v>8246</v>
      </c>
      <c r="K873" t="s">
        <v>8247</v>
      </c>
    </row>
    <row r="874" spans="1:54" x14ac:dyDescent="0.25">
      <c r="A874" s="208"/>
      <c r="C874"/>
      <c r="D874"/>
      <c r="E874"/>
      <c r="F874"/>
      <c r="G874"/>
      <c r="H874"/>
      <c r="I874"/>
      <c r="J874"/>
      <c r="K874"/>
    </row>
  </sheetData>
  <pageMargins left="0.7" right="0.7" top="0.75" bottom="0.75" header="0.3" footer="0.3"/>
  <pageSetup orientation="portrait" horizontalDpi="90" verticalDpi="90" r:id="rId1"/>
  <customProperties>
    <customPr name="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1F65D8D85C643B279395178BBB636" ma:contentTypeVersion="10" ma:contentTypeDescription="Create a new document." ma:contentTypeScope="" ma:versionID="5485f5b32512d653f7453980de4c8998">
  <xsd:schema xmlns:xsd="http://www.w3.org/2001/XMLSchema" xmlns:xs="http://www.w3.org/2001/XMLSchema" xmlns:p="http://schemas.microsoft.com/office/2006/metadata/properties" xmlns:ns3="d0640473-7254-4dee-a68e-1aa7dfe87080" targetNamespace="http://schemas.microsoft.com/office/2006/metadata/properties" ma:root="true" ma:fieldsID="840fc2309eebaf0bed357e94e47325f3" ns3:_="">
    <xsd:import namespace="d0640473-7254-4dee-a68e-1aa7dfe870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40473-7254-4dee-a68e-1aa7dfe87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BD9CC6-B147-4C24-8FF1-F5911A43A6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640473-7254-4dee-a68e-1aa7dfe870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B6BFC5-2350-491A-A2BD-DF7D1D851D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655590-134C-4BB6-A148-E23000AF82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Financial Statements</vt:lpstr>
      <vt:lpstr>Common Size</vt:lpstr>
      <vt:lpstr>Detailed Comps</vt:lpstr>
      <vt:lpstr>Summary Comps</vt:lpstr>
      <vt:lpstr>Language Index</vt:lpstr>
      <vt:lpstr>Ccy</vt:lpstr>
      <vt:lpstr>Conv</vt:lpstr>
      <vt:lpstr>'Common Size'!Print_Area</vt:lpstr>
      <vt:lpstr>'Detailed Comps'!Print_Area</vt:lpstr>
      <vt:lpstr>'Summary Comps'!Print_Area</vt:lpstr>
      <vt:lpstr>'Common Size'!Print_Titles</vt:lpstr>
      <vt:lpstr>'Detailed Comps'!Print_Titles</vt:lpstr>
      <vt:lpstr>'Financial Statements'!Print_Titles</vt:lpstr>
      <vt:lpstr>'Summary Comps'!Print_Titles</vt:lpstr>
    </vt:vector>
  </TitlesOfParts>
  <Manager>Capital IQ, Inc.</Manager>
  <Company>Capital IQ,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Capital IQ, Inc.</dc:creator>
  <cp:lastModifiedBy>Cromwell, Edward</cp:lastModifiedBy>
  <cp:lastPrinted>2012-06-05T17:05:55Z</cp:lastPrinted>
  <dcterms:created xsi:type="dcterms:W3CDTF">2002-03-18T23:28:38Z</dcterms:created>
  <dcterms:modified xsi:type="dcterms:W3CDTF">2025-04-05T02:03:53Z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{B4D9AC75-597D-4044-A6A8-5AE76CDFFFDC}</vt:lpwstr>
  </property>
  <property fmtid="{D5CDD505-2E9C-101B-9397-08002B2CF9AE}" pid="3" name="ContentTypeId">
    <vt:lpwstr>0x010100BA41F65D8D85C643B279395178BBB636</vt:lpwstr>
  </property>
</Properties>
</file>