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24226"/>
  <mc:AlternateContent xmlns:mc="http://schemas.openxmlformats.org/markup-compatibility/2006">
    <mc:Choice Requires="x15">
      <x15ac:absPath xmlns:x15ac="http://schemas.microsoft.com/office/spreadsheetml/2010/11/ac" url="C:\Users\eoughton\Desktop\Github\ascend\new_data\"/>
    </mc:Choice>
  </mc:AlternateContent>
  <xr:revisionPtr revIDLastSave="0" documentId="13_ncr:1_{4050B7D6-3D12-4CFA-85CF-C47783B2A24D}" xr6:coauthVersionLast="47" xr6:coauthVersionMax="47" xr10:uidLastSave="{00000000-0000-0000-0000-000000000000}"/>
  <bookViews>
    <workbookView xWindow="-30828" yWindow="-108" windowWidth="30936" windowHeight="16896" tabRatio="417" xr2:uid="{00000000-000D-0000-FFFF-FFFF00000000}"/>
  </bookViews>
  <sheets>
    <sheet name="TO 190 Summary" sheetId="17" r:id="rId1"/>
    <sheet name="MDB" sheetId="16" r:id="rId2"/>
    <sheet name="Milestone Payment" sheetId="24" r:id="rId3"/>
    <sheet name="calucations for ETC" sheetId="29" state="hidden" r:id="rId4"/>
    <sheet name="analysis" sheetId="23" state="hidden" r:id="rId5"/>
    <sheet name="TO 190 ETC" sheetId="27" state="hidden" r:id="rId6"/>
    <sheet name="Calculations" sheetId="25" state="hidden" r:id="rId7"/>
    <sheet name="Sheet1" sheetId="21" state="hidden" r:id="rId8"/>
  </sheets>
  <externalReferences>
    <externalReference r:id="rId9"/>
    <externalReference r:id="rId10"/>
  </externalReferences>
  <definedNames>
    <definedName name="_xlnm._FilterDatabase" localSheetId="1" hidden="1">MDB!$A$1:$AI$1292</definedName>
    <definedName name="_xlnm._FilterDatabase" localSheetId="2" hidden="1">'Milestone Payment'!$AA$2:$AE$31</definedName>
    <definedName name="Function">OFFSET('[1]Drop Down Lists'!$B$2,0,0,COUNTA('[1]Drop Down Lists'!$B:$B)-1,1)</definedName>
    <definedName name="_xlnm.Print_Area" localSheetId="2">'Milestone Payment'!$A$1:$AE$36</definedName>
    <definedName name="_xlnm.Print_Area" localSheetId="0">'TO 190 Summary'!$A$4:$Y$24</definedName>
    <definedName name="WBS_Level_Assigned">OFFSET('[1]WBS Assignment'!$A$7,0,0,COUNTA('[1]WBS Assignment'!$A:$A)-5,1)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20" i="24" l="1"/>
  <c r="AF15" i="24"/>
  <c r="AF11" i="24"/>
  <c r="D14" i="17"/>
  <c r="D16" i="17" l="1"/>
  <c r="D18" i="17"/>
  <c r="S65" i="16"/>
  <c r="U1250" i="16"/>
  <c r="U1251" i="16"/>
  <c r="U1252" i="16"/>
  <c r="U1253" i="16"/>
  <c r="U1254" i="16"/>
  <c r="U1255" i="16"/>
  <c r="U1256" i="16"/>
  <c r="U1257" i="16"/>
  <c r="U1258" i="16"/>
  <c r="U1259" i="16"/>
  <c r="U1260" i="16"/>
  <c r="U1261" i="16"/>
  <c r="U1262" i="16"/>
  <c r="U1263" i="16"/>
  <c r="U1264" i="16"/>
  <c r="U1265" i="16"/>
  <c r="U1266" i="16"/>
  <c r="U1267" i="16"/>
  <c r="U1268" i="16"/>
  <c r="U1269" i="16"/>
  <c r="U1270" i="16"/>
  <c r="U1271" i="16"/>
  <c r="U1272" i="16"/>
  <c r="U1273" i="16"/>
  <c r="U1274" i="16"/>
  <c r="U1275" i="16"/>
  <c r="U1276" i="16"/>
  <c r="U1277" i="16"/>
  <c r="U1278" i="16"/>
  <c r="U1279" i="16"/>
  <c r="U1280" i="16"/>
  <c r="U1281" i="16"/>
  <c r="U1282" i="16"/>
  <c r="U1283" i="16"/>
  <c r="U1284" i="16"/>
  <c r="U1285" i="16"/>
  <c r="U1286" i="16"/>
  <c r="U1287" i="16"/>
  <c r="U1288" i="16"/>
  <c r="U1289" i="16"/>
  <c r="U1290" i="16"/>
  <c r="U1246" i="16"/>
  <c r="U1247" i="16"/>
  <c r="U1248" i="16"/>
  <c r="U1249" i="16"/>
  <c r="U1245" i="16"/>
  <c r="U1244" i="16"/>
  <c r="U1243" i="16"/>
  <c r="U1242" i="16"/>
  <c r="U1241" i="16"/>
  <c r="U1240" i="16"/>
  <c r="U1239" i="16"/>
  <c r="U1238" i="16"/>
  <c r="U498" i="16"/>
  <c r="U497" i="16"/>
  <c r="U481" i="16"/>
  <c r="U480" i="16"/>
  <c r="AE31" i="24" l="1"/>
  <c r="H30" i="24"/>
  <c r="V30" i="24"/>
  <c r="V31" i="24" s="1"/>
  <c r="W30" i="24"/>
  <c r="X30" i="24"/>
  <c r="M11" i="17" l="1"/>
  <c r="M9" i="17"/>
  <c r="M7" i="17"/>
  <c r="AN517" i="16"/>
  <c r="AO639" i="16"/>
  <c r="AO638" i="16"/>
  <c r="AN640" i="16"/>
  <c r="AO642" i="16"/>
  <c r="AN521" i="16"/>
  <c r="AO641" i="16"/>
  <c r="AO644" i="16"/>
  <c r="AO645" i="16"/>
  <c r="AN648" i="16"/>
  <c r="AN647" i="16"/>
  <c r="AO646" i="16"/>
  <c r="AO606" i="16"/>
  <c r="AO605" i="16"/>
  <c r="AO623" i="16"/>
  <c r="U517" i="16"/>
  <c r="AR614" i="16"/>
  <c r="AR613" i="16"/>
  <c r="AN567" i="16"/>
  <c r="AP677" i="16"/>
  <c r="AQ677" i="16"/>
  <c r="AN652" i="16"/>
  <c r="AN651" i="16"/>
  <c r="AM649" i="16"/>
  <c r="U649" i="16"/>
  <c r="AM643" i="16"/>
  <c r="U643" i="16"/>
  <c r="U635" i="16"/>
  <c r="S637" i="16"/>
  <c r="AM637" i="16" s="1"/>
  <c r="S636" i="16"/>
  <c r="AM636" i="16" s="1"/>
  <c r="U636" i="16"/>
  <c r="AN631" i="16"/>
  <c r="AN630" i="16"/>
  <c r="U630" i="16"/>
  <c r="AM629" i="16"/>
  <c r="U626" i="16"/>
  <c r="U627" i="16"/>
  <c r="U628" i="16"/>
  <c r="U629" i="16"/>
  <c r="U631" i="16"/>
  <c r="U632" i="16"/>
  <c r="U633" i="16"/>
  <c r="U634" i="16"/>
  <c r="AH618" i="16"/>
  <c r="S618" i="16"/>
  <c r="AN609" i="16"/>
  <c r="AN608" i="16"/>
  <c r="AK677" i="16"/>
  <c r="AM596" i="16"/>
  <c r="AM597" i="16"/>
  <c r="AM598" i="16"/>
  <c r="AM599" i="16"/>
  <c r="AM600" i="16"/>
  <c r="AM601" i="16"/>
  <c r="AM602" i="16"/>
  <c r="AM595" i="16"/>
  <c r="AM571" i="16"/>
  <c r="AM570" i="16"/>
  <c r="AM568" i="16"/>
  <c r="AH552" i="16"/>
  <c r="S552" i="16"/>
  <c r="S1350" i="16" s="1"/>
  <c r="U11" i="17" s="1"/>
  <c r="AM534" i="16"/>
  <c r="AM533" i="16"/>
  <c r="U531" i="16"/>
  <c r="AN527" i="16"/>
  <c r="AN526" i="16"/>
  <c r="U525" i="16"/>
  <c r="AM524" i="16"/>
  <c r="U519" i="16"/>
  <c r="U520" i="16"/>
  <c r="U522" i="16"/>
  <c r="U523" i="16"/>
  <c r="U524" i="16"/>
  <c r="AM518" i="16"/>
  <c r="AM519" i="16"/>
  <c r="U518" i="16"/>
  <c r="S126" i="16"/>
  <c r="S1339" i="16" s="1"/>
  <c r="R7" i="17" s="1"/>
  <c r="AH117" i="16"/>
  <c r="AH118" i="16"/>
  <c r="AH119" i="16"/>
  <c r="AH120" i="16"/>
  <c r="AH121" i="16"/>
  <c r="AH116" i="16"/>
  <c r="AH114" i="16"/>
  <c r="AH113" i="16"/>
  <c r="AH108" i="16"/>
  <c r="AH96" i="16"/>
  <c r="AH97" i="16"/>
  <c r="AH98" i="16"/>
  <c r="AH99" i="16"/>
  <c r="AH100" i="16"/>
  <c r="AH101" i="16"/>
  <c r="AH102" i="16"/>
  <c r="AH95" i="16"/>
  <c r="AH82" i="16"/>
  <c r="AH83" i="16"/>
  <c r="AH84" i="16"/>
  <c r="AH85" i="16"/>
  <c r="AH86" i="16"/>
  <c r="AH87" i="16"/>
  <c r="AH88" i="16"/>
  <c r="AH89" i="16"/>
  <c r="AH90" i="16"/>
  <c r="AH91" i="16"/>
  <c r="AH92" i="16"/>
  <c r="AH93" i="16"/>
  <c r="AH81" i="16"/>
  <c r="AH68" i="16"/>
  <c r="AH61" i="16"/>
  <c r="AH60" i="16"/>
  <c r="AH59" i="16"/>
  <c r="AH57" i="16"/>
  <c r="AH56" i="16"/>
  <c r="AH55" i="16"/>
  <c r="AH54" i="16"/>
  <c r="AH53" i="16"/>
  <c r="AH52" i="16"/>
  <c r="AH51" i="16"/>
  <c r="AH50" i="16"/>
  <c r="AH49" i="16"/>
  <c r="AH48" i="16"/>
  <c r="AH47" i="16"/>
  <c r="AH46" i="16"/>
  <c r="AH45" i="16"/>
  <c r="AH44" i="16"/>
  <c r="AH43" i="16"/>
  <c r="AH42" i="16"/>
  <c r="AH41" i="16"/>
  <c r="AH40" i="16"/>
  <c r="AH39" i="16"/>
  <c r="AH38" i="16"/>
  <c r="AH37" i="16"/>
  <c r="AH36" i="16"/>
  <c r="AH35" i="16"/>
  <c r="AH34" i="16"/>
  <c r="AH33" i="16"/>
  <c r="AH32" i="16"/>
  <c r="AH31" i="16"/>
  <c r="AH30" i="16"/>
  <c r="AH29" i="16"/>
  <c r="AH28" i="16"/>
  <c r="AH27" i="16"/>
  <c r="AH26" i="16"/>
  <c r="AH25" i="16"/>
  <c r="AH24" i="16"/>
  <c r="AH23" i="16"/>
  <c r="AH22" i="16"/>
  <c r="AH21" i="16"/>
  <c r="AH20" i="16"/>
  <c r="AH19" i="16"/>
  <c r="AH18" i="16"/>
  <c r="AH17" i="16"/>
  <c r="AH6" i="16"/>
  <c r="AH7" i="16"/>
  <c r="AH8" i="16"/>
  <c r="AH9" i="16"/>
  <c r="AH10" i="16"/>
  <c r="AH11" i="16"/>
  <c r="AH12" i="16"/>
  <c r="AH5" i="16"/>
  <c r="AM498" i="16"/>
  <c r="AM497" i="16"/>
  <c r="AN481" i="16"/>
  <c r="U479" i="16"/>
  <c r="AN480" i="16"/>
  <c r="U477" i="16"/>
  <c r="U394" i="16"/>
  <c r="U393" i="16"/>
  <c r="AM383" i="16"/>
  <c r="AM384" i="16"/>
  <c r="AM382" i="16"/>
  <c r="U383" i="16"/>
  <c r="U342" i="16"/>
  <c r="AH355" i="16"/>
  <c r="AH356" i="16"/>
  <c r="AH357" i="16"/>
  <c r="AH358" i="16"/>
  <c r="AH359" i="16"/>
  <c r="AH360" i="16"/>
  <c r="AH361" i="16"/>
  <c r="AH362" i="16"/>
  <c r="AH363" i="16"/>
  <c r="AH364" i="16"/>
  <c r="AH365" i="16"/>
  <c r="AH366" i="16"/>
  <c r="AH367" i="16"/>
  <c r="AH368" i="16"/>
  <c r="AH369" i="16"/>
  <c r="AH370" i="16"/>
  <c r="AH371" i="16"/>
  <c r="AH372" i="16"/>
  <c r="AH373" i="16"/>
  <c r="AH374" i="16"/>
  <c r="AH375" i="16"/>
  <c r="AH376" i="16"/>
  <c r="AH377" i="16"/>
  <c r="AH378" i="16"/>
  <c r="AH379" i="16"/>
  <c r="AH354" i="16"/>
  <c r="L366" i="16"/>
  <c r="U341" i="16"/>
  <c r="AM336" i="16"/>
  <c r="R44" i="29"/>
  <c r="U310" i="16"/>
  <c r="AH291" i="16"/>
  <c r="AH65" i="16"/>
  <c r="Q534" i="16"/>
  <c r="U534" i="16" s="1"/>
  <c r="Q478" i="16"/>
  <c r="U478" i="16" s="1"/>
  <c r="E12" i="17"/>
  <c r="E10" i="17"/>
  <c r="E8" i="17"/>
  <c r="O43" i="25"/>
  <c r="Y18" i="17"/>
  <c r="S30" i="24"/>
  <c r="L8" i="17"/>
  <c r="I7" i="24"/>
  <c r="I30" i="24"/>
  <c r="G6" i="24"/>
  <c r="G30" i="24" s="1"/>
  <c r="L8" i="24"/>
  <c r="L17" i="24"/>
  <c r="L30" i="24" s="1"/>
  <c r="L18" i="24"/>
  <c r="N19" i="24"/>
  <c r="N22" i="24"/>
  <c r="N23" i="24"/>
  <c r="N30" i="24" s="1"/>
  <c r="N24" i="24"/>
  <c r="N25" i="24"/>
  <c r="R28" i="24"/>
  <c r="R29" i="24"/>
  <c r="P20" i="24"/>
  <c r="P30" i="24" s="1"/>
  <c r="T30" i="24"/>
  <c r="S31" i="24"/>
  <c r="J30" i="24"/>
  <c r="K30" i="24"/>
  <c r="M30" i="24"/>
  <c r="O30" i="24"/>
  <c r="Q30" i="24"/>
  <c r="Q496" i="16"/>
  <c r="U496" i="16" s="1"/>
  <c r="Q622" i="16"/>
  <c r="U622" i="16" s="1"/>
  <c r="Q625" i="16"/>
  <c r="U625" i="16" s="1"/>
  <c r="Q624" i="16"/>
  <c r="U624" i="16" s="1"/>
  <c r="Q623" i="16"/>
  <c r="U623" i="16" s="1"/>
  <c r="Q652" i="16"/>
  <c r="U652" i="16" s="1"/>
  <c r="Q651" i="16"/>
  <c r="U651" i="16" s="1"/>
  <c r="Q621" i="16"/>
  <c r="U621" i="16" s="1"/>
  <c r="Q620" i="16"/>
  <c r="U620" i="16" s="1"/>
  <c r="Q530" i="16"/>
  <c r="U530" i="16" s="1"/>
  <c r="Q619" i="16"/>
  <c r="U619" i="16" s="1"/>
  <c r="Q618" i="16"/>
  <c r="U618" i="16" s="1"/>
  <c r="Q617" i="16"/>
  <c r="U617" i="16" s="1"/>
  <c r="Q616" i="16"/>
  <c r="U616" i="16" s="1"/>
  <c r="Q676" i="16"/>
  <c r="Q675" i="16"/>
  <c r="Q674" i="16"/>
  <c r="Q673" i="16"/>
  <c r="Q672" i="16"/>
  <c r="Q671" i="16"/>
  <c r="Q670" i="16"/>
  <c r="Q669" i="16"/>
  <c r="Q668" i="16"/>
  <c r="Q667" i="16"/>
  <c r="Q666" i="16"/>
  <c r="Q665" i="16"/>
  <c r="Q664" i="16"/>
  <c r="Q663" i="16"/>
  <c r="Q662" i="16"/>
  <c r="Q661" i="16"/>
  <c r="Q660" i="16"/>
  <c r="Q659" i="16"/>
  <c r="Q658" i="16"/>
  <c r="Q657" i="16"/>
  <c r="Q656" i="16"/>
  <c r="Q655" i="16"/>
  <c r="Q512" i="16"/>
  <c r="Q511" i="16"/>
  <c r="Q510" i="16"/>
  <c r="Q509" i="16"/>
  <c r="Q508" i="16"/>
  <c r="Q507" i="16"/>
  <c r="Q504" i="16"/>
  <c r="Q502" i="16"/>
  <c r="Q503" i="16"/>
  <c r="Q501" i="16"/>
  <c r="Q557" i="16"/>
  <c r="Q654" i="16"/>
  <c r="Q653" i="16"/>
  <c r="Q604" i="16"/>
  <c r="Q603" i="16"/>
  <c r="Q591" i="16"/>
  <c r="Q590" i="16"/>
  <c r="Q589" i="16"/>
  <c r="Q588" i="16"/>
  <c r="Q587" i="16"/>
  <c r="Q586" i="16"/>
  <c r="Q585" i="16"/>
  <c r="Q558" i="16"/>
  <c r="Q555" i="16"/>
  <c r="Q536" i="16"/>
  <c r="Q537" i="16"/>
  <c r="Q538" i="16"/>
  <c r="Q539" i="16"/>
  <c r="Q540" i="16"/>
  <c r="Q541" i="16"/>
  <c r="Q542" i="16"/>
  <c r="Q543" i="16"/>
  <c r="Q544" i="16"/>
  <c r="Q545" i="16"/>
  <c r="Q546" i="16"/>
  <c r="Q547" i="16"/>
  <c r="Q548" i="16"/>
  <c r="Q549" i="16"/>
  <c r="Q550" i="16"/>
  <c r="Q535" i="16"/>
  <c r="Q506" i="16"/>
  <c r="Q505" i="16"/>
  <c r="Q473" i="16"/>
  <c r="Q472" i="16"/>
  <c r="S1357" i="16"/>
  <c r="X7" i="17" s="1"/>
  <c r="S1358" i="16"/>
  <c r="X9" i="17" s="1"/>
  <c r="S1359" i="16"/>
  <c r="X11" i="17" s="1"/>
  <c r="S1354" i="16"/>
  <c r="W7" i="17" s="1"/>
  <c r="W9" i="17"/>
  <c r="W11" i="17"/>
  <c r="K12" i="17"/>
  <c r="S1349" i="16"/>
  <c r="U8" i="17" s="1"/>
  <c r="S1348" i="16"/>
  <c r="U7" i="17" s="1"/>
  <c r="S1344" i="16"/>
  <c r="S11" i="17" s="1"/>
  <c r="S1343" i="16"/>
  <c r="S9" i="17" s="1"/>
  <c r="S1335" i="16"/>
  <c r="P11" i="17" s="1"/>
  <c r="S1336" i="16"/>
  <c r="Q7" i="17" s="1"/>
  <c r="S1337" i="16"/>
  <c r="Q9" i="17" s="1"/>
  <c r="Q11" i="17"/>
  <c r="S1340" i="16"/>
  <c r="R9" i="17" s="1"/>
  <c r="S1342" i="16"/>
  <c r="S7" i="17" s="1"/>
  <c r="S1345" i="16"/>
  <c r="T7" i="17" s="1"/>
  <c r="T9" i="17"/>
  <c r="T11" i="17"/>
  <c r="Q606" i="16"/>
  <c r="Q607" i="16"/>
  <c r="Q584" i="16"/>
  <c r="Q583" i="16"/>
  <c r="U583" i="16" s="1"/>
  <c r="Q582" i="16"/>
  <c r="U582" i="16" s="1"/>
  <c r="Q581" i="16"/>
  <c r="U581" i="16" s="1"/>
  <c r="Q563" i="16"/>
  <c r="U563" i="16" s="1"/>
  <c r="Q564" i="16"/>
  <c r="U564" i="16" s="1"/>
  <c r="Q565" i="16"/>
  <c r="U565" i="16" s="1"/>
  <c r="Q566" i="16"/>
  <c r="U566" i="16" s="1"/>
  <c r="Q568" i="16"/>
  <c r="U568" i="16" s="1"/>
  <c r="Q569" i="16"/>
  <c r="U569" i="16" s="1"/>
  <c r="Q570" i="16"/>
  <c r="U570" i="16" s="1"/>
  <c r="Q571" i="16"/>
  <c r="U571" i="16" s="1"/>
  <c r="Q560" i="16"/>
  <c r="U560" i="16" s="1"/>
  <c r="Q559" i="16"/>
  <c r="Q556" i="16"/>
  <c r="U556" i="16" s="1"/>
  <c r="Q554" i="16"/>
  <c r="U554" i="16" s="1"/>
  <c r="Q553" i="16"/>
  <c r="AH553" i="16" s="1"/>
  <c r="Q552" i="16"/>
  <c r="Q551" i="16"/>
  <c r="Q578" i="16"/>
  <c r="U578" i="16" s="1"/>
  <c r="Q577" i="16"/>
  <c r="U577" i="16" s="1"/>
  <c r="Q576" i="16"/>
  <c r="U576" i="16" s="1"/>
  <c r="Q573" i="16"/>
  <c r="U573" i="16" s="1"/>
  <c r="Q574" i="16"/>
  <c r="U574" i="16" s="1"/>
  <c r="Q572" i="16"/>
  <c r="U572" i="16" s="1"/>
  <c r="Q575" i="16"/>
  <c r="U575" i="16" s="1"/>
  <c r="Q579" i="16"/>
  <c r="U579" i="16" s="1"/>
  <c r="Q580" i="16"/>
  <c r="U580" i="16" s="1"/>
  <c r="N20" i="29"/>
  <c r="N25" i="29" s="1"/>
  <c r="N21" i="29"/>
  <c r="N22" i="29"/>
  <c r="N24" i="29"/>
  <c r="Q609" i="16"/>
  <c r="Q608" i="16"/>
  <c r="Q612" i="16"/>
  <c r="AO612" i="16" s="1"/>
  <c r="Q611" i="16"/>
  <c r="AO611" i="16" s="1"/>
  <c r="Q610" i="16"/>
  <c r="AO610" i="16" s="1"/>
  <c r="Q605" i="16"/>
  <c r="Q602" i="16"/>
  <c r="U602" i="16" s="1"/>
  <c r="Q601" i="16"/>
  <c r="U601" i="16" s="1"/>
  <c r="Q593" i="16"/>
  <c r="AN593" i="16" s="1"/>
  <c r="Q594" i="16"/>
  <c r="AN594" i="16" s="1"/>
  <c r="Q595" i="16"/>
  <c r="U595" i="16" s="1"/>
  <c r="Q596" i="16"/>
  <c r="U596" i="16" s="1"/>
  <c r="Q597" i="16"/>
  <c r="U597" i="16" s="1"/>
  <c r="Q598" i="16"/>
  <c r="U598" i="16" s="1"/>
  <c r="Q599" i="16"/>
  <c r="U599" i="16" s="1"/>
  <c r="Q600" i="16"/>
  <c r="U600" i="16" s="1"/>
  <c r="Q592" i="16"/>
  <c r="AN592" i="16" s="1"/>
  <c r="Q615" i="16"/>
  <c r="U615" i="16" s="1"/>
  <c r="Q614" i="16"/>
  <c r="Q613" i="16"/>
  <c r="Q562" i="16"/>
  <c r="Q561" i="16"/>
  <c r="Q532" i="16"/>
  <c r="AM532" i="16" s="1"/>
  <c r="Q527" i="16"/>
  <c r="U527" i="16" s="1"/>
  <c r="Q513" i="16"/>
  <c r="U513" i="16" s="1"/>
  <c r="Q514" i="16"/>
  <c r="U514" i="16" s="1"/>
  <c r="Q515" i="16"/>
  <c r="U515" i="16" s="1"/>
  <c r="Q526" i="16"/>
  <c r="U526" i="16" s="1"/>
  <c r="Q500" i="16"/>
  <c r="AM500" i="16" s="1"/>
  <c r="Q499" i="16"/>
  <c r="U499" i="16" s="1"/>
  <c r="Q495" i="16"/>
  <c r="U495" i="16" s="1"/>
  <c r="Q492" i="16"/>
  <c r="U492" i="16" s="1"/>
  <c r="Q488" i="16"/>
  <c r="U488" i="16" s="1"/>
  <c r="Q485" i="16"/>
  <c r="U485" i="16" s="1"/>
  <c r="Q486" i="16"/>
  <c r="U486" i="16" s="1"/>
  <c r="Q487" i="16"/>
  <c r="U487" i="16" s="1"/>
  <c r="Q475" i="16"/>
  <c r="Q474" i="16"/>
  <c r="Q476" i="16"/>
  <c r="Q482" i="16"/>
  <c r="U482" i="16" s="1"/>
  <c r="Q483" i="16"/>
  <c r="U483" i="16" s="1"/>
  <c r="Q484" i="16"/>
  <c r="U484" i="16" s="1"/>
  <c r="Q489" i="16"/>
  <c r="U489" i="16" s="1"/>
  <c r="Q490" i="16"/>
  <c r="U490" i="16" s="1"/>
  <c r="Q491" i="16"/>
  <c r="U491" i="16" s="1"/>
  <c r="Q493" i="16"/>
  <c r="U493" i="16" s="1"/>
  <c r="Q494" i="16"/>
  <c r="U494" i="16" s="1"/>
  <c r="U96" i="25"/>
  <c r="W85" i="25"/>
  <c r="L68" i="25"/>
  <c r="L73" i="25" s="1"/>
  <c r="L84" i="25" s="1"/>
  <c r="U60" i="25"/>
  <c r="U62" i="25"/>
  <c r="W77" i="25" s="1"/>
  <c r="Z59" i="25"/>
  <c r="Z61" i="25" s="1"/>
  <c r="U55" i="25"/>
  <c r="Z46" i="25" s="1"/>
  <c r="L54" i="25"/>
  <c r="Z60" i="25"/>
  <c r="Z53" i="25"/>
  <c r="U49" i="25"/>
  <c r="Z44" i="25"/>
  <c r="U48" i="25"/>
  <c r="U43" i="25"/>
  <c r="U44" i="25" s="1"/>
  <c r="O44" i="25" s="1"/>
  <c r="Z43" i="25"/>
  <c r="Z39" i="25"/>
  <c r="R38" i="25"/>
  <c r="Q37" i="25"/>
  <c r="Q36" i="25"/>
  <c r="O35" i="25"/>
  <c r="O34" i="25"/>
  <c r="O33" i="25"/>
  <c r="N32" i="25"/>
  <c r="M31" i="25"/>
  <c r="N30" i="25"/>
  <c r="M29" i="25"/>
  <c r="M28" i="25"/>
  <c r="M27" i="25"/>
  <c r="M26" i="25"/>
  <c r="O25" i="25"/>
  <c r="M24" i="25"/>
  <c r="M23" i="25"/>
  <c r="J22" i="25"/>
  <c r="O21" i="25"/>
  <c r="K18" i="25"/>
  <c r="H17" i="25"/>
  <c r="G16" i="25"/>
  <c r="R14" i="25"/>
  <c r="R39" i="25" s="1"/>
  <c r="Q13" i="25"/>
  <c r="O12" i="25"/>
  <c r="L11" i="25"/>
  <c r="W10" i="25"/>
  <c r="I10" i="25"/>
  <c r="F9" i="25"/>
  <c r="F39" i="25" s="1"/>
  <c r="Q8" i="25"/>
  <c r="Q7" i="25"/>
  <c r="O6" i="25"/>
  <c r="L5" i="25"/>
  <c r="W4" i="25"/>
  <c r="I4" i="25"/>
  <c r="AJ72" i="27"/>
  <c r="AI25" i="27"/>
  <c r="AH25" i="27"/>
  <c r="AH76" i="27" s="1"/>
  <c r="AG25" i="27"/>
  <c r="AG76" i="27" s="1"/>
  <c r="AF25" i="27"/>
  <c r="AE25" i="27"/>
  <c r="AD25" i="27"/>
  <c r="AC25" i="27"/>
  <c r="AB25" i="27"/>
  <c r="AA25" i="27"/>
  <c r="Z25" i="27"/>
  <c r="Z76" i="27" s="1"/>
  <c r="Y25" i="27"/>
  <c r="Y76" i="27" s="1"/>
  <c r="X25" i="27"/>
  <c r="W25" i="27"/>
  <c r="V25" i="27"/>
  <c r="U25" i="27"/>
  <c r="T25" i="27"/>
  <c r="S25" i="27"/>
  <c r="R25" i="27"/>
  <c r="Q25" i="27"/>
  <c r="Q76" i="27" s="1"/>
  <c r="P25" i="27"/>
  <c r="O25" i="27"/>
  <c r="N25" i="27"/>
  <c r="M25" i="27"/>
  <c r="L25" i="27"/>
  <c r="K25" i="27"/>
  <c r="J25" i="27"/>
  <c r="I25" i="27"/>
  <c r="H25" i="27"/>
  <c r="G25" i="27"/>
  <c r="F25" i="27"/>
  <c r="E25" i="27"/>
  <c r="D25" i="27"/>
  <c r="C25" i="27"/>
  <c r="AI18" i="27"/>
  <c r="AI76" i="27" s="1"/>
  <c r="AH18" i="27"/>
  <c r="AG18" i="27"/>
  <c r="AF18" i="27"/>
  <c r="AE18" i="27"/>
  <c r="AD18" i="27"/>
  <c r="AC18" i="27"/>
  <c r="AB18" i="27"/>
  <c r="AA18" i="27"/>
  <c r="AA76" i="27" s="1"/>
  <c r="Z18" i="27"/>
  <c r="Y18" i="27"/>
  <c r="X18" i="27"/>
  <c r="W18" i="27"/>
  <c r="W76" i="27" s="1"/>
  <c r="V18" i="27"/>
  <c r="U18" i="27"/>
  <c r="T18" i="27"/>
  <c r="S18" i="27"/>
  <c r="S76" i="27" s="1"/>
  <c r="R18" i="27"/>
  <c r="Q18" i="27"/>
  <c r="P18" i="27"/>
  <c r="O18" i="27"/>
  <c r="N18" i="27"/>
  <c r="M18" i="27"/>
  <c r="L18" i="27"/>
  <c r="L76" i="27" s="1"/>
  <c r="K18" i="27"/>
  <c r="J18" i="27"/>
  <c r="I18" i="27"/>
  <c r="H18" i="27"/>
  <c r="G18" i="27"/>
  <c r="F18" i="27"/>
  <c r="E18" i="27"/>
  <c r="D18" i="27"/>
  <c r="C18" i="27"/>
  <c r="AI9" i="27"/>
  <c r="AH9" i="27"/>
  <c r="AG9" i="27"/>
  <c r="AF9" i="27"/>
  <c r="AE9" i="27"/>
  <c r="AD9" i="27"/>
  <c r="AD76" i="27" s="1"/>
  <c r="AC9" i="27"/>
  <c r="AB9" i="27"/>
  <c r="AB76" i="27" s="1"/>
  <c r="AA9" i="27"/>
  <c r="Z9" i="27"/>
  <c r="Y9" i="27"/>
  <c r="X9" i="27"/>
  <c r="W9" i="27"/>
  <c r="V9" i="27"/>
  <c r="V76" i="27" s="1"/>
  <c r="U9" i="27"/>
  <c r="U76" i="27" s="1"/>
  <c r="T9" i="27"/>
  <c r="T76" i="27" s="1"/>
  <c r="S9" i="27"/>
  <c r="R9" i="27"/>
  <c r="Q9" i="27"/>
  <c r="P9" i="27"/>
  <c r="P76" i="27" s="1"/>
  <c r="O9" i="27"/>
  <c r="O76" i="27" s="1"/>
  <c r="N9" i="27"/>
  <c r="N76" i="27" s="1"/>
  <c r="M9" i="27"/>
  <c r="L9" i="27"/>
  <c r="K9" i="27"/>
  <c r="J9" i="27"/>
  <c r="I9" i="27"/>
  <c r="I76" i="27" s="1"/>
  <c r="H9" i="27"/>
  <c r="G9" i="27"/>
  <c r="F9" i="27"/>
  <c r="F76" i="27" s="1"/>
  <c r="E9" i="27"/>
  <c r="D9" i="27"/>
  <c r="C9" i="27"/>
  <c r="G34" i="24"/>
  <c r="F31" i="24"/>
  <c r="C22" i="23"/>
  <c r="C18" i="23"/>
  <c r="G11" i="23"/>
  <c r="F10" i="23"/>
  <c r="G10" i="23" s="1"/>
  <c r="F9" i="23"/>
  <c r="G9" i="23" s="1"/>
  <c r="AJ65" i="29"/>
  <c r="AI65" i="29"/>
  <c r="AH65" i="29"/>
  <c r="AG65" i="29"/>
  <c r="AF65" i="29"/>
  <c r="AE65" i="29"/>
  <c r="AD65" i="29"/>
  <c r="AC65" i="29"/>
  <c r="AB65" i="29"/>
  <c r="AA65" i="29"/>
  <c r="Z65" i="29"/>
  <c r="Y65" i="29"/>
  <c r="X65" i="29"/>
  <c r="W65" i="29"/>
  <c r="V65" i="29"/>
  <c r="U65" i="29"/>
  <c r="T65" i="29"/>
  <c r="S65" i="29"/>
  <c r="R65" i="29"/>
  <c r="Q65" i="29"/>
  <c r="P65" i="29"/>
  <c r="O65" i="29"/>
  <c r="N65" i="29"/>
  <c r="M65" i="29"/>
  <c r="L65" i="29"/>
  <c r="K65" i="29"/>
  <c r="J65" i="29"/>
  <c r="I65" i="29"/>
  <c r="H65" i="29"/>
  <c r="G65" i="29"/>
  <c r="AK65" i="29" s="1"/>
  <c r="F65" i="29"/>
  <c r="E65" i="29"/>
  <c r="D65" i="29"/>
  <c r="AJ49" i="29"/>
  <c r="AI49" i="29"/>
  <c r="AH49" i="29"/>
  <c r="AG49" i="29"/>
  <c r="AF49" i="29"/>
  <c r="AE49" i="29"/>
  <c r="AD49" i="29"/>
  <c r="AC49" i="29"/>
  <c r="AB49" i="29"/>
  <c r="AA49" i="29"/>
  <c r="Z49" i="29"/>
  <c r="Y49" i="29"/>
  <c r="X49" i="29"/>
  <c r="W49" i="29"/>
  <c r="V49" i="29"/>
  <c r="U49" i="29"/>
  <c r="T49" i="29"/>
  <c r="S49" i="29"/>
  <c r="R49" i="29"/>
  <c r="Q49" i="29"/>
  <c r="P49" i="29"/>
  <c r="O49" i="29"/>
  <c r="N49" i="29"/>
  <c r="J49" i="29"/>
  <c r="I49" i="29"/>
  <c r="H49" i="29"/>
  <c r="G49" i="29"/>
  <c r="F49" i="29"/>
  <c r="E49" i="29"/>
  <c r="D49" i="29"/>
  <c r="AJ48" i="29"/>
  <c r="AI48" i="29"/>
  <c r="AH48" i="29"/>
  <c r="AG48" i="29"/>
  <c r="AF48" i="29"/>
  <c r="AE48" i="29"/>
  <c r="AD48" i="29"/>
  <c r="AC48" i="29"/>
  <c r="AB48" i="29"/>
  <c r="AA48" i="29"/>
  <c r="Z48" i="29"/>
  <c r="Y48" i="29"/>
  <c r="X48" i="29"/>
  <c r="W48" i="29"/>
  <c r="V48" i="29"/>
  <c r="U48" i="29"/>
  <c r="T48" i="29"/>
  <c r="S48" i="29"/>
  <c r="Q48" i="29"/>
  <c r="P48" i="29"/>
  <c r="O48" i="29"/>
  <c r="N48" i="29"/>
  <c r="J48" i="29"/>
  <c r="I48" i="29"/>
  <c r="H48" i="29"/>
  <c r="G48" i="29"/>
  <c r="F48" i="29"/>
  <c r="E48" i="29"/>
  <c r="D48" i="29"/>
  <c r="AJ47" i="29"/>
  <c r="AI47" i="29"/>
  <c r="AH47" i="29"/>
  <c r="AG47" i="29"/>
  <c r="AF47" i="29"/>
  <c r="AE47" i="29"/>
  <c r="AD47" i="29"/>
  <c r="AC47" i="29"/>
  <c r="AB47" i="29"/>
  <c r="AA47" i="29"/>
  <c r="Z47" i="29"/>
  <c r="Y47" i="29"/>
  <c r="X47" i="29"/>
  <c r="W47" i="29"/>
  <c r="V47" i="29"/>
  <c r="U47" i="29"/>
  <c r="T47" i="29"/>
  <c r="S47" i="29"/>
  <c r="R47" i="29"/>
  <c r="Q47" i="29"/>
  <c r="P47" i="29"/>
  <c r="O47" i="29"/>
  <c r="N47" i="29"/>
  <c r="J47" i="29"/>
  <c r="I47" i="29"/>
  <c r="H47" i="29"/>
  <c r="G47" i="29"/>
  <c r="F47" i="29"/>
  <c r="E47" i="29"/>
  <c r="D47" i="29"/>
  <c r="AJ46" i="29"/>
  <c r="AI46" i="29"/>
  <c r="AH46" i="29"/>
  <c r="AG46" i="29"/>
  <c r="AF46" i="29"/>
  <c r="AE46" i="29"/>
  <c r="AD46" i="29"/>
  <c r="AC46" i="29"/>
  <c r="AB46" i="29"/>
  <c r="AA46" i="29"/>
  <c r="Z46" i="29"/>
  <c r="Y46" i="29"/>
  <c r="X46" i="29"/>
  <c r="W46" i="29"/>
  <c r="V46" i="29"/>
  <c r="U46" i="29"/>
  <c r="T46" i="29"/>
  <c r="S46" i="29"/>
  <c r="Q46" i="29"/>
  <c r="P46" i="29"/>
  <c r="O46" i="29"/>
  <c r="N46" i="29"/>
  <c r="J46" i="29"/>
  <c r="I46" i="29"/>
  <c r="G46" i="29"/>
  <c r="F46" i="29"/>
  <c r="E46" i="29"/>
  <c r="D46" i="29"/>
  <c r="AJ45" i="29"/>
  <c r="AI45" i="29"/>
  <c r="AH45" i="29"/>
  <c r="AG45" i="29"/>
  <c r="AF45" i="29"/>
  <c r="AE45" i="29"/>
  <c r="AD45" i="29"/>
  <c r="AC45" i="29"/>
  <c r="AB45" i="29"/>
  <c r="AA45" i="29"/>
  <c r="Z45" i="29"/>
  <c r="Y45" i="29"/>
  <c r="X45" i="29"/>
  <c r="W45" i="29"/>
  <c r="V45" i="29"/>
  <c r="U45" i="29"/>
  <c r="T45" i="29"/>
  <c r="S45" i="29"/>
  <c r="Q45" i="29"/>
  <c r="P45" i="29"/>
  <c r="O45" i="29"/>
  <c r="N45" i="29"/>
  <c r="J45" i="29"/>
  <c r="I45" i="29"/>
  <c r="H45" i="29"/>
  <c r="G45" i="29"/>
  <c r="F45" i="29"/>
  <c r="E45" i="29"/>
  <c r="D45" i="29"/>
  <c r="AJ44" i="29"/>
  <c r="AI44" i="29"/>
  <c r="AH44" i="29"/>
  <c r="AG44" i="29"/>
  <c r="AF44" i="29"/>
  <c r="AE44" i="29"/>
  <c r="AD44" i="29"/>
  <c r="AC44" i="29"/>
  <c r="AB44" i="29"/>
  <c r="AA44" i="29"/>
  <c r="Z44" i="29"/>
  <c r="Y44" i="29"/>
  <c r="X44" i="29"/>
  <c r="W44" i="29"/>
  <c r="V44" i="29"/>
  <c r="U44" i="29"/>
  <c r="T44" i="29"/>
  <c r="S44" i="29"/>
  <c r="Q44" i="29"/>
  <c r="P44" i="29"/>
  <c r="O44" i="29"/>
  <c r="N44" i="29"/>
  <c r="J44" i="29"/>
  <c r="I44" i="29"/>
  <c r="H44" i="29"/>
  <c r="G44" i="29"/>
  <c r="F44" i="29"/>
  <c r="E44" i="29"/>
  <c r="D44" i="29"/>
  <c r="AJ43" i="29"/>
  <c r="AI43" i="29"/>
  <c r="AH43" i="29"/>
  <c r="AG43" i="29"/>
  <c r="AF43" i="29"/>
  <c r="AE43" i="29"/>
  <c r="AD43" i="29"/>
  <c r="AC43" i="29"/>
  <c r="AB43" i="29"/>
  <c r="AA43" i="29"/>
  <c r="Z43" i="29"/>
  <c r="Y43" i="29"/>
  <c r="X43" i="29"/>
  <c r="W43" i="29"/>
  <c r="V43" i="29"/>
  <c r="U43" i="29"/>
  <c r="T43" i="29"/>
  <c r="S43" i="29"/>
  <c r="Q43" i="29"/>
  <c r="P43" i="29"/>
  <c r="O43" i="29"/>
  <c r="N43" i="29"/>
  <c r="J43" i="29"/>
  <c r="H43" i="29"/>
  <c r="G43" i="29"/>
  <c r="F43" i="29"/>
  <c r="E43" i="29"/>
  <c r="D43" i="29"/>
  <c r="AJ42" i="29"/>
  <c r="AI42" i="29"/>
  <c r="AH42" i="29"/>
  <c r="AG42" i="29"/>
  <c r="AF42" i="29"/>
  <c r="AE42" i="29"/>
  <c r="AD42" i="29"/>
  <c r="AC42" i="29"/>
  <c r="AB42" i="29"/>
  <c r="AA42" i="29"/>
  <c r="Z42" i="29"/>
  <c r="Y42" i="29"/>
  <c r="X42" i="29"/>
  <c r="W42" i="29"/>
  <c r="V42" i="29"/>
  <c r="U42" i="29"/>
  <c r="T42" i="29"/>
  <c r="S42" i="29"/>
  <c r="R42" i="29"/>
  <c r="Q42" i="29"/>
  <c r="P42" i="29"/>
  <c r="O42" i="29"/>
  <c r="N42" i="29"/>
  <c r="J42" i="29"/>
  <c r="H42" i="29"/>
  <c r="G42" i="29"/>
  <c r="F42" i="29"/>
  <c r="E42" i="29"/>
  <c r="D42" i="29"/>
  <c r="AJ41" i="29"/>
  <c r="AI41" i="29"/>
  <c r="AH41" i="29"/>
  <c r="AG41" i="29"/>
  <c r="AF41" i="29"/>
  <c r="AE41" i="29"/>
  <c r="AD41" i="29"/>
  <c r="AC41" i="29"/>
  <c r="AB41" i="29"/>
  <c r="AA41" i="29"/>
  <c r="Z41" i="29"/>
  <c r="Y41" i="29"/>
  <c r="X41" i="29"/>
  <c r="W41" i="29"/>
  <c r="V41" i="29"/>
  <c r="U41" i="29"/>
  <c r="T41" i="29"/>
  <c r="S41" i="29"/>
  <c r="R41" i="29"/>
  <c r="Q41" i="29"/>
  <c r="P41" i="29"/>
  <c r="O41" i="29"/>
  <c r="N41" i="29"/>
  <c r="J41" i="29"/>
  <c r="I41" i="29"/>
  <c r="H41" i="29"/>
  <c r="G41" i="29"/>
  <c r="E41" i="29"/>
  <c r="D41" i="29"/>
  <c r="AJ40" i="29"/>
  <c r="AI40" i="29"/>
  <c r="AH40" i="29"/>
  <c r="AG40" i="29"/>
  <c r="AF40" i="29"/>
  <c r="AE40" i="29"/>
  <c r="AD40" i="29"/>
  <c r="AC40" i="29"/>
  <c r="AB40" i="29"/>
  <c r="AA40" i="29"/>
  <c r="Z40" i="29"/>
  <c r="Y40" i="29"/>
  <c r="X40" i="29"/>
  <c r="W40" i="29"/>
  <c r="V40" i="29"/>
  <c r="U40" i="29"/>
  <c r="T40" i="29"/>
  <c r="S40" i="29"/>
  <c r="R40" i="29"/>
  <c r="Q40" i="29"/>
  <c r="P40" i="29"/>
  <c r="O40" i="29"/>
  <c r="N40" i="29"/>
  <c r="J40" i="29"/>
  <c r="I40" i="29"/>
  <c r="H40" i="29"/>
  <c r="G40" i="29"/>
  <c r="D40" i="29"/>
  <c r="AJ39" i="29"/>
  <c r="AI39" i="29"/>
  <c r="AH39" i="29"/>
  <c r="AG39" i="29"/>
  <c r="AF39" i="29"/>
  <c r="AE39" i="29"/>
  <c r="AD39" i="29"/>
  <c r="AC39" i="29"/>
  <c r="AB39" i="29"/>
  <c r="AA39" i="29"/>
  <c r="Z39" i="29"/>
  <c r="Y39" i="29"/>
  <c r="X39" i="29"/>
  <c r="W39" i="29"/>
  <c r="V39" i="29"/>
  <c r="U39" i="29"/>
  <c r="T39" i="29"/>
  <c r="S39" i="29"/>
  <c r="R39" i="29"/>
  <c r="Q39" i="29"/>
  <c r="P39" i="29"/>
  <c r="O39" i="29"/>
  <c r="N39" i="29"/>
  <c r="J39" i="29"/>
  <c r="I39" i="29"/>
  <c r="H39" i="29"/>
  <c r="G39" i="29"/>
  <c r="F39" i="29"/>
  <c r="E39" i="29"/>
  <c r="D39" i="29"/>
  <c r="AJ38" i="29"/>
  <c r="AI38" i="29"/>
  <c r="AH38" i="29"/>
  <c r="AG38" i="29"/>
  <c r="AF38" i="29"/>
  <c r="AE38" i="29"/>
  <c r="AD38" i="29"/>
  <c r="AC38" i="29"/>
  <c r="AB38" i="29"/>
  <c r="AA38" i="29"/>
  <c r="Z38" i="29"/>
  <c r="Y38" i="29"/>
  <c r="X38" i="29"/>
  <c r="W38" i="29"/>
  <c r="V38" i="29"/>
  <c r="U38" i="29"/>
  <c r="T38" i="29"/>
  <c r="S38" i="29"/>
  <c r="R38" i="29"/>
  <c r="Q38" i="29"/>
  <c r="O38" i="29"/>
  <c r="N38" i="29"/>
  <c r="J38" i="29"/>
  <c r="I38" i="29"/>
  <c r="H38" i="29"/>
  <c r="G38" i="29"/>
  <c r="F38" i="29"/>
  <c r="E38" i="29"/>
  <c r="D38" i="29"/>
  <c r="AJ37" i="29"/>
  <c r="AI37" i="29"/>
  <c r="AH37" i="29"/>
  <c r="AG37" i="29"/>
  <c r="AF37" i="29"/>
  <c r="AE37" i="29"/>
  <c r="AD37" i="29"/>
  <c r="AC37" i="29"/>
  <c r="AB37" i="29"/>
  <c r="AA37" i="29"/>
  <c r="Z37" i="29"/>
  <c r="Y37" i="29"/>
  <c r="X37" i="29"/>
  <c r="W37" i="29"/>
  <c r="V37" i="29"/>
  <c r="U37" i="29"/>
  <c r="T37" i="29"/>
  <c r="S37" i="29"/>
  <c r="R37" i="29"/>
  <c r="Q37" i="29"/>
  <c r="P37" i="29"/>
  <c r="N37" i="29"/>
  <c r="J37" i="29"/>
  <c r="I37" i="29"/>
  <c r="H37" i="29"/>
  <c r="G37" i="29"/>
  <c r="F37" i="29"/>
  <c r="E37" i="29"/>
  <c r="D37" i="29"/>
  <c r="AJ36" i="29"/>
  <c r="AJ27" i="29"/>
  <c r="AJ50" i="29" s="1"/>
  <c r="AJ28" i="29"/>
  <c r="AJ29" i="29"/>
  <c r="AJ30" i="29"/>
  <c r="AJ31" i="29"/>
  <c r="AJ32" i="29"/>
  <c r="AJ33" i="29"/>
  <c r="AJ34" i="29"/>
  <c r="AJ35" i="29"/>
  <c r="AI36" i="29"/>
  <c r="AH36" i="29"/>
  <c r="AG36" i="29"/>
  <c r="AF36" i="29"/>
  <c r="AE36" i="29"/>
  <c r="AD36" i="29"/>
  <c r="AC36" i="29"/>
  <c r="AB36" i="29"/>
  <c r="AB27" i="29"/>
  <c r="AB50" i="29" s="1"/>
  <c r="AB28" i="29"/>
  <c r="AB29" i="29"/>
  <c r="AB30" i="29"/>
  <c r="AB31" i="29"/>
  <c r="AB32" i="29"/>
  <c r="AB33" i="29"/>
  <c r="AB34" i="29"/>
  <c r="AB35" i="29"/>
  <c r="AA36" i="29"/>
  <c r="Z36" i="29"/>
  <c r="Y36" i="29"/>
  <c r="X36" i="29"/>
  <c r="W36" i="29"/>
  <c r="V36" i="29"/>
  <c r="U36" i="29"/>
  <c r="T36" i="29"/>
  <c r="T27" i="29"/>
  <c r="T28" i="29"/>
  <c r="T29" i="29"/>
  <c r="T30" i="29"/>
  <c r="T31" i="29"/>
  <c r="T32" i="29"/>
  <c r="T33" i="29"/>
  <c r="T34" i="29"/>
  <c r="T35" i="29"/>
  <c r="S36" i="29"/>
  <c r="R36" i="29"/>
  <c r="Q36" i="29"/>
  <c r="P36" i="29"/>
  <c r="P27" i="29"/>
  <c r="P28" i="29"/>
  <c r="P29" i="29"/>
  <c r="P30" i="29"/>
  <c r="P31" i="29"/>
  <c r="P32" i="29"/>
  <c r="P33" i="29"/>
  <c r="P34" i="29"/>
  <c r="P35" i="29"/>
  <c r="O36" i="29"/>
  <c r="N36" i="29"/>
  <c r="J36" i="29"/>
  <c r="I36" i="29"/>
  <c r="H36" i="29"/>
  <c r="G36" i="29"/>
  <c r="F36" i="29"/>
  <c r="E36" i="29"/>
  <c r="D36" i="29"/>
  <c r="AI35" i="29"/>
  <c r="AH35" i="29"/>
  <c r="AG35" i="29"/>
  <c r="AF35" i="29"/>
  <c r="AE35" i="29"/>
  <c r="AD35" i="29"/>
  <c r="AC35" i="29"/>
  <c r="AA35" i="29"/>
  <c r="Z35" i="29"/>
  <c r="Y35" i="29"/>
  <c r="X35" i="29"/>
  <c r="W35" i="29"/>
  <c r="V35" i="29"/>
  <c r="U35" i="29"/>
  <c r="S35" i="29"/>
  <c r="R35" i="29"/>
  <c r="R27" i="29"/>
  <c r="R28" i="29"/>
  <c r="R29" i="29"/>
  <c r="R30" i="29"/>
  <c r="R31" i="29"/>
  <c r="R32" i="29"/>
  <c r="R33" i="29"/>
  <c r="R34" i="29"/>
  <c r="Q35" i="29"/>
  <c r="O35" i="29"/>
  <c r="N35" i="29"/>
  <c r="I35" i="29"/>
  <c r="H35" i="29"/>
  <c r="G35" i="29"/>
  <c r="F35" i="29"/>
  <c r="E35" i="29"/>
  <c r="D35" i="29"/>
  <c r="AI34" i="29"/>
  <c r="AH34" i="29"/>
  <c r="AG34" i="29"/>
  <c r="AF34" i="29"/>
  <c r="AE34" i="29"/>
  <c r="AD34" i="29"/>
  <c r="AC34" i="29"/>
  <c r="AA34" i="29"/>
  <c r="Z34" i="29"/>
  <c r="Y34" i="29"/>
  <c r="X34" i="29"/>
  <c r="W34" i="29"/>
  <c r="V34" i="29"/>
  <c r="U34" i="29"/>
  <c r="S34" i="29"/>
  <c r="Q34" i="29"/>
  <c r="O34" i="29"/>
  <c r="N34" i="29"/>
  <c r="J34" i="29"/>
  <c r="I34" i="29"/>
  <c r="H34" i="29"/>
  <c r="G34" i="29"/>
  <c r="F34" i="29"/>
  <c r="E34" i="29"/>
  <c r="D34" i="29"/>
  <c r="AI33" i="29"/>
  <c r="AH33" i="29"/>
  <c r="AG33" i="29"/>
  <c r="AG27" i="29"/>
  <c r="AG50" i="29" s="1"/>
  <c r="AG28" i="29"/>
  <c r="AG29" i="29"/>
  <c r="AG30" i="29"/>
  <c r="AG31" i="29"/>
  <c r="AG32" i="29"/>
  <c r="AF33" i="29"/>
  <c r="AE33" i="29"/>
  <c r="AD33" i="29"/>
  <c r="AC33" i="29"/>
  <c r="AC27" i="29"/>
  <c r="AC50" i="29" s="1"/>
  <c r="AC28" i="29"/>
  <c r="AC29" i="29"/>
  <c r="AC30" i="29"/>
  <c r="AC31" i="29"/>
  <c r="AC32" i="29"/>
  <c r="AA33" i="29"/>
  <c r="Z33" i="29"/>
  <c r="Y33" i="29"/>
  <c r="Y27" i="29"/>
  <c r="Y50" i="29" s="1"/>
  <c r="Y28" i="29"/>
  <c r="Y29" i="29"/>
  <c r="Y30" i="29"/>
  <c r="Y31" i="29"/>
  <c r="Y32" i="29"/>
  <c r="X33" i="29"/>
  <c r="W33" i="29"/>
  <c r="V33" i="29"/>
  <c r="U33" i="29"/>
  <c r="U27" i="29"/>
  <c r="U28" i="29"/>
  <c r="U29" i="29"/>
  <c r="U30" i="29"/>
  <c r="U31" i="29"/>
  <c r="U32" i="29"/>
  <c r="S33" i="29"/>
  <c r="Q33" i="29"/>
  <c r="O33" i="29"/>
  <c r="N33" i="29"/>
  <c r="J33" i="29"/>
  <c r="I33" i="29"/>
  <c r="H33" i="29"/>
  <c r="G33" i="29"/>
  <c r="F33" i="29"/>
  <c r="E33" i="29"/>
  <c r="D33" i="29"/>
  <c r="AI32" i="29"/>
  <c r="AH32" i="29"/>
  <c r="AF32" i="29"/>
  <c r="AE32" i="29"/>
  <c r="AD32" i="29"/>
  <c r="AA32" i="29"/>
  <c r="AA27" i="29"/>
  <c r="AA50" i="29" s="1"/>
  <c r="AA28" i="29"/>
  <c r="AA29" i="29"/>
  <c r="AA30" i="29"/>
  <c r="AA31" i="29"/>
  <c r="Z32" i="29"/>
  <c r="Z27" i="29"/>
  <c r="Z50" i="29" s="1"/>
  <c r="Z28" i="29"/>
  <c r="Z29" i="29"/>
  <c r="Z30" i="29"/>
  <c r="Z31" i="29"/>
  <c r="X32" i="29"/>
  <c r="W32" i="29"/>
  <c r="V32" i="29"/>
  <c r="S32" i="29"/>
  <c r="Q32" i="29"/>
  <c r="N32" i="29"/>
  <c r="J32" i="29"/>
  <c r="J27" i="29"/>
  <c r="J50" i="29" s="1"/>
  <c r="J28" i="29"/>
  <c r="J30" i="29"/>
  <c r="J31" i="29"/>
  <c r="I32" i="29"/>
  <c r="H32" i="29"/>
  <c r="G32" i="29"/>
  <c r="F32" i="29"/>
  <c r="E32" i="29"/>
  <c r="D32" i="29"/>
  <c r="AI31" i="29"/>
  <c r="AH31" i="29"/>
  <c r="AF31" i="29"/>
  <c r="AE31" i="29"/>
  <c r="AD31" i="29"/>
  <c r="X31" i="29"/>
  <c r="W31" i="29"/>
  <c r="V31" i="29"/>
  <c r="S31" i="29"/>
  <c r="Q31" i="29"/>
  <c r="N31" i="29"/>
  <c r="I31" i="29"/>
  <c r="H31" i="29"/>
  <c r="G31" i="29"/>
  <c r="F31" i="29"/>
  <c r="E31" i="29"/>
  <c r="D31" i="29"/>
  <c r="AI30" i="29"/>
  <c r="AH30" i="29"/>
  <c r="AF30" i="29"/>
  <c r="AE30" i="29"/>
  <c r="AD30" i="29"/>
  <c r="X30" i="29"/>
  <c r="X27" i="29"/>
  <c r="X50" i="29" s="1"/>
  <c r="X28" i="29"/>
  <c r="X29" i="29"/>
  <c r="W30" i="29"/>
  <c r="V30" i="29"/>
  <c r="S30" i="29"/>
  <c r="Q30" i="29"/>
  <c r="O30" i="29"/>
  <c r="N30" i="29"/>
  <c r="I30" i="29"/>
  <c r="H30" i="29"/>
  <c r="G30" i="29"/>
  <c r="F30" i="29"/>
  <c r="E30" i="29"/>
  <c r="D30" i="29"/>
  <c r="AI29" i="29"/>
  <c r="AH29" i="29"/>
  <c r="AH27" i="29"/>
  <c r="AH50" i="29" s="1"/>
  <c r="AH28" i="29"/>
  <c r="AF29" i="29"/>
  <c r="AE29" i="29"/>
  <c r="AD29" i="29"/>
  <c r="W29" i="29"/>
  <c r="V29" i="29"/>
  <c r="S29" i="29"/>
  <c r="S27" i="29"/>
  <c r="S28" i="29"/>
  <c r="Q29" i="29"/>
  <c r="O29" i="29"/>
  <c r="N29" i="29"/>
  <c r="I29" i="29"/>
  <c r="H29" i="29"/>
  <c r="G29" i="29"/>
  <c r="G27" i="29"/>
  <c r="G50" i="29" s="1"/>
  <c r="G28" i="29"/>
  <c r="F29" i="29"/>
  <c r="F27" i="29"/>
  <c r="F50" i="29" s="1"/>
  <c r="F28" i="29"/>
  <c r="E29" i="29"/>
  <c r="D29" i="29"/>
  <c r="AI28" i="29"/>
  <c r="AI27" i="29"/>
  <c r="AI50" i="29" s="1"/>
  <c r="AF28" i="29"/>
  <c r="AE28" i="29"/>
  <c r="AD28" i="29"/>
  <c r="W28" i="29"/>
  <c r="W27" i="29"/>
  <c r="V28" i="29"/>
  <c r="Q28" i="29"/>
  <c r="O28" i="29"/>
  <c r="O27" i="29"/>
  <c r="N28" i="29"/>
  <c r="I28" i="29"/>
  <c r="H28" i="29"/>
  <c r="H27" i="29"/>
  <c r="H50" i="29" s="1"/>
  <c r="E28" i="29"/>
  <c r="D28" i="29"/>
  <c r="D27" i="29"/>
  <c r="D50" i="29" s="1"/>
  <c r="AF27" i="29"/>
  <c r="AF50" i="29" s="1"/>
  <c r="AE27" i="29"/>
  <c r="AE50" i="29" s="1"/>
  <c r="AD27" i="29"/>
  <c r="AD50" i="29" s="1"/>
  <c r="V27" i="29"/>
  <c r="Q27" i="29"/>
  <c r="N27" i="29"/>
  <c r="N50" i="29" s="1"/>
  <c r="L27" i="29"/>
  <c r="L50" i="29" s="1"/>
  <c r="I27" i="29"/>
  <c r="I50" i="29" s="1"/>
  <c r="E27" i="29"/>
  <c r="E50" i="29" s="1"/>
  <c r="AK50" i="29" s="1"/>
  <c r="AJ24" i="29"/>
  <c r="AI24" i="29"/>
  <c r="AH24" i="29"/>
  <c r="AF24" i="29"/>
  <c r="AE24" i="29"/>
  <c r="AD24" i="29"/>
  <c r="AC24" i="29"/>
  <c r="AB24" i="29"/>
  <c r="AA24" i="29"/>
  <c r="Z24" i="29"/>
  <c r="Y24" i="29"/>
  <c r="X24" i="29"/>
  <c r="W24" i="29"/>
  <c r="V24" i="29"/>
  <c r="U24" i="29"/>
  <c r="U20" i="29"/>
  <c r="U21" i="29"/>
  <c r="U22" i="29"/>
  <c r="U23" i="29"/>
  <c r="T24" i="29"/>
  <c r="S24" i="29"/>
  <c r="R24" i="29"/>
  <c r="Q24" i="29"/>
  <c r="P24" i="29"/>
  <c r="O24" i="29"/>
  <c r="M24" i="29"/>
  <c r="J24" i="29"/>
  <c r="I24" i="29"/>
  <c r="H24" i="29"/>
  <c r="G24" i="29"/>
  <c r="F24" i="29"/>
  <c r="E24" i="29"/>
  <c r="D24" i="29"/>
  <c r="AJ23" i="29"/>
  <c r="AJ20" i="29"/>
  <c r="AJ21" i="29"/>
  <c r="AJ22" i="29"/>
  <c r="AI23" i="29"/>
  <c r="AH23" i="29"/>
  <c r="AG23" i="29"/>
  <c r="AF23" i="29"/>
  <c r="AF20" i="29"/>
  <c r="AF25" i="29" s="1"/>
  <c r="AF21" i="29"/>
  <c r="AF22" i="29"/>
  <c r="AE23" i="29"/>
  <c r="AE20" i="29"/>
  <c r="AE25" i="29" s="1"/>
  <c r="AE21" i="29"/>
  <c r="AE22" i="29"/>
  <c r="AD23" i="29"/>
  <c r="AC23" i="29"/>
  <c r="AB23" i="29"/>
  <c r="AA23" i="29"/>
  <c r="Z23" i="29"/>
  <c r="Y23" i="29"/>
  <c r="X23" i="29"/>
  <c r="W23" i="29"/>
  <c r="V23" i="29"/>
  <c r="T23" i="29"/>
  <c r="S23" i="29"/>
  <c r="R23" i="29"/>
  <c r="Q23" i="29"/>
  <c r="P23" i="29"/>
  <c r="O23" i="29"/>
  <c r="M23" i="29"/>
  <c r="J23" i="29"/>
  <c r="I23" i="29"/>
  <c r="H23" i="29"/>
  <c r="G23" i="29"/>
  <c r="F23" i="29"/>
  <c r="E23" i="29"/>
  <c r="D23" i="29"/>
  <c r="AI22" i="29"/>
  <c r="AH22" i="29"/>
  <c r="AG22" i="29"/>
  <c r="AD22" i="29"/>
  <c r="AC22" i="29"/>
  <c r="AB22" i="29"/>
  <c r="AA22" i="29"/>
  <c r="Z22" i="29"/>
  <c r="Y22" i="29"/>
  <c r="X22" i="29"/>
  <c r="W22" i="29"/>
  <c r="V22" i="29"/>
  <c r="T22" i="29"/>
  <c r="S22" i="29"/>
  <c r="R22" i="29"/>
  <c r="Q22" i="29"/>
  <c r="P22" i="29"/>
  <c r="O22" i="29"/>
  <c r="M22" i="29"/>
  <c r="L22" i="29"/>
  <c r="J22" i="29"/>
  <c r="I22" i="29"/>
  <c r="H22" i="29"/>
  <c r="G22" i="29"/>
  <c r="F22" i="29"/>
  <c r="E22" i="29"/>
  <c r="D22" i="29"/>
  <c r="AI21" i="29"/>
  <c r="AH21" i="29"/>
  <c r="AG21" i="29"/>
  <c r="AD21" i="29"/>
  <c r="AC21" i="29"/>
  <c r="AB21" i="29"/>
  <c r="AA21" i="29"/>
  <c r="Z21" i="29"/>
  <c r="Y21" i="29"/>
  <c r="Y20" i="29"/>
  <c r="Y25" i="29" s="1"/>
  <c r="X21" i="29"/>
  <c r="W21" i="29"/>
  <c r="V21" i="29"/>
  <c r="V20" i="29"/>
  <c r="T21" i="29"/>
  <c r="S21" i="29"/>
  <c r="R21" i="29"/>
  <c r="Q21" i="29"/>
  <c r="P21" i="29"/>
  <c r="O21" i="29"/>
  <c r="M21" i="29"/>
  <c r="K21" i="29"/>
  <c r="J21" i="29"/>
  <c r="I21" i="29"/>
  <c r="H21" i="29"/>
  <c r="H20" i="29"/>
  <c r="H25" i="29" s="1"/>
  <c r="G21" i="29"/>
  <c r="G20" i="29"/>
  <c r="G25" i="29" s="1"/>
  <c r="F21" i="29"/>
  <c r="E21" i="29"/>
  <c r="E20" i="29"/>
  <c r="E25" i="29" s="1"/>
  <c r="D21" i="29"/>
  <c r="D20" i="29"/>
  <c r="D25" i="29" s="1"/>
  <c r="AK25" i="29" s="1"/>
  <c r="AI20" i="29"/>
  <c r="AI25" i="29" s="1"/>
  <c r="AH20" i="29"/>
  <c r="AH25" i="29" s="1"/>
  <c r="AG20" i="29"/>
  <c r="AG25" i="29" s="1"/>
  <c r="AD20" i="29"/>
  <c r="AD25" i="29" s="1"/>
  <c r="AC20" i="29"/>
  <c r="AC25" i="29" s="1"/>
  <c r="AB20" i="29"/>
  <c r="AB25" i="29" s="1"/>
  <c r="AA20" i="29"/>
  <c r="AA25" i="29" s="1"/>
  <c r="Z20" i="29"/>
  <c r="Z25" i="29" s="1"/>
  <c r="X20" i="29"/>
  <c r="X25" i="29" s="1"/>
  <c r="W20" i="29"/>
  <c r="T20" i="29"/>
  <c r="S20" i="29"/>
  <c r="R20" i="29"/>
  <c r="Q20" i="29"/>
  <c r="P20" i="29"/>
  <c r="O20" i="29"/>
  <c r="M20" i="29"/>
  <c r="M25" i="29" s="1"/>
  <c r="L20" i="29"/>
  <c r="L25" i="29" s="1"/>
  <c r="J20" i="29"/>
  <c r="J25" i="29" s="1"/>
  <c r="I20" i="29"/>
  <c r="I25" i="29" s="1"/>
  <c r="F20" i="29"/>
  <c r="F25" i="29" s="1"/>
  <c r="AJ17" i="29"/>
  <c r="AI17" i="29"/>
  <c r="AH17" i="29"/>
  <c r="AG17" i="29"/>
  <c r="AF17" i="29"/>
  <c r="AE17" i="29"/>
  <c r="AD17" i="29"/>
  <c r="AC17" i="29"/>
  <c r="AB17" i="29"/>
  <c r="AA17" i="29"/>
  <c r="Z17" i="29"/>
  <c r="Y17" i="29"/>
  <c r="X17" i="29"/>
  <c r="W17" i="29"/>
  <c r="V17" i="29"/>
  <c r="U17" i="29"/>
  <c r="T17" i="29"/>
  <c r="S17" i="29"/>
  <c r="P17" i="29"/>
  <c r="M17" i="29"/>
  <c r="M11" i="29"/>
  <c r="M18" i="29" s="1"/>
  <c r="M12" i="29"/>
  <c r="M13" i="29"/>
  <c r="M14" i="29"/>
  <c r="M15" i="29"/>
  <c r="M16" i="29"/>
  <c r="L17" i="29"/>
  <c r="J17" i="29"/>
  <c r="I17" i="29"/>
  <c r="H17" i="29"/>
  <c r="G17" i="29"/>
  <c r="F17" i="29"/>
  <c r="E17" i="29"/>
  <c r="D17" i="29"/>
  <c r="AJ16" i="29"/>
  <c r="AI16" i="29"/>
  <c r="AH16" i="29"/>
  <c r="AG16" i="29"/>
  <c r="AG11" i="29"/>
  <c r="AG18" i="29" s="1"/>
  <c r="AG12" i="29"/>
  <c r="AG13" i="29"/>
  <c r="AG14" i="29"/>
  <c r="AG15" i="29"/>
  <c r="AF16" i="29"/>
  <c r="AE16" i="29"/>
  <c r="AD16" i="29"/>
  <c r="AC16" i="29"/>
  <c r="AB16" i="29"/>
  <c r="AA16" i="29"/>
  <c r="Z16" i="29"/>
  <c r="Y16" i="29"/>
  <c r="X16" i="29"/>
  <c r="W16" i="29"/>
  <c r="V16" i="29"/>
  <c r="U16" i="29"/>
  <c r="U11" i="29"/>
  <c r="U12" i="29"/>
  <c r="U13" i="29"/>
  <c r="U14" i="29"/>
  <c r="U15" i="29"/>
  <c r="T16" i="29"/>
  <c r="S16" i="29"/>
  <c r="P16" i="29"/>
  <c r="O16" i="29"/>
  <c r="L16" i="29"/>
  <c r="J16" i="29"/>
  <c r="I16" i="29"/>
  <c r="H16" i="29"/>
  <c r="G16" i="29"/>
  <c r="F16" i="29"/>
  <c r="E16" i="29"/>
  <c r="D16" i="29"/>
  <c r="AJ15" i="29"/>
  <c r="AI15" i="29"/>
  <c r="AH15" i="29"/>
  <c r="AF15" i="29"/>
  <c r="AE15" i="29"/>
  <c r="AD15" i="29"/>
  <c r="AC15" i="29"/>
  <c r="AB15" i="29"/>
  <c r="AA15" i="29"/>
  <c r="AA11" i="29"/>
  <c r="AA18" i="29" s="1"/>
  <c r="AA12" i="29"/>
  <c r="AA13" i="29"/>
  <c r="AA14" i="29"/>
  <c r="Z15" i="29"/>
  <c r="Y15" i="29"/>
  <c r="X15" i="29"/>
  <c r="W15" i="29"/>
  <c r="V15" i="29"/>
  <c r="T15" i="29"/>
  <c r="S15" i="29"/>
  <c r="R11" i="29"/>
  <c r="R12" i="29"/>
  <c r="R13" i="29"/>
  <c r="P15" i="29"/>
  <c r="N15" i="29"/>
  <c r="L15" i="29"/>
  <c r="K15" i="29"/>
  <c r="J15" i="29"/>
  <c r="I15" i="29"/>
  <c r="H15" i="29"/>
  <c r="G15" i="29"/>
  <c r="F15" i="29"/>
  <c r="E15" i="29"/>
  <c r="D15" i="29"/>
  <c r="AJ14" i="29"/>
  <c r="AI14" i="29"/>
  <c r="AH14" i="29"/>
  <c r="AF14" i="29"/>
  <c r="AE14" i="29"/>
  <c r="AD14" i="29"/>
  <c r="AC14" i="29"/>
  <c r="AB14" i="29"/>
  <c r="Z14" i="29"/>
  <c r="Y14" i="29"/>
  <c r="X14" i="29"/>
  <c r="W14" i="29"/>
  <c r="V14" i="29"/>
  <c r="T14" i="29"/>
  <c r="S14" i="29"/>
  <c r="P14" i="29"/>
  <c r="O14" i="29"/>
  <c r="N14" i="29"/>
  <c r="J14" i="29"/>
  <c r="I14" i="29"/>
  <c r="H14" i="29"/>
  <c r="H11" i="29"/>
  <c r="H18" i="29" s="1"/>
  <c r="H12" i="29"/>
  <c r="H13" i="29"/>
  <c r="G14" i="29"/>
  <c r="F14" i="29"/>
  <c r="E14" i="29"/>
  <c r="D14" i="29"/>
  <c r="D11" i="29"/>
  <c r="D18" i="29" s="1"/>
  <c r="AK18" i="29" s="1"/>
  <c r="D12" i="29"/>
  <c r="D13" i="29"/>
  <c r="AJ13" i="29"/>
  <c r="AI13" i="29"/>
  <c r="AH13" i="29"/>
  <c r="AF13" i="29"/>
  <c r="AE13" i="29"/>
  <c r="AD13" i="29"/>
  <c r="AC13" i="29"/>
  <c r="AB13" i="29"/>
  <c r="Z13" i="29"/>
  <c r="Y13" i="29"/>
  <c r="X13" i="29"/>
  <c r="X11" i="29"/>
  <c r="X18" i="29" s="1"/>
  <c r="X12" i="29"/>
  <c r="W13" i="29"/>
  <c r="V13" i="29"/>
  <c r="T13" i="29"/>
  <c r="S13" i="29"/>
  <c r="S11" i="29"/>
  <c r="S12" i="29"/>
  <c r="Q13" i="29"/>
  <c r="P13" i="29"/>
  <c r="O13" i="29"/>
  <c r="O11" i="29"/>
  <c r="O12" i="29"/>
  <c r="N13" i="29"/>
  <c r="L13" i="29"/>
  <c r="J13" i="29"/>
  <c r="J11" i="29"/>
  <c r="J18" i="29" s="1"/>
  <c r="J12" i="29"/>
  <c r="I13" i="29"/>
  <c r="G13" i="29"/>
  <c r="G11" i="29"/>
  <c r="G18" i="29" s="1"/>
  <c r="G12" i="29"/>
  <c r="F13" i="29"/>
  <c r="E13" i="29"/>
  <c r="AJ12" i="29"/>
  <c r="AI12" i="29"/>
  <c r="AH12" i="29"/>
  <c r="AF12" i="29"/>
  <c r="AE12" i="29"/>
  <c r="AE11" i="29"/>
  <c r="AE18" i="29" s="1"/>
  <c r="AD12" i="29"/>
  <c r="AC12" i="29"/>
  <c r="AB12" i="29"/>
  <c r="Z12" i="29"/>
  <c r="Y12" i="29"/>
  <c r="W12" i="29"/>
  <c r="W11" i="29"/>
  <c r="V12" i="29"/>
  <c r="T12" i="29"/>
  <c r="Q12" i="29"/>
  <c r="P12" i="29"/>
  <c r="N12" i="29"/>
  <c r="L12" i="29"/>
  <c r="K12" i="29"/>
  <c r="I12" i="29"/>
  <c r="F12" i="29"/>
  <c r="E12" i="29"/>
  <c r="AJ11" i="29"/>
  <c r="AI11" i="29"/>
  <c r="AI18" i="29" s="1"/>
  <c r="AH11" i="29"/>
  <c r="AH18" i="29" s="1"/>
  <c r="AF11" i="29"/>
  <c r="AF18" i="29" s="1"/>
  <c r="AD11" i="29"/>
  <c r="AD18" i="29" s="1"/>
  <c r="AC11" i="29"/>
  <c r="AC18" i="29" s="1"/>
  <c r="AB11" i="29"/>
  <c r="AB18" i="29" s="1"/>
  <c r="Z11" i="29"/>
  <c r="Z18" i="29" s="1"/>
  <c r="Y11" i="29"/>
  <c r="Y18" i="29" s="1"/>
  <c r="V11" i="29"/>
  <c r="T11" i="29"/>
  <c r="Q11" i="29"/>
  <c r="P11" i="29"/>
  <c r="N11" i="29"/>
  <c r="N18" i="29" s="1"/>
  <c r="L11" i="29"/>
  <c r="L18" i="29" s="1"/>
  <c r="K11" i="29"/>
  <c r="K18" i="29" s="1"/>
  <c r="I11" i="29"/>
  <c r="I18" i="29" s="1"/>
  <c r="F11" i="29"/>
  <c r="F18" i="29" s="1"/>
  <c r="E11" i="29"/>
  <c r="E18" i="29" s="1"/>
  <c r="AJ8" i="29"/>
  <c r="AI8" i="29"/>
  <c r="AH8" i="29"/>
  <c r="AG8" i="29"/>
  <c r="AE8" i="29"/>
  <c r="AD8" i="29"/>
  <c r="AC8" i="29"/>
  <c r="AB8" i="29"/>
  <c r="AA8" i="29"/>
  <c r="Y8" i="29"/>
  <c r="W8" i="29"/>
  <c r="V8" i="29"/>
  <c r="U8" i="29"/>
  <c r="T8" i="29"/>
  <c r="O8" i="29"/>
  <c r="L8" i="29"/>
  <c r="K8" i="29"/>
  <c r="J8" i="29"/>
  <c r="I8" i="29"/>
  <c r="H8" i="29"/>
  <c r="G8" i="29"/>
  <c r="F8" i="29"/>
  <c r="E8" i="29"/>
  <c r="D8" i="29"/>
  <c r="AJ7" i="29"/>
  <c r="AI7" i="29"/>
  <c r="AH7" i="29"/>
  <c r="AG7" i="29"/>
  <c r="AF7" i="29"/>
  <c r="AE7" i="29"/>
  <c r="AD7" i="29"/>
  <c r="AC7" i="29"/>
  <c r="AB7" i="29"/>
  <c r="AA7" i="29"/>
  <c r="Z7" i="29"/>
  <c r="X7" i="29"/>
  <c r="V7" i="29"/>
  <c r="U7" i="29"/>
  <c r="T7" i="29"/>
  <c r="O7" i="29"/>
  <c r="N7" i="29"/>
  <c r="L7" i="29"/>
  <c r="K7" i="29"/>
  <c r="J7" i="29"/>
  <c r="I7" i="29"/>
  <c r="H7" i="29"/>
  <c r="H2" i="29"/>
  <c r="H9" i="29" s="1"/>
  <c r="H3" i="29"/>
  <c r="H4" i="29"/>
  <c r="H5" i="29"/>
  <c r="H6" i="29"/>
  <c r="G7" i="29"/>
  <c r="G2" i="29"/>
  <c r="G9" i="29" s="1"/>
  <c r="G3" i="29"/>
  <c r="G4" i="29"/>
  <c r="G5" i="29"/>
  <c r="G6" i="29"/>
  <c r="F7" i="29"/>
  <c r="E7" i="29"/>
  <c r="D7" i="29"/>
  <c r="AJ6" i="29"/>
  <c r="AI6" i="29"/>
  <c r="AH6" i="29"/>
  <c r="AG6" i="29"/>
  <c r="AG2" i="29"/>
  <c r="AG9" i="29" s="1"/>
  <c r="AG3" i="29"/>
  <c r="AG4" i="29"/>
  <c r="AG5" i="29"/>
  <c r="AE6" i="29"/>
  <c r="AD6" i="29"/>
  <c r="AC6" i="29"/>
  <c r="AB6" i="29"/>
  <c r="AA6" i="29"/>
  <c r="Z6" i="29"/>
  <c r="X6" i="29"/>
  <c r="V6" i="29"/>
  <c r="U6" i="29"/>
  <c r="T6" i="29"/>
  <c r="O6" i="29"/>
  <c r="L6" i="29"/>
  <c r="J6" i="29"/>
  <c r="I6" i="29"/>
  <c r="F6" i="29"/>
  <c r="E6" i="29"/>
  <c r="D6" i="29"/>
  <c r="AJ5" i="29"/>
  <c r="AI5" i="29"/>
  <c r="AI2" i="29"/>
  <c r="AI9" i="29" s="1"/>
  <c r="AI3" i="29"/>
  <c r="AI4" i="29"/>
  <c r="AH5" i="29"/>
  <c r="AF5" i="29"/>
  <c r="AE5" i="29"/>
  <c r="AD5" i="29"/>
  <c r="AC5" i="29"/>
  <c r="AB5" i="29"/>
  <c r="AA5" i="29"/>
  <c r="Z5" i="29"/>
  <c r="Y5" i="29"/>
  <c r="X5" i="29"/>
  <c r="W5" i="29"/>
  <c r="V5" i="29"/>
  <c r="U5" i="29"/>
  <c r="T5" i="29"/>
  <c r="S5" i="29"/>
  <c r="R5" i="29"/>
  <c r="Q5" i="29"/>
  <c r="P5" i="29"/>
  <c r="O5" i="29"/>
  <c r="N5" i="29"/>
  <c r="L5" i="29"/>
  <c r="J5" i="29"/>
  <c r="I5" i="29"/>
  <c r="I2" i="29"/>
  <c r="I9" i="29" s="1"/>
  <c r="I3" i="29"/>
  <c r="I4" i="29"/>
  <c r="F5" i="29"/>
  <c r="E5" i="29"/>
  <c r="E2" i="29"/>
  <c r="E9" i="29" s="1"/>
  <c r="E3" i="29"/>
  <c r="E4" i="29"/>
  <c r="D5" i="29"/>
  <c r="AJ4" i="29"/>
  <c r="AH4" i="29"/>
  <c r="AH2" i="29"/>
  <c r="AH9" i="29" s="1"/>
  <c r="AH3" i="29"/>
  <c r="AF4" i="29"/>
  <c r="AE4" i="29"/>
  <c r="AD4" i="29"/>
  <c r="AD2" i="29"/>
  <c r="AD9" i="29" s="1"/>
  <c r="AD3" i="29"/>
  <c r="AC4" i="29"/>
  <c r="AB4" i="29"/>
  <c r="AA4" i="29"/>
  <c r="Z4" i="29"/>
  <c r="Y4" i="29"/>
  <c r="X4" i="29"/>
  <c r="W4" i="29"/>
  <c r="V4" i="29"/>
  <c r="U4" i="29"/>
  <c r="T4" i="29"/>
  <c r="S4" i="29"/>
  <c r="R4" i="29"/>
  <c r="Q4" i="29"/>
  <c r="P4" i="29"/>
  <c r="O4" i="29"/>
  <c r="N4" i="29"/>
  <c r="M4" i="29"/>
  <c r="L4" i="29"/>
  <c r="K4" i="29"/>
  <c r="J4" i="29"/>
  <c r="F4" i="29"/>
  <c r="D4" i="29"/>
  <c r="AJ3" i="29"/>
  <c r="AJ2" i="29"/>
  <c r="AJ9" i="29" s="1"/>
  <c r="AF3" i="29"/>
  <c r="AE3" i="29"/>
  <c r="AE2" i="29"/>
  <c r="AE9" i="29" s="1"/>
  <c r="AC3" i="29"/>
  <c r="AB3" i="29"/>
  <c r="AA3" i="29"/>
  <c r="AA2" i="29"/>
  <c r="AA9" i="29" s="1"/>
  <c r="Z3" i="29"/>
  <c r="Y3" i="29"/>
  <c r="X3" i="29"/>
  <c r="W3" i="29"/>
  <c r="V3" i="29"/>
  <c r="V2" i="29"/>
  <c r="U3" i="29"/>
  <c r="T3" i="29"/>
  <c r="S3" i="29"/>
  <c r="S2" i="29"/>
  <c r="R3" i="29"/>
  <c r="Q3" i="29"/>
  <c r="P3" i="29"/>
  <c r="O3" i="29"/>
  <c r="N3" i="29"/>
  <c r="M3" i="29"/>
  <c r="L3" i="29"/>
  <c r="K3" i="29"/>
  <c r="J3" i="29"/>
  <c r="F3" i="29"/>
  <c r="D3" i="29"/>
  <c r="AF2" i="29"/>
  <c r="AF9" i="29" s="1"/>
  <c r="AC2" i="29"/>
  <c r="AC9" i="29" s="1"/>
  <c r="AB2" i="29"/>
  <c r="AB9" i="29" s="1"/>
  <c r="Z2" i="29"/>
  <c r="Z9" i="29" s="1"/>
  <c r="Y2" i="29"/>
  <c r="Y9" i="29" s="1"/>
  <c r="X2" i="29"/>
  <c r="X9" i="29" s="1"/>
  <c r="W2" i="29"/>
  <c r="W9" i="29" s="1"/>
  <c r="U2" i="29"/>
  <c r="T2" i="29"/>
  <c r="R2" i="29"/>
  <c r="Q2" i="29"/>
  <c r="P2" i="29"/>
  <c r="O2" i="29"/>
  <c r="N2" i="29"/>
  <c r="N9" i="29" s="1"/>
  <c r="M2" i="29"/>
  <c r="M9" i="29" s="1"/>
  <c r="K2" i="29"/>
  <c r="K22" i="29" s="1"/>
  <c r="J2" i="29"/>
  <c r="J9" i="29" s="1"/>
  <c r="F2" i="29"/>
  <c r="F9" i="29" s="1"/>
  <c r="D2" i="29"/>
  <c r="D9" i="29" s="1"/>
  <c r="AK9" i="29" s="1"/>
  <c r="S1311" i="16"/>
  <c r="J7" i="17" s="1"/>
  <c r="J8" i="17"/>
  <c r="J9" i="17"/>
  <c r="J11" i="17"/>
  <c r="AJ1228" i="16"/>
  <c r="AJ1227" i="16"/>
  <c r="Q533" i="16"/>
  <c r="U533" i="16" s="1"/>
  <c r="Q529" i="16"/>
  <c r="AM529" i="16" s="1"/>
  <c r="Q528" i="16"/>
  <c r="AM528" i="16" s="1"/>
  <c r="Q471" i="16"/>
  <c r="Q470" i="16"/>
  <c r="Q469" i="16"/>
  <c r="Q468" i="16"/>
  <c r="Q467" i="16"/>
  <c r="Q466" i="16"/>
  <c r="Q465" i="16"/>
  <c r="Q464" i="16"/>
  <c r="Q463" i="16"/>
  <c r="Q462" i="16"/>
  <c r="Q461" i="16"/>
  <c r="Q460" i="16"/>
  <c r="Q459" i="16"/>
  <c r="Q458" i="16"/>
  <c r="Q457" i="16"/>
  <c r="Q456" i="16"/>
  <c r="Q455" i="16"/>
  <c r="Q454" i="16"/>
  <c r="Q453" i="16"/>
  <c r="U453" i="16" s="1"/>
  <c r="Q452" i="16"/>
  <c r="U452" i="16" s="1"/>
  <c r="Q451" i="16"/>
  <c r="U451" i="16" s="1"/>
  <c r="Q450" i="16"/>
  <c r="U450" i="16" s="1"/>
  <c r="Q449" i="16"/>
  <c r="U449" i="16" s="1"/>
  <c r="Q448" i="16"/>
  <c r="U448" i="16" s="1"/>
  <c r="Q447" i="16"/>
  <c r="U447" i="16" s="1"/>
  <c r="Q446" i="16"/>
  <c r="U446" i="16" s="1"/>
  <c r="Q445" i="16"/>
  <c r="U445" i="16" s="1"/>
  <c r="Q444" i="16"/>
  <c r="U444" i="16" s="1"/>
  <c r="Q443" i="16"/>
  <c r="U443" i="16" s="1"/>
  <c r="Q442" i="16"/>
  <c r="U442" i="16" s="1"/>
  <c r="Q441" i="16"/>
  <c r="U441" i="16" s="1"/>
  <c r="Q440" i="16"/>
  <c r="U440" i="16" s="1"/>
  <c r="Q439" i="16"/>
  <c r="U439" i="16" s="1"/>
  <c r="Q438" i="16"/>
  <c r="U438" i="16" s="1"/>
  <c r="Q437" i="16"/>
  <c r="U437" i="16" s="1"/>
  <c r="Q436" i="16"/>
  <c r="U436" i="16" s="1"/>
  <c r="Q435" i="16"/>
  <c r="U435" i="16" s="1"/>
  <c r="Q434" i="16"/>
  <c r="U434" i="16" s="1"/>
  <c r="Q433" i="16"/>
  <c r="U433" i="16" s="1"/>
  <c r="Q432" i="16"/>
  <c r="U432" i="16" s="1"/>
  <c r="Q431" i="16"/>
  <c r="U431" i="16" s="1"/>
  <c r="Q430" i="16"/>
  <c r="U430" i="16" s="1"/>
  <c r="Q429" i="16"/>
  <c r="U429" i="16" s="1"/>
  <c r="Q428" i="16"/>
  <c r="U428" i="16" s="1"/>
  <c r="Q427" i="16"/>
  <c r="U427" i="16" s="1"/>
  <c r="Q426" i="16"/>
  <c r="U426" i="16" s="1"/>
  <c r="Q425" i="16"/>
  <c r="U425" i="16" s="1"/>
  <c r="Q424" i="16"/>
  <c r="U424" i="16" s="1"/>
  <c r="Q423" i="16"/>
  <c r="U423" i="16" s="1"/>
  <c r="Q422" i="16"/>
  <c r="U422" i="16" s="1"/>
  <c r="Q421" i="16"/>
  <c r="U421" i="16" s="1"/>
  <c r="Q420" i="16"/>
  <c r="U420" i="16" s="1"/>
  <c r="Q419" i="16"/>
  <c r="U419" i="16" s="1"/>
  <c r="Q418" i="16"/>
  <c r="U418" i="16" s="1"/>
  <c r="Q417" i="16"/>
  <c r="U417" i="16" s="1"/>
  <c r="Q416" i="16"/>
  <c r="U416" i="16" s="1"/>
  <c r="Q415" i="16"/>
  <c r="U415" i="16" s="1"/>
  <c r="Q414" i="16"/>
  <c r="U414" i="16" s="1"/>
  <c r="Q413" i="16"/>
  <c r="U413" i="16" s="1"/>
  <c r="Q412" i="16"/>
  <c r="U412" i="16" s="1"/>
  <c r="Q411" i="16"/>
  <c r="U411" i="16" s="1"/>
  <c r="Q410" i="16"/>
  <c r="U410" i="16" s="1"/>
  <c r="Q409" i="16"/>
  <c r="U409" i="16" s="1"/>
  <c r="Q408" i="16"/>
  <c r="U408" i="16" s="1"/>
  <c r="Q407" i="16"/>
  <c r="U407" i="16" s="1"/>
  <c r="Q406" i="16"/>
  <c r="U406" i="16" s="1"/>
  <c r="Q405" i="16"/>
  <c r="U405" i="16" s="1"/>
  <c r="Q404" i="16"/>
  <c r="U404" i="16" s="1"/>
  <c r="Q403" i="16"/>
  <c r="U403" i="16" s="1"/>
  <c r="Q402" i="16"/>
  <c r="U402" i="16" s="1"/>
  <c r="Q401" i="16"/>
  <c r="U401" i="16" s="1"/>
  <c r="Q400" i="16"/>
  <c r="U400" i="16" s="1"/>
  <c r="Q399" i="16"/>
  <c r="U399" i="16" s="1"/>
  <c r="Q398" i="16"/>
  <c r="U398" i="16" s="1"/>
  <c r="Q397" i="16"/>
  <c r="U397" i="16" s="1"/>
  <c r="Q396" i="16"/>
  <c r="U396" i="16" s="1"/>
  <c r="Q395" i="16"/>
  <c r="U395" i="16" s="1"/>
  <c r="Q392" i="16"/>
  <c r="U392" i="16" s="1"/>
  <c r="Q391" i="16"/>
  <c r="U391" i="16" s="1"/>
  <c r="Q389" i="16"/>
  <c r="U389" i="16" s="1"/>
  <c r="Q388" i="16"/>
  <c r="U388" i="16" s="1"/>
  <c r="Q387" i="16"/>
  <c r="U387" i="16" s="1"/>
  <c r="Q385" i="16"/>
  <c r="U385" i="16" s="1"/>
  <c r="Q384" i="16"/>
  <c r="U384" i="16" s="1"/>
  <c r="Q382" i="16"/>
  <c r="U382" i="16" s="1"/>
  <c r="Q381" i="16"/>
  <c r="U381" i="16" s="1"/>
  <c r="Q380" i="16"/>
  <c r="U380" i="16" s="1"/>
  <c r="Q379" i="16"/>
  <c r="U379" i="16" s="1"/>
  <c r="Q378" i="16"/>
  <c r="U378" i="16" s="1"/>
  <c r="Q377" i="16"/>
  <c r="U377" i="16" s="1"/>
  <c r="Q376" i="16"/>
  <c r="U376" i="16" s="1"/>
  <c r="Q375" i="16"/>
  <c r="U375" i="16" s="1"/>
  <c r="Q374" i="16"/>
  <c r="U374" i="16" s="1"/>
  <c r="Q373" i="16"/>
  <c r="U373" i="16" s="1"/>
  <c r="Q372" i="16"/>
  <c r="U372" i="16" s="1"/>
  <c r="Q371" i="16"/>
  <c r="U371" i="16" s="1"/>
  <c r="Q370" i="16"/>
  <c r="U370" i="16" s="1"/>
  <c r="Q369" i="16"/>
  <c r="U369" i="16" s="1"/>
  <c r="Q368" i="16"/>
  <c r="U368" i="16" s="1"/>
  <c r="Q367" i="16"/>
  <c r="U367" i="16" s="1"/>
  <c r="Q366" i="16"/>
  <c r="U366" i="16" s="1"/>
  <c r="Q365" i="16"/>
  <c r="U365" i="16" s="1"/>
  <c r="Q364" i="16"/>
  <c r="U364" i="16" s="1"/>
  <c r="Q363" i="16"/>
  <c r="U363" i="16" s="1"/>
  <c r="Q362" i="16"/>
  <c r="U362" i="16" s="1"/>
  <c r="Q361" i="16"/>
  <c r="U361" i="16" s="1"/>
  <c r="Q360" i="16"/>
  <c r="U360" i="16" s="1"/>
  <c r="Q359" i="16"/>
  <c r="U359" i="16" s="1"/>
  <c r="Q358" i="16"/>
  <c r="U358" i="16" s="1"/>
  <c r="Q357" i="16"/>
  <c r="U357" i="16" s="1"/>
  <c r="Q356" i="16"/>
  <c r="U356" i="16" s="1"/>
  <c r="Q355" i="16"/>
  <c r="U355" i="16" s="1"/>
  <c r="Q354" i="16"/>
  <c r="U354" i="16" s="1"/>
  <c r="Q353" i="16"/>
  <c r="Q352" i="16"/>
  <c r="Q351" i="16"/>
  <c r="U351" i="16" s="1"/>
  <c r="Q350" i="16"/>
  <c r="U350" i="16" s="1"/>
  <c r="Q349" i="16"/>
  <c r="U349" i="16" s="1"/>
  <c r="Q348" i="16"/>
  <c r="U348" i="16" s="1"/>
  <c r="Q347" i="16"/>
  <c r="U347" i="16" s="1"/>
  <c r="Q346" i="16"/>
  <c r="U346" i="16" s="1"/>
  <c r="Q345" i="16"/>
  <c r="U345" i="16" s="1"/>
  <c r="Q344" i="16"/>
  <c r="U344" i="16" s="1"/>
  <c r="Q343" i="16"/>
  <c r="U343" i="16" s="1"/>
  <c r="Q340" i="16"/>
  <c r="U340" i="16" s="1"/>
  <c r="Q339" i="16"/>
  <c r="U339" i="16" s="1"/>
  <c r="Q338" i="16"/>
  <c r="Q337" i="16"/>
  <c r="U337" i="16" s="1"/>
  <c r="Q336" i="16"/>
  <c r="U336" i="16" s="1"/>
  <c r="Q335" i="16"/>
  <c r="U335" i="16" s="1"/>
  <c r="P333" i="16"/>
  <c r="Q333" i="16" s="1"/>
  <c r="Q330" i="16"/>
  <c r="U330" i="16" s="1"/>
  <c r="Q329" i="16"/>
  <c r="U329" i="16" s="1"/>
  <c r="Q327" i="16"/>
  <c r="U327" i="16" s="1"/>
  <c r="Q326" i="16"/>
  <c r="K6" i="29"/>
  <c r="Q325" i="16"/>
  <c r="Q324" i="16"/>
  <c r="Q323" i="16"/>
  <c r="Q312" i="16"/>
  <c r="U312" i="16" s="1"/>
  <c r="Q311" i="16"/>
  <c r="Q309" i="16"/>
  <c r="U309" i="16" s="1"/>
  <c r="Q308" i="16"/>
  <c r="U308" i="16" s="1"/>
  <c r="Q293" i="16"/>
  <c r="Q305" i="16"/>
  <c r="U305" i="16" s="1"/>
  <c r="Q306" i="16"/>
  <c r="U306" i="16" s="1"/>
  <c r="Q307" i="16"/>
  <c r="U307" i="16" s="1"/>
  <c r="Q303" i="16"/>
  <c r="U303" i="16" s="1"/>
  <c r="Q302" i="16"/>
  <c r="U302" i="16" s="1"/>
  <c r="Q301" i="16"/>
  <c r="U301" i="16" s="1"/>
  <c r="Q300" i="16"/>
  <c r="U300" i="16" s="1"/>
  <c r="Q299" i="16"/>
  <c r="U299" i="16" s="1"/>
  <c r="Q298" i="16"/>
  <c r="Q297" i="16"/>
  <c r="U297" i="16" s="1"/>
  <c r="Q295" i="16"/>
  <c r="U295" i="16" s="1"/>
  <c r="Q296" i="16"/>
  <c r="M7" i="29"/>
  <c r="Q292" i="16"/>
  <c r="U292" i="16" s="1"/>
  <c r="Q291" i="16"/>
  <c r="U291" i="16" s="1"/>
  <c r="Q290" i="16"/>
  <c r="U290" i="16" s="1"/>
  <c r="Q289" i="16"/>
  <c r="U289" i="16" s="1"/>
  <c r="Q288" i="16"/>
  <c r="U288" i="16" s="1"/>
  <c r="Q287" i="16"/>
  <c r="U287" i="16" s="1"/>
  <c r="Q286" i="16"/>
  <c r="U286" i="16" s="1"/>
  <c r="Q285" i="16"/>
  <c r="U285" i="16" s="1"/>
  <c r="Q284" i="16"/>
  <c r="Q283" i="16"/>
  <c r="Q282" i="16"/>
  <c r="U282" i="16" s="1"/>
  <c r="Q281" i="16"/>
  <c r="U281" i="16" s="1"/>
  <c r="Q280" i="16"/>
  <c r="U280" i="16" s="1"/>
  <c r="Q279" i="16"/>
  <c r="U279" i="16" s="1"/>
  <c r="Q278" i="16"/>
  <c r="U278" i="16" s="1"/>
  <c r="Q277" i="16"/>
  <c r="U277" i="16" s="1"/>
  <c r="Q276" i="16"/>
  <c r="U276" i="16" s="1"/>
  <c r="Q275" i="16"/>
  <c r="U275" i="16" s="1"/>
  <c r="Q274" i="16"/>
  <c r="U274" i="16" s="1"/>
  <c r="Q273" i="16"/>
  <c r="U273" i="16" s="1"/>
  <c r="Q272" i="16"/>
  <c r="U272" i="16" s="1"/>
  <c r="Q271" i="16"/>
  <c r="U271" i="16" s="1"/>
  <c r="Q270" i="16"/>
  <c r="U270" i="16" s="1"/>
  <c r="Q269" i="16"/>
  <c r="U269" i="16" s="1"/>
  <c r="Q268" i="16"/>
  <c r="U268" i="16" s="1"/>
  <c r="Q267" i="16"/>
  <c r="U267" i="16" s="1"/>
  <c r="Q266" i="16"/>
  <c r="U266" i="16" s="1"/>
  <c r="Q265" i="16"/>
  <c r="U265" i="16" s="1"/>
  <c r="Q264" i="16"/>
  <c r="U264" i="16" s="1"/>
  <c r="Q263" i="16"/>
  <c r="U263" i="16" s="1"/>
  <c r="Q262" i="16"/>
  <c r="U262" i="16" s="1"/>
  <c r="Q261" i="16"/>
  <c r="U261" i="16" s="1"/>
  <c r="Q260" i="16"/>
  <c r="U260" i="16" s="1"/>
  <c r="Q259" i="16"/>
  <c r="U259" i="16" s="1"/>
  <c r="Q258" i="16"/>
  <c r="U258" i="16" s="1"/>
  <c r="Q257" i="16"/>
  <c r="U257" i="16" s="1"/>
  <c r="Q256" i="16"/>
  <c r="U256" i="16" s="1"/>
  <c r="Q255" i="16"/>
  <c r="U255" i="16" s="1"/>
  <c r="Q254" i="16"/>
  <c r="U254" i="16" s="1"/>
  <c r="Q253" i="16"/>
  <c r="U253" i="16" s="1"/>
  <c r="Q252" i="16"/>
  <c r="U252" i="16" s="1"/>
  <c r="Q251" i="16"/>
  <c r="U251" i="16" s="1"/>
  <c r="Q250" i="16"/>
  <c r="U250" i="16" s="1"/>
  <c r="Q249" i="16"/>
  <c r="U249" i="16" s="1"/>
  <c r="Q248" i="16"/>
  <c r="U248" i="16" s="1"/>
  <c r="Q247" i="16"/>
  <c r="U247" i="16" s="1"/>
  <c r="Q246" i="16"/>
  <c r="U246" i="16" s="1"/>
  <c r="Q245" i="16"/>
  <c r="U245" i="16" s="1"/>
  <c r="Q244" i="16"/>
  <c r="U244" i="16" s="1"/>
  <c r="Q243" i="16"/>
  <c r="U243" i="16" s="1"/>
  <c r="Q242" i="16"/>
  <c r="U242" i="16" s="1"/>
  <c r="Q241" i="16"/>
  <c r="U241" i="16" s="1"/>
  <c r="Q240" i="16"/>
  <c r="U240" i="16" s="1"/>
  <c r="Q239" i="16"/>
  <c r="U239" i="16" s="1"/>
  <c r="Q238" i="16"/>
  <c r="U238" i="16" s="1"/>
  <c r="Q237" i="16"/>
  <c r="U237" i="16" s="1"/>
  <c r="Q236" i="16"/>
  <c r="U236" i="16" s="1"/>
  <c r="Q235" i="16"/>
  <c r="U235" i="16" s="1"/>
  <c r="S234" i="16"/>
  <c r="S1341" i="16" s="1"/>
  <c r="R11" i="17" s="1"/>
  <c r="Q234" i="16"/>
  <c r="Q233" i="16"/>
  <c r="U233" i="16" s="1"/>
  <c r="Q232" i="16"/>
  <c r="U232" i="16" s="1"/>
  <c r="Q231" i="16"/>
  <c r="U231" i="16" s="1"/>
  <c r="Q230" i="16"/>
  <c r="U230" i="16" s="1"/>
  <c r="Q229" i="16"/>
  <c r="U229" i="16" s="1"/>
  <c r="Q228" i="16"/>
  <c r="U228" i="16" s="1"/>
  <c r="Q227" i="16"/>
  <c r="U227" i="16" s="1"/>
  <c r="Q226" i="16"/>
  <c r="U226" i="16" s="1"/>
  <c r="Q225" i="16"/>
  <c r="U225" i="16" s="1"/>
  <c r="Q224" i="16"/>
  <c r="U224" i="16" s="1"/>
  <c r="Q223" i="16"/>
  <c r="U223" i="16" s="1"/>
  <c r="Q222" i="16"/>
  <c r="U222" i="16" s="1"/>
  <c r="Q221" i="16"/>
  <c r="U221" i="16" s="1"/>
  <c r="Q220" i="16"/>
  <c r="U220" i="16" s="1"/>
  <c r="Q219" i="16"/>
  <c r="U219" i="16" s="1"/>
  <c r="Q218" i="16"/>
  <c r="U218" i="16" s="1"/>
  <c r="Q217" i="16"/>
  <c r="U217" i="16" s="1"/>
  <c r="Q216" i="16"/>
  <c r="U216" i="16" s="1"/>
  <c r="Q215" i="16"/>
  <c r="U215" i="16" s="1"/>
  <c r="Q214" i="16"/>
  <c r="U214" i="16" s="1"/>
  <c r="Q213" i="16"/>
  <c r="U213" i="16" s="1"/>
  <c r="Q212" i="16"/>
  <c r="U212" i="16" s="1"/>
  <c r="Q211" i="16"/>
  <c r="U211" i="16" s="1"/>
  <c r="Q210" i="16"/>
  <c r="U210" i="16" s="1"/>
  <c r="Q209" i="16"/>
  <c r="U209" i="16" s="1"/>
  <c r="Q208" i="16"/>
  <c r="U208" i="16" s="1"/>
  <c r="Q207" i="16"/>
  <c r="U207" i="16" s="1"/>
  <c r="Q205" i="16"/>
  <c r="U205" i="16" s="1"/>
  <c r="Q204" i="16"/>
  <c r="U204" i="16" s="1"/>
  <c r="Q203" i="16"/>
  <c r="U203" i="16" s="1"/>
  <c r="Q202" i="16"/>
  <c r="U202" i="16" s="1"/>
  <c r="Q201" i="16"/>
  <c r="U201" i="16" s="1"/>
  <c r="Q200" i="16"/>
  <c r="U200" i="16" s="1"/>
  <c r="Q199" i="16"/>
  <c r="U199" i="16" s="1"/>
  <c r="Q198" i="16"/>
  <c r="U198" i="16" s="1"/>
  <c r="Q197" i="16"/>
  <c r="U197" i="16" s="1"/>
  <c r="Q196" i="16"/>
  <c r="U196" i="16" s="1"/>
  <c r="Q195" i="16"/>
  <c r="U195" i="16" s="1"/>
  <c r="Q194" i="16"/>
  <c r="U194" i="16" s="1"/>
  <c r="Q193" i="16"/>
  <c r="U193" i="16" s="1"/>
  <c r="Q192" i="16"/>
  <c r="U192" i="16" s="1"/>
  <c r="Q191" i="16"/>
  <c r="U191" i="16" s="1"/>
  <c r="Q190" i="16"/>
  <c r="U190" i="16" s="1"/>
  <c r="Q189" i="16"/>
  <c r="U189" i="16" s="1"/>
  <c r="AH188" i="16"/>
  <c r="Q188" i="16"/>
  <c r="U188" i="16" s="1"/>
  <c r="Q186" i="16"/>
  <c r="U186" i="16" s="1"/>
  <c r="Q185" i="16"/>
  <c r="U185" i="16" s="1"/>
  <c r="Q184" i="16"/>
  <c r="U184" i="16" s="1"/>
  <c r="Q183" i="16"/>
  <c r="Q182" i="16"/>
  <c r="U182" i="16" s="1"/>
  <c r="Q181" i="16"/>
  <c r="Q180" i="16"/>
  <c r="Q179" i="16"/>
  <c r="Q178" i="16"/>
  <c r="U178" i="16" s="1"/>
  <c r="Q177" i="16"/>
  <c r="U177" i="16" s="1"/>
  <c r="Q176" i="16"/>
  <c r="U176" i="16" s="1"/>
  <c r="Q175" i="16"/>
  <c r="U175" i="16" s="1"/>
  <c r="Q174" i="16"/>
  <c r="U174" i="16" s="1"/>
  <c r="Q173" i="16"/>
  <c r="U173" i="16" s="1"/>
  <c r="Q172" i="16"/>
  <c r="U172" i="16" s="1"/>
  <c r="Q171" i="16"/>
  <c r="U171" i="16" s="1"/>
  <c r="Q170" i="16"/>
  <c r="U170" i="16" s="1"/>
  <c r="Q169" i="16"/>
  <c r="U169" i="16" s="1"/>
  <c r="Q168" i="16"/>
  <c r="U168" i="16" s="1"/>
  <c r="Q167" i="16"/>
  <c r="U167" i="16" s="1"/>
  <c r="Q166" i="16"/>
  <c r="U166" i="16" s="1"/>
  <c r="Q165" i="16"/>
  <c r="U165" i="16" s="1"/>
  <c r="Q164" i="16"/>
  <c r="U164" i="16" s="1"/>
  <c r="Q163" i="16"/>
  <c r="U163" i="16" s="1"/>
  <c r="Q162" i="16"/>
  <c r="U162" i="16" s="1"/>
  <c r="Q161" i="16"/>
  <c r="Q160" i="16"/>
  <c r="U160" i="16" s="1"/>
  <c r="Q159" i="16"/>
  <c r="U159" i="16" s="1"/>
  <c r="Q158" i="16"/>
  <c r="U158" i="16" s="1"/>
  <c r="Q157" i="16"/>
  <c r="U157" i="16" s="1"/>
  <c r="Q156" i="16"/>
  <c r="U156" i="16" s="1"/>
  <c r="Q155" i="16"/>
  <c r="Q149" i="16"/>
  <c r="U149" i="16" s="1"/>
  <c r="U148" i="16"/>
  <c r="Q147" i="16"/>
  <c r="U147" i="16" s="1"/>
  <c r="Q146" i="16"/>
  <c r="U146" i="16" s="1"/>
  <c r="Q145" i="16"/>
  <c r="U145" i="16" s="1"/>
  <c r="Q144" i="16"/>
  <c r="U144" i="16" s="1"/>
  <c r="Q143" i="16"/>
  <c r="U143" i="16" s="1"/>
  <c r="U142" i="16"/>
  <c r="U141" i="16"/>
  <c r="U140" i="16"/>
  <c r="U139" i="16"/>
  <c r="U138" i="16"/>
  <c r="U137" i="16"/>
  <c r="U136" i="16"/>
  <c r="U135" i="16"/>
  <c r="U134" i="16"/>
  <c r="Q133" i="16"/>
  <c r="U133" i="16" s="1"/>
  <c r="Q132" i="16"/>
  <c r="U132" i="16" s="1"/>
  <c r="Q131" i="16"/>
  <c r="U131" i="16" s="1"/>
  <c r="Q130" i="16"/>
  <c r="U130" i="16" s="1"/>
  <c r="Q129" i="16"/>
  <c r="U129" i="16" s="1"/>
  <c r="Q128" i="16"/>
  <c r="U128" i="16" s="1"/>
  <c r="Q127" i="16"/>
  <c r="U127" i="16" s="1"/>
  <c r="Q126" i="16"/>
  <c r="Q125" i="16"/>
  <c r="U125" i="16" s="1"/>
  <c r="Q124" i="16"/>
  <c r="Q123" i="16"/>
  <c r="U123" i="16" s="1"/>
  <c r="Q122" i="16"/>
  <c r="U122" i="16" s="1"/>
  <c r="Q121" i="16"/>
  <c r="U121" i="16" s="1"/>
  <c r="Q120" i="16"/>
  <c r="U120" i="16" s="1"/>
  <c r="Q119" i="16"/>
  <c r="U119" i="16" s="1"/>
  <c r="Q118" i="16"/>
  <c r="U118" i="16" s="1"/>
  <c r="Q117" i="16"/>
  <c r="U117" i="16" s="1"/>
  <c r="Q116" i="16"/>
  <c r="U116" i="16" s="1"/>
  <c r="Q115" i="16"/>
  <c r="U115" i="16" s="1"/>
  <c r="Q114" i="16"/>
  <c r="U114" i="16" s="1"/>
  <c r="Q113" i="16"/>
  <c r="U113" i="16" s="1"/>
  <c r="Q112" i="16"/>
  <c r="U112" i="16" s="1"/>
  <c r="Q111" i="16"/>
  <c r="U111" i="16" s="1"/>
  <c r="Q110" i="16"/>
  <c r="U110" i="16" s="1"/>
  <c r="Q109" i="16"/>
  <c r="U109" i="16" s="1"/>
  <c r="Q108" i="16"/>
  <c r="U108" i="16" s="1"/>
  <c r="Q107" i="16"/>
  <c r="U107" i="16" s="1"/>
  <c r="Q106" i="16"/>
  <c r="U106" i="16" s="1"/>
  <c r="Q105" i="16"/>
  <c r="U105" i="16" s="1"/>
  <c r="Q104" i="16"/>
  <c r="U104" i="16" s="1"/>
  <c r="Q103" i="16"/>
  <c r="U103" i="16" s="1"/>
  <c r="Q102" i="16"/>
  <c r="U102" i="16" s="1"/>
  <c r="Q101" i="16"/>
  <c r="U101" i="16" s="1"/>
  <c r="Q100" i="16"/>
  <c r="U100" i="16" s="1"/>
  <c r="Q99" i="16"/>
  <c r="U99" i="16" s="1"/>
  <c r="Q98" i="16"/>
  <c r="U98" i="16" s="1"/>
  <c r="Q97" i="16"/>
  <c r="U97" i="16" s="1"/>
  <c r="Q96" i="16"/>
  <c r="U96" i="16" s="1"/>
  <c r="Q95" i="16"/>
  <c r="U95" i="16" s="1"/>
  <c r="Q94" i="16"/>
  <c r="U94" i="16" s="1"/>
  <c r="Q93" i="16"/>
  <c r="U93" i="16" s="1"/>
  <c r="Q92" i="16"/>
  <c r="U92" i="16" s="1"/>
  <c r="Q91" i="16"/>
  <c r="U91" i="16" s="1"/>
  <c r="Q90" i="16"/>
  <c r="U89" i="16"/>
  <c r="U88" i="16"/>
  <c r="Q87" i="16"/>
  <c r="U87" i="16" s="1"/>
  <c r="Q86" i="16"/>
  <c r="U86" i="16" s="1"/>
  <c r="Q85" i="16"/>
  <c r="U85" i="16" s="1"/>
  <c r="Q84" i="16"/>
  <c r="U84" i="16" s="1"/>
  <c r="Q83" i="16"/>
  <c r="U83" i="16" s="1"/>
  <c r="Q82" i="16"/>
  <c r="U82" i="16" s="1"/>
  <c r="Q81" i="16"/>
  <c r="U81" i="16" s="1"/>
  <c r="U80" i="16"/>
  <c r="U79" i="16"/>
  <c r="U78" i="16"/>
  <c r="U77" i="16"/>
  <c r="Q76" i="16"/>
  <c r="U76" i="16" s="1"/>
  <c r="Q75" i="16"/>
  <c r="U75" i="16" s="1"/>
  <c r="Q74" i="16"/>
  <c r="U74" i="16" s="1"/>
  <c r="Q73" i="16"/>
  <c r="U73" i="16" s="1"/>
  <c r="Q72" i="16"/>
  <c r="U72" i="16" s="1"/>
  <c r="Q71" i="16"/>
  <c r="U71" i="16" s="1"/>
  <c r="Q70" i="16"/>
  <c r="U70" i="16" s="1"/>
  <c r="Q69" i="16"/>
  <c r="U69" i="16" s="1"/>
  <c r="Q68" i="16"/>
  <c r="U68" i="16" s="1"/>
  <c r="Q67" i="16"/>
  <c r="Q66" i="16"/>
  <c r="S1333" i="16"/>
  <c r="P7" i="17" s="1"/>
  <c r="Q65" i="16"/>
  <c r="U65" i="16" s="1"/>
  <c r="Q64" i="16"/>
  <c r="Q63" i="16"/>
  <c r="Q62" i="16"/>
  <c r="Q61" i="16"/>
  <c r="U61" i="16" s="1"/>
  <c r="Q60" i="16"/>
  <c r="U60" i="16" s="1"/>
  <c r="Q59" i="16"/>
  <c r="U59" i="16" s="1"/>
  <c r="S58" i="16"/>
  <c r="AH58" i="16" s="1"/>
  <c r="Q58" i="16"/>
  <c r="Q57" i="16"/>
  <c r="U57" i="16" s="1"/>
  <c r="Q56" i="16"/>
  <c r="U56" i="16" s="1"/>
  <c r="Q55" i="16"/>
  <c r="U55" i="16" s="1"/>
  <c r="Q54" i="16"/>
  <c r="U54" i="16" s="1"/>
  <c r="Q53" i="16"/>
  <c r="U53" i="16" s="1"/>
  <c r="Q52" i="16"/>
  <c r="U52" i="16" s="1"/>
  <c r="Q51" i="16"/>
  <c r="U51" i="16" s="1"/>
  <c r="Q50" i="16"/>
  <c r="U50" i="16" s="1"/>
  <c r="Q49" i="16"/>
  <c r="U49" i="16" s="1"/>
  <c r="Q48" i="16"/>
  <c r="U48" i="16" s="1"/>
  <c r="Q47" i="16"/>
  <c r="U47" i="16" s="1"/>
  <c r="Q46" i="16"/>
  <c r="U46" i="16" s="1"/>
  <c r="Q45" i="16"/>
  <c r="U45" i="16" s="1"/>
  <c r="Q44" i="16"/>
  <c r="U44" i="16" s="1"/>
  <c r="Q43" i="16"/>
  <c r="U43" i="16" s="1"/>
  <c r="Q42" i="16"/>
  <c r="U42" i="16" s="1"/>
  <c r="Q41" i="16"/>
  <c r="U41" i="16" s="1"/>
  <c r="Q40" i="16"/>
  <c r="U40" i="16" s="1"/>
  <c r="Q39" i="16"/>
  <c r="U39" i="16" s="1"/>
  <c r="Q38" i="16"/>
  <c r="U38" i="16" s="1"/>
  <c r="Q37" i="16"/>
  <c r="U37" i="16" s="1"/>
  <c r="Q36" i="16"/>
  <c r="U36" i="16" s="1"/>
  <c r="Q35" i="16"/>
  <c r="U35" i="16" s="1"/>
  <c r="Q34" i="16"/>
  <c r="U34" i="16" s="1"/>
  <c r="Q33" i="16"/>
  <c r="U33" i="16" s="1"/>
  <c r="Q32" i="16"/>
  <c r="U32" i="16" s="1"/>
  <c r="Q31" i="16"/>
  <c r="U31" i="16" s="1"/>
  <c r="Q30" i="16"/>
  <c r="U30" i="16" s="1"/>
  <c r="U29" i="16"/>
  <c r="Q28" i="16"/>
  <c r="U28" i="16" s="1"/>
  <c r="Q27" i="16"/>
  <c r="U27" i="16" s="1"/>
  <c r="Q26" i="16"/>
  <c r="U26" i="16" s="1"/>
  <c r="Q25" i="16"/>
  <c r="U25" i="16" s="1"/>
  <c r="Q24" i="16"/>
  <c r="U24" i="16" s="1"/>
  <c r="Q23" i="16"/>
  <c r="U23" i="16" s="1"/>
  <c r="Q22" i="16"/>
  <c r="U22" i="16" s="1"/>
  <c r="Q21" i="16"/>
  <c r="U21" i="16" s="1"/>
  <c r="Q20" i="16"/>
  <c r="U20" i="16" s="1"/>
  <c r="Q19" i="16"/>
  <c r="U19" i="16" s="1"/>
  <c r="Q18" i="16"/>
  <c r="U18" i="16" s="1"/>
  <c r="Q17" i="16"/>
  <c r="U17" i="16" s="1"/>
  <c r="Q16" i="16"/>
  <c r="U16" i="16" s="1"/>
  <c r="Q15" i="16"/>
  <c r="U15" i="16" s="1"/>
  <c r="Q14" i="16"/>
  <c r="U14" i="16" s="1"/>
  <c r="S13" i="16"/>
  <c r="Q13" i="16"/>
  <c r="Q12" i="16"/>
  <c r="Q11" i="16"/>
  <c r="U11" i="16" s="1"/>
  <c r="Q10" i="16"/>
  <c r="U10" i="16" s="1"/>
  <c r="Q9" i="16"/>
  <c r="U9" i="16" s="1"/>
  <c r="Q8" i="16"/>
  <c r="U8" i="16" s="1"/>
  <c r="Q7" i="16"/>
  <c r="U12" i="16" s="1"/>
  <c r="Q6" i="16"/>
  <c r="U6" i="16" s="1"/>
  <c r="Q5" i="16"/>
  <c r="U5" i="16" s="1"/>
  <c r="Q4" i="16"/>
  <c r="U4" i="16" s="1"/>
  <c r="Q3" i="16"/>
  <c r="Q2" i="16"/>
  <c r="S1297" i="16" s="1"/>
  <c r="D29" i="17"/>
  <c r="D17" i="17"/>
  <c r="V12" i="17"/>
  <c r="I12" i="17"/>
  <c r="H12" i="17"/>
  <c r="V11" i="17"/>
  <c r="L11" i="17"/>
  <c r="G11" i="17"/>
  <c r="U10" i="17"/>
  <c r="V9" i="17"/>
  <c r="L9" i="17"/>
  <c r="V8" i="17"/>
  <c r="R8" i="17"/>
  <c r="K8" i="17"/>
  <c r="H8" i="17"/>
  <c r="V7" i="17"/>
  <c r="L7" i="17"/>
  <c r="W76" i="25"/>
  <c r="F20" i="23"/>
  <c r="G20" i="23" s="1"/>
  <c r="X76" i="27"/>
  <c r="U30" i="24"/>
  <c r="W70" i="25"/>
  <c r="W72" i="25" s="1"/>
  <c r="L2" i="29"/>
  <c r="L9" i="29" s="1"/>
  <c r="J31" i="24"/>
  <c r="AJ9" i="27"/>
  <c r="G76" i="27"/>
  <c r="Z45" i="25"/>
  <c r="R16" i="29"/>
  <c r="AJ677" i="16"/>
  <c r="K13" i="29"/>
  <c r="Z8" i="29"/>
  <c r="P8" i="29"/>
  <c r="W6" i="29"/>
  <c r="N16" i="29"/>
  <c r="K20" i="29"/>
  <c r="K25" i="29" s="1"/>
  <c r="X8" i="29"/>
  <c r="Y6" i="29"/>
  <c r="Y7" i="29"/>
  <c r="M5" i="29"/>
  <c r="P7" i="29"/>
  <c r="N23" i="29"/>
  <c r="K14" i="29"/>
  <c r="K27" i="29"/>
  <c r="K50" i="29" s="1"/>
  <c r="AK1228" i="16"/>
  <c r="K17" i="29"/>
  <c r="AF8" i="29"/>
  <c r="K16" i="29"/>
  <c r="AK1227" i="16"/>
  <c r="AK1230" i="16" s="1"/>
  <c r="W7" i="29"/>
  <c r="P6" i="29"/>
  <c r="M27" i="29"/>
  <c r="M50" i="29" s="1"/>
  <c r="K5" i="29"/>
  <c r="E76" i="27"/>
  <c r="L14" i="29"/>
  <c r="L21" i="29"/>
  <c r="AL1229" i="16"/>
  <c r="Q16" i="29"/>
  <c r="Q15" i="29"/>
  <c r="Q17" i="29"/>
  <c r="Q14" i="29"/>
  <c r="R43" i="29"/>
  <c r="R45" i="29"/>
  <c r="R46" i="29"/>
  <c r="R48" i="29"/>
  <c r="U75" i="25"/>
  <c r="W71" i="25" s="1"/>
  <c r="R17" i="29"/>
  <c r="R15" i="29"/>
  <c r="R14" i="29"/>
  <c r="U50" i="25"/>
  <c r="W75" i="25"/>
  <c r="L53" i="25"/>
  <c r="L55" i="25" s="1"/>
  <c r="AF76" i="27"/>
  <c r="Q8" i="29"/>
  <c r="AL677" i="16"/>
  <c r="Q7" i="29"/>
  <c r="Q6" i="29"/>
  <c r="U66" i="25"/>
  <c r="U637" i="16" l="1"/>
  <c r="S1293" i="16"/>
  <c r="U126" i="16"/>
  <c r="U552" i="16"/>
  <c r="O45" i="25"/>
  <c r="AJ18" i="27"/>
  <c r="M31" i="24"/>
  <c r="W78" i="25"/>
  <c r="AE76" i="27"/>
  <c r="G31" i="24"/>
  <c r="J76" i="27"/>
  <c r="R76" i="27"/>
  <c r="AJ25" i="27"/>
  <c r="AJ76" i="27" s="1"/>
  <c r="M76" i="27"/>
  <c r="AC76" i="27"/>
  <c r="I39" i="25"/>
  <c r="U67" i="25"/>
  <c r="Z47" i="25"/>
  <c r="Z49" i="25" s="1"/>
  <c r="C76" i="27"/>
  <c r="K76" i="27"/>
  <c r="H76" i="27"/>
  <c r="L39" i="25"/>
  <c r="R30" i="24"/>
  <c r="U57" i="25"/>
  <c r="U68" i="25" s="1"/>
  <c r="W81" i="25"/>
  <c r="O39" i="25"/>
  <c r="U88" i="25"/>
  <c r="U90" i="25" s="1"/>
  <c r="Q58" i="25"/>
  <c r="Q60" i="25" s="1"/>
  <c r="D76" i="27"/>
  <c r="W80" i="25"/>
  <c r="P31" i="24"/>
  <c r="Q36" i="24" s="1"/>
  <c r="AE30" i="24"/>
  <c r="Q59" i="25"/>
  <c r="U58" i="16"/>
  <c r="AK66" i="29"/>
  <c r="U551" i="16"/>
  <c r="S1316" i="16"/>
  <c r="K11" i="17" s="1"/>
  <c r="S8" i="29"/>
  <c r="U500" i="16"/>
  <c r="AF30" i="24"/>
  <c r="AL1228" i="16"/>
  <c r="AR677" i="16"/>
  <c r="AH554" i="16"/>
  <c r="AH677" i="16" s="1"/>
  <c r="S6" i="29"/>
  <c r="S1309" i="16"/>
  <c r="I9" i="17" s="1"/>
  <c r="AJ1230" i="16"/>
  <c r="U9" i="17"/>
  <c r="U14" i="17" s="1"/>
  <c r="U18" i="17" s="1"/>
  <c r="K23" i="29"/>
  <c r="L14" i="17"/>
  <c r="L18" i="17" s="1"/>
  <c r="S1323" i="16"/>
  <c r="O7" i="17" s="1"/>
  <c r="S7" i="29"/>
  <c r="S1300" i="16"/>
  <c r="G7" i="17" s="1"/>
  <c r="F12" i="23"/>
  <c r="G12" i="23" s="1"/>
  <c r="S1325" i="16"/>
  <c r="O11" i="17" s="1"/>
  <c r="E11" i="17" s="1"/>
  <c r="F21" i="23"/>
  <c r="G21" i="23" s="1"/>
  <c r="AK26" i="29"/>
  <c r="K9" i="29"/>
  <c r="O25" i="29"/>
  <c r="J14" i="17"/>
  <c r="P18" i="29"/>
  <c r="V25" i="29"/>
  <c r="S25" i="29"/>
  <c r="S50" i="29"/>
  <c r="T14" i="17"/>
  <c r="T18" i="17" s="1"/>
  <c r="Q14" i="17"/>
  <c r="Q18" i="17" s="1"/>
  <c r="W14" i="17"/>
  <c r="W18" i="17" s="1"/>
  <c r="M14" i="17"/>
  <c r="M18" i="17" s="1"/>
  <c r="R14" i="17"/>
  <c r="R18" i="17" s="1"/>
  <c r="AM499" i="16"/>
  <c r="R7" i="29" s="1"/>
  <c r="S1303" i="16"/>
  <c r="H7" i="17" s="1"/>
  <c r="U553" i="16"/>
  <c r="F13" i="23"/>
  <c r="G13" i="23" s="1"/>
  <c r="F19" i="23"/>
  <c r="G19" i="23" s="1"/>
  <c r="AM1230" i="16"/>
  <c r="O9" i="29"/>
  <c r="T9" i="29"/>
  <c r="P9" i="29"/>
  <c r="V9" i="29"/>
  <c r="U9" i="29"/>
  <c r="T18" i="29"/>
  <c r="V18" i="29"/>
  <c r="O18" i="29"/>
  <c r="AJ18" i="29"/>
  <c r="S18" i="29"/>
  <c r="R18" i="29"/>
  <c r="W18" i="29"/>
  <c r="U18" i="29"/>
  <c r="Q25" i="29"/>
  <c r="W25" i="29"/>
  <c r="R25" i="29"/>
  <c r="P25" i="29"/>
  <c r="T25" i="29"/>
  <c r="AJ25" i="29"/>
  <c r="U25" i="29"/>
  <c r="V50" i="29"/>
  <c r="O50" i="29"/>
  <c r="W50" i="29"/>
  <c r="Q50" i="29"/>
  <c r="U50" i="29"/>
  <c r="R50" i="29"/>
  <c r="P50" i="29"/>
  <c r="T50" i="29"/>
  <c r="X14" i="17"/>
  <c r="X18" i="17" s="1"/>
  <c r="S1295" i="16"/>
  <c r="F7" i="17" s="1"/>
  <c r="Q9" i="29"/>
  <c r="U90" i="16"/>
  <c r="F14" i="23"/>
  <c r="G14" i="23" s="1"/>
  <c r="U234" i="16"/>
  <c r="AH681" i="16"/>
  <c r="U7" i="16"/>
  <c r="S14" i="17"/>
  <c r="S18" i="17" s="1"/>
  <c r="AH682" i="16"/>
  <c r="AN677" i="16"/>
  <c r="U13" i="16"/>
  <c r="S1310" i="16"/>
  <c r="I11" i="17" s="1"/>
  <c r="S1324" i="16"/>
  <c r="O9" i="17" s="1"/>
  <c r="E9" i="17" s="1"/>
  <c r="S1320" i="16"/>
  <c r="N7" i="17" s="1"/>
  <c r="F15" i="23"/>
  <c r="G15" i="23" s="1"/>
  <c r="AO677" i="16"/>
  <c r="AH680" i="16"/>
  <c r="V10" i="17"/>
  <c r="V14" i="17" s="1"/>
  <c r="V18" i="17" s="1"/>
  <c r="S1314" i="16"/>
  <c r="K7" i="17" s="1"/>
  <c r="Q18" i="29"/>
  <c r="S1307" i="16"/>
  <c r="H11" i="17" s="1"/>
  <c r="U155" i="16"/>
  <c r="U161" i="16"/>
  <c r="U183" i="16"/>
  <c r="C6" i="23"/>
  <c r="S1296" i="16"/>
  <c r="F9" i="17" s="1"/>
  <c r="S1301" i="16"/>
  <c r="G9" i="17" s="1"/>
  <c r="S1304" i="16"/>
  <c r="H9" i="17" s="1"/>
  <c r="S1334" i="16"/>
  <c r="P9" i="17" s="1"/>
  <c r="P14" i="17" s="1"/>
  <c r="P18" i="17" s="1"/>
  <c r="AL1227" i="16"/>
  <c r="S677" i="16"/>
  <c r="S1315" i="16"/>
  <c r="K9" i="17" s="1"/>
  <c r="F16" i="23"/>
  <c r="G16" i="23" s="1"/>
  <c r="F17" i="23"/>
  <c r="G17" i="23" s="1"/>
  <c r="S1308" i="16"/>
  <c r="I7" i="17" s="1"/>
  <c r="E7" i="17" l="1"/>
  <c r="E14" i="17" s="1"/>
  <c r="D28" i="17" s="1"/>
  <c r="D30" i="17" s="1"/>
  <c r="AJ26" i="27"/>
  <c r="AK72" i="27" s="1"/>
  <c r="AL71" i="27" s="1"/>
  <c r="W82" i="25"/>
  <c r="AF31" i="24"/>
  <c r="AL1230" i="16"/>
  <c r="S9" i="29"/>
  <c r="R6" i="29"/>
  <c r="R9" i="29" s="1"/>
  <c r="G14" i="17"/>
  <c r="Q15" i="17" s="1"/>
  <c r="L78" i="25" s="1"/>
  <c r="O14" i="17"/>
  <c r="D21" i="17" s="1"/>
  <c r="F14" i="17"/>
  <c r="P15" i="17" s="1"/>
  <c r="L77" i="25" s="1"/>
  <c r="U677" i="16"/>
  <c r="AN1230" i="16"/>
  <c r="K14" i="17"/>
  <c r="K18" i="17" s="1"/>
  <c r="I14" i="17"/>
  <c r="S15" i="17" s="1"/>
  <c r="H14" i="17"/>
  <c r="R15" i="17" s="1"/>
  <c r="L79" i="25" s="1"/>
  <c r="AM677" i="16"/>
  <c r="R8" i="29"/>
  <c r="N14" i="17"/>
  <c r="D20" i="17" s="1"/>
  <c r="D22" i="17" s="1"/>
  <c r="AH684" i="16"/>
  <c r="F18" i="23"/>
  <c r="G18" i="23"/>
  <c r="F22" i="23"/>
  <c r="G22" i="23" s="1"/>
  <c r="L80" i="25" l="1"/>
  <c r="L85" i="25" s="1"/>
  <c r="D31" i="17"/>
  <c r="D32" i="17" s="1"/>
  <c r="L86" i="2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Mason, Monika (Peraton) (US Person)</author>
    <author>Mason, Monika (U.S. Person)</author>
  </authors>
  <commentList>
    <comment ref="K4" authorId="0" shapeId="0" xr:uid="{CA81FB78-334E-40DF-AE90-886BC0079395}">
      <text>
        <r>
          <rPr>
            <sz val="10"/>
            <rFont val="Arial"/>
            <family val="2"/>
          </rPr>
          <t>Awarded after ME September 2018 Close</t>
        </r>
      </text>
    </comment>
    <comment ref="L4" authorId="0" shapeId="0" xr:uid="{87BB9D88-855E-43E4-A64B-F6135FDC785D}">
      <text>
        <r>
          <rPr>
            <b/>
            <sz val="9"/>
            <color indexed="81"/>
            <rFont val="Tahoma"/>
            <family val="2"/>
          </rPr>
          <t>Mason, Monika (Peraton) (US Person):</t>
        </r>
        <r>
          <rPr>
            <sz val="9"/>
            <color indexed="81"/>
            <rFont val="Tahoma"/>
            <family val="2"/>
          </rPr>
          <t xml:space="preserve">
</t>
        </r>
        <r>
          <rPr>
            <sz val="10"/>
            <color indexed="81"/>
            <rFont val="Arial"/>
            <family val="2"/>
          </rPr>
          <t>Awarded December 2018 (12/11/18)</t>
        </r>
      </text>
    </comment>
    <comment ref="K7" authorId="0" shapeId="0" xr:uid="{F333B6CC-4E3F-462E-83A3-6EB7C2B1E488}">
      <text>
        <r>
          <rPr>
            <b/>
            <sz val="9"/>
            <color indexed="81"/>
            <rFont val="Tahoma"/>
            <family val="2"/>
          </rPr>
          <t>Mason, Monika (Peraton) (US Person):</t>
        </r>
        <r>
          <rPr>
            <sz val="9"/>
            <color indexed="81"/>
            <rFont val="Tahoma"/>
            <family val="2"/>
          </rPr>
          <t xml:space="preserve">
Forecast for February 2019 - $7,642.46</t>
        </r>
      </text>
    </comment>
    <comment ref="N7" authorId="0" shapeId="0" xr:uid="{ADEC19A9-A9C8-4965-9A8B-D0AFBC29D05C}">
      <text>
        <r>
          <rPr>
            <b/>
            <sz val="9"/>
            <color indexed="81"/>
            <rFont val="Tahoma"/>
            <family val="2"/>
          </rPr>
          <t>Mason, Monika (Peraton) (US Person):</t>
        </r>
        <r>
          <rPr>
            <sz val="9"/>
            <color indexed="81"/>
            <rFont val="Tahoma"/>
            <family val="2"/>
          </rPr>
          <t xml:space="preserve">
Forecast for October 2019- $148,004.44
Forecast for December 2019 - $117,246.04</t>
        </r>
      </text>
    </comment>
    <comment ref="O7" authorId="0" shapeId="0" xr:uid="{385C7CEE-5C8C-4C06-9B26-E0623EB82029}">
      <text>
        <r>
          <rPr>
            <b/>
            <sz val="9"/>
            <color indexed="81"/>
            <rFont val="Tahoma"/>
            <family val="2"/>
          </rPr>
          <t>Mason, Monika (Peraton) (US Person):</t>
        </r>
        <r>
          <rPr>
            <sz val="9"/>
            <color indexed="81"/>
            <rFont val="Tahoma"/>
            <family val="2"/>
          </rPr>
          <t xml:space="preserve">
Forecast for June 2020 - $210,930.45</t>
        </r>
      </text>
    </comment>
    <comment ref="R7" authorId="0" shapeId="0" xr:uid="{00000000-0006-0000-0000-000001000000}">
      <text>
        <r>
          <rPr>
            <b/>
            <sz val="9"/>
            <color indexed="81"/>
            <rFont val="Tahoma"/>
            <family val="2"/>
          </rPr>
          <t>Mason, Monika (Peraton) (US Person):</t>
        </r>
        <r>
          <rPr>
            <sz val="9"/>
            <color indexed="81"/>
            <rFont val="Tahoma"/>
            <family val="2"/>
          </rPr>
          <t xml:space="preserve">
HDR &amp; LDR Milestone Payments 1-3</t>
        </r>
      </text>
    </comment>
    <comment ref="K8" authorId="0" shapeId="0" xr:uid="{A3F41550-B799-458E-91AC-357B6FB037E6}">
      <text>
        <r>
          <rPr>
            <b/>
            <sz val="9"/>
            <color indexed="81"/>
            <rFont val="Tahoma"/>
            <family val="2"/>
          </rPr>
          <t>Mason, Monika (Peraton) (US Person):</t>
        </r>
        <r>
          <rPr>
            <sz val="9"/>
            <color indexed="81"/>
            <rFont val="Tahoma"/>
            <family val="2"/>
          </rPr>
          <t xml:space="preserve">
Forecast for December 2018 - $369,989 Vendor is ViaSat</t>
        </r>
      </text>
    </comment>
    <comment ref="L8" authorId="0" shapeId="0" xr:uid="{FE36BD92-53C1-4793-8A00-E1DD434EB33D}">
      <text>
        <r>
          <rPr>
            <sz val="10"/>
            <rFont val="Arial"/>
            <family val="2"/>
          </rPr>
          <t>12/07/18: Final Proposal updated to $554,427
Forecast February 2019: $221,770.8
Forecast March 2019: $110,885.4
Forecast April 2019: $221,770.8
11/27/18: This amount was updated to $670,153 after receiving RFP's from vendors. Vendor will be selected on 11/30/18. 
10/08/18: Forecast for April 2019 $865,000 Vendor is TBD</t>
        </r>
      </text>
    </comment>
    <comment ref="R8" authorId="0" shapeId="0" xr:uid="{00000000-0006-0000-0000-000002000000}">
      <text>
        <r>
          <rPr>
            <b/>
            <sz val="9"/>
            <color indexed="81"/>
            <rFont val="Tahoma"/>
            <family val="2"/>
          </rPr>
          <t>Mason, Monika (Peraton) (US Person):</t>
        </r>
        <r>
          <rPr>
            <sz val="9"/>
            <color indexed="81"/>
            <rFont val="Tahoma"/>
            <family val="2"/>
          </rPr>
          <t xml:space="preserve">
Viasat Payments 1&amp;2 </t>
        </r>
      </text>
    </comment>
    <comment ref="K9" authorId="0" shapeId="0" xr:uid="{C4968677-7958-4C81-9E8B-C9FF05519CC0}">
      <text>
        <r>
          <rPr>
            <b/>
            <sz val="9"/>
            <color indexed="81"/>
            <rFont val="Tahoma"/>
            <family val="2"/>
          </rPr>
          <t>Mason, Monika (Peraton) (US Person):</t>
        </r>
        <r>
          <rPr>
            <sz val="9"/>
            <color indexed="81"/>
            <rFont val="Tahoma"/>
            <family val="2"/>
          </rPr>
          <t xml:space="preserve">
Forecast for December 2018 - $41,917.41
Forecast for February 2019 - $14,407.97</t>
        </r>
      </text>
    </comment>
    <comment ref="O9" authorId="0" shapeId="0" xr:uid="{85B0CAB8-FA66-4BC5-BC17-C51E103745DA}">
      <text>
        <r>
          <rPr>
            <b/>
            <sz val="9"/>
            <color indexed="81"/>
            <rFont val="Tahoma"/>
            <family val="2"/>
          </rPr>
          <t>Mason, Monika (Peraton) (US Person):</t>
        </r>
        <r>
          <rPr>
            <sz val="9"/>
            <color indexed="81"/>
            <rFont val="Tahoma"/>
            <family val="2"/>
          </rPr>
          <t xml:space="preserve">
Forecast for June 2020 - $75,520.45</t>
        </r>
      </text>
    </comment>
    <comment ref="K11" authorId="0" shapeId="0" xr:uid="{BD0459FE-E9E0-4BA8-937D-99B07AB3FF40}">
      <text>
        <r>
          <rPr>
            <b/>
            <sz val="9"/>
            <color indexed="81"/>
            <rFont val="Tahoma"/>
            <family val="2"/>
          </rPr>
          <t>Mason, Monika (Peraton) (US Person):</t>
        </r>
        <r>
          <rPr>
            <sz val="9"/>
            <color indexed="81"/>
            <rFont val="Tahoma"/>
            <family val="2"/>
          </rPr>
          <t xml:space="preserve">
Forecast for December 2018 - $2,158.25
Forecast for January 2019 - $25,254.01
Forecast for February 2019 - $35,943.86 
Forecast for June 2019 - $32,389.0</t>
        </r>
      </text>
    </comment>
    <comment ref="O11" authorId="0" shapeId="0" xr:uid="{267BFC67-5980-48F7-A301-38382808FC27}">
      <text>
        <r>
          <rPr>
            <b/>
            <sz val="9"/>
            <color indexed="81"/>
            <rFont val="Tahoma"/>
            <family val="2"/>
          </rPr>
          <t>Mason, Monika (Peraton) (US Person):</t>
        </r>
        <r>
          <rPr>
            <sz val="9"/>
            <color indexed="81"/>
            <rFont val="Tahoma"/>
            <family val="2"/>
          </rPr>
          <t xml:space="preserve">
Forecast for June 2020 - $48,069.64</t>
        </r>
      </text>
    </comment>
    <comment ref="K12" authorId="0" shapeId="0" xr:uid="{8908B9B7-B4C4-49F8-A7F0-443097CD4567}">
      <text>
        <r>
          <rPr>
            <b/>
            <sz val="9"/>
            <color indexed="81"/>
            <rFont val="Tahoma"/>
            <family val="2"/>
          </rPr>
          <t>Mason, Monika (Peraton) (US Person):</t>
        </r>
        <r>
          <rPr>
            <sz val="9"/>
            <color indexed="81"/>
            <rFont val="Tahoma"/>
            <family val="2"/>
          </rPr>
          <t xml:space="preserve">
Forecast for December 2018 - $87694.60 Vendor is C&amp;E 
Forecast for February 2019 - $96,464.06 Vendor is C&amp;E
Forecast for March 2019 - $8,769.46 Vendor is C&amp;E</t>
        </r>
      </text>
    </comment>
    <comment ref="P15" authorId="1" shapeId="0" xr:uid="{00000000-0006-0000-0000-000003000000}">
      <text>
        <r>
          <rPr>
            <b/>
            <sz val="9"/>
            <color indexed="81"/>
            <rFont val="Tahoma"/>
            <family val="2"/>
          </rPr>
          <t>Mason, Monika (U.S. Person):</t>
        </r>
        <r>
          <rPr>
            <sz val="9"/>
            <color indexed="81"/>
            <rFont val="Tahoma"/>
            <family val="2"/>
          </rPr>
          <t xml:space="preserve">
The difference is between Materials Planned for Procurement for Mod 0 and the Actual Cost for Materials Mod 0.</t>
        </r>
      </text>
    </comment>
    <comment ref="Q15" authorId="1" shapeId="0" xr:uid="{00000000-0006-0000-0000-000004000000}">
      <text>
        <r>
          <rPr>
            <b/>
            <sz val="9"/>
            <color indexed="81"/>
            <rFont val="Tahoma"/>
            <family val="2"/>
          </rPr>
          <t>Mason, Monika (U.S. Person):</t>
        </r>
        <r>
          <rPr>
            <sz val="9"/>
            <color indexed="81"/>
            <rFont val="Tahoma"/>
            <family val="2"/>
          </rPr>
          <t xml:space="preserve">
The difference is between Materials Planned for Procurement for Mod 1 and the Actual Cost for Materials Mod 1.</t>
        </r>
      </text>
    </comment>
    <comment ref="R15" authorId="1" shapeId="0" xr:uid="{00000000-0006-0000-0000-000005000000}">
      <text>
        <r>
          <rPr>
            <b/>
            <sz val="9"/>
            <color indexed="81"/>
            <rFont val="Tahoma"/>
            <family val="2"/>
          </rPr>
          <t>Mason, Monika (U.S. Person):</t>
        </r>
        <r>
          <rPr>
            <sz val="9"/>
            <color indexed="81"/>
            <rFont val="Tahoma"/>
            <family val="2"/>
          </rPr>
          <t xml:space="preserve">
The difference is between Materials Planned for Procurement for Mod 2 and the Actual Cost for Materials Mod 2.</t>
        </r>
      </text>
    </comment>
    <comment ref="S15" authorId="1" shapeId="0" xr:uid="{00000000-0006-0000-0000-000006000000}">
      <text>
        <r>
          <rPr>
            <b/>
            <sz val="9"/>
            <color indexed="81"/>
            <rFont val="Tahoma"/>
            <family val="2"/>
          </rPr>
          <t>Mason, Monika (U.S. Person):</t>
        </r>
        <r>
          <rPr>
            <sz val="9"/>
            <color indexed="81"/>
            <rFont val="Tahoma"/>
            <family val="2"/>
          </rPr>
          <t xml:space="preserve">
The difference is between Materials Planned for Procurement for Mod 3 and the Actual Cost for Materials Mod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Mason, Monika (Peraton) (US Person)</author>
    <author>Mason, Monika (U.S. Person)</author>
    <author>Chaudhari, Supriya (Peraton) (Unknown)</author>
  </authors>
  <commentList>
    <comment ref="D2" authorId="0" shapeId="0" xr:uid="{A9E42502-5436-42AD-AEC5-CE35204120B9}">
      <text>
        <r>
          <rPr>
            <b/>
            <sz val="9"/>
            <color indexed="81"/>
            <rFont val="Tahoma"/>
            <family val="2"/>
          </rPr>
          <t>Mason, Monika (Peraton) (US Person):</t>
        </r>
        <r>
          <rPr>
            <sz val="9"/>
            <color indexed="81"/>
            <rFont val="Tahoma"/>
            <family val="2"/>
          </rPr>
          <t xml:space="preserve">
“This column will be blank when a new row is initially added. WSC (C.Baxter or other designee) should be made aware of new items for inclusion in the CI database. Once this notification is made, a "Y" should be entered in this column.”</t>
        </r>
      </text>
    </comment>
    <comment ref="S65" authorId="0" shapeId="0" xr:uid="{00000000-0006-0000-0100-000001000000}">
      <text>
        <r>
          <rPr>
            <b/>
            <sz val="9"/>
            <color indexed="81"/>
            <rFont val="Tahoma"/>
            <family val="2"/>
          </rPr>
          <t>Mason, Monika (Peraton) (US Person):</t>
        </r>
        <r>
          <rPr>
            <sz val="9"/>
            <color indexed="81"/>
            <rFont val="Tahoma"/>
            <family val="2"/>
          </rPr>
          <t xml:space="preserve">
To date 08/30/18: payments 1, 2, and 3 have been paid</t>
        </r>
      </text>
    </comment>
    <comment ref="S126" authorId="0" shapeId="0" xr:uid="{00000000-0006-0000-0100-000002000000}">
      <text>
        <r>
          <rPr>
            <b/>
            <sz val="9"/>
            <color indexed="81"/>
            <rFont val="Tahoma"/>
            <family val="2"/>
          </rPr>
          <t>Mason, Monika (Peraton) (US Person):</t>
        </r>
        <r>
          <rPr>
            <sz val="9"/>
            <color indexed="81"/>
            <rFont val="Tahoma"/>
            <family val="2"/>
          </rPr>
          <t xml:space="preserve">
To date 08/30/18: payments 1, 2, and 3 have been paid</t>
        </r>
      </text>
    </comment>
    <comment ref="N293" authorId="1" shapeId="0" xr:uid="{00000000-0006-0000-0100-000003000000}">
      <text>
        <r>
          <rPr>
            <b/>
            <sz val="9"/>
            <color indexed="81"/>
            <rFont val="Tahoma"/>
            <family val="2"/>
          </rPr>
          <t>Mason, Monika (U.S. Person):</t>
        </r>
        <r>
          <rPr>
            <sz val="9"/>
            <color indexed="81"/>
            <rFont val="Tahoma"/>
            <family val="2"/>
          </rPr>
          <t xml:space="preserve">
Reduced the quantity from 3 to 1</t>
        </r>
      </text>
    </comment>
    <comment ref="P297" authorId="1" shapeId="0" xr:uid="{00000000-0006-0000-0100-000004000000}">
      <text>
        <r>
          <rPr>
            <b/>
            <sz val="9"/>
            <color indexed="81"/>
            <rFont val="Tahoma"/>
            <family val="2"/>
          </rPr>
          <t>Mason, Monika (U.S. Person):</t>
        </r>
        <r>
          <rPr>
            <sz val="9"/>
            <color indexed="81"/>
            <rFont val="Tahoma"/>
            <family val="2"/>
          </rPr>
          <t xml:space="preserve">
Increased from 10K to 33K</t>
        </r>
      </text>
    </comment>
    <comment ref="N299" authorId="1" shapeId="0" xr:uid="{00000000-0006-0000-0100-000005000000}">
      <text>
        <r>
          <rPr>
            <b/>
            <sz val="9"/>
            <color indexed="81"/>
            <rFont val="Tahoma"/>
            <family val="2"/>
          </rPr>
          <t>Mason, Monika (U.S. Person):</t>
        </r>
        <r>
          <rPr>
            <sz val="9"/>
            <color indexed="81"/>
            <rFont val="Tahoma"/>
            <family val="2"/>
          </rPr>
          <t xml:space="preserve">
Reduced from 5 to 1</t>
        </r>
      </text>
    </comment>
    <comment ref="G320" authorId="2" shapeId="0" xr:uid="{00000000-0006-0000-0100-000009000000}">
      <text>
        <r>
          <rPr>
            <b/>
            <sz val="9"/>
            <color indexed="81"/>
            <rFont val="Tahoma"/>
            <family val="2"/>
          </rPr>
          <t>Chaudhari, Supriya (Peraton) (Unknown):</t>
        </r>
        <r>
          <rPr>
            <sz val="9"/>
            <color indexed="81"/>
            <rFont val="Tahoma"/>
            <family val="2"/>
          </rPr>
          <t xml:space="preserve">
Line Inserted but no price in Budget estimate cost</t>
        </r>
      </text>
    </comment>
    <comment ref="G328" authorId="2" shapeId="0" xr:uid="{00000000-0006-0000-0100-00000A000000}">
      <text>
        <r>
          <rPr>
            <b/>
            <sz val="9"/>
            <color indexed="81"/>
            <rFont val="Tahoma"/>
            <family val="2"/>
          </rPr>
          <t>Chaudhari, Supriya (Peraton) (Unknown):</t>
        </r>
        <r>
          <rPr>
            <sz val="9"/>
            <color indexed="81"/>
            <rFont val="Tahoma"/>
            <family val="2"/>
          </rPr>
          <t xml:space="preserve">
Line Inserted but no amount in Budget Estimated Cost. </t>
        </r>
      </text>
    </comment>
    <comment ref="G330" authorId="2" shapeId="0" xr:uid="{00000000-0006-0000-0100-00000B000000}">
      <text>
        <r>
          <rPr>
            <b/>
            <sz val="9"/>
            <color indexed="81"/>
            <rFont val="Tahoma"/>
            <family val="2"/>
          </rPr>
          <t>Chaudhari, Supriya (Peraton) (Unknown):</t>
        </r>
        <r>
          <rPr>
            <sz val="9"/>
            <color indexed="81"/>
            <rFont val="Tahoma"/>
            <family val="2"/>
          </rPr>
          <t xml:space="preserve">
Replaced Dell 24' Monitor</t>
        </r>
      </text>
    </comment>
    <comment ref="G331" authorId="2" shapeId="0" xr:uid="{00000000-0006-0000-0100-00000C000000}">
      <text>
        <r>
          <rPr>
            <b/>
            <sz val="9"/>
            <color indexed="81"/>
            <rFont val="Tahoma"/>
            <family val="2"/>
          </rPr>
          <t>Chaudhari, Supriya (Peraton) (Unknown):</t>
        </r>
        <r>
          <rPr>
            <sz val="9"/>
            <color indexed="81"/>
            <rFont val="Tahoma"/>
            <family val="2"/>
          </rPr>
          <t xml:space="preserve">
Replaced Dell 24' Monitor</t>
        </r>
      </text>
    </comment>
    <comment ref="N335" authorId="2" shapeId="0" xr:uid="{00000000-0006-0000-0100-00000D000000}">
      <text>
        <r>
          <rPr>
            <b/>
            <sz val="9"/>
            <color indexed="81"/>
            <rFont val="Tahoma"/>
            <family val="2"/>
          </rPr>
          <t xml:space="preserve">Chaudhari, Supriya (Peraton) (Unknown)
Quantity in Quotes is: 18. </t>
        </r>
      </text>
    </comment>
    <comment ref="AG336" authorId="0" shapeId="0" xr:uid="{F82E902D-CE26-4AED-9939-BE2F5C515D5F}">
      <text>
        <r>
          <rPr>
            <b/>
            <sz val="9"/>
            <color indexed="81"/>
            <rFont val="Tahoma"/>
            <family val="2"/>
          </rPr>
          <t>Mason, Monika (Peraton) (US Person):</t>
        </r>
        <r>
          <rPr>
            <sz val="9"/>
            <color indexed="81"/>
            <rFont val="Tahoma"/>
            <family val="2"/>
          </rPr>
          <t xml:space="preserve">
Not appearing in the Vendor Voucher History Inquiry </t>
        </r>
      </text>
    </comment>
    <comment ref="AG382" authorId="0" shapeId="0" xr:uid="{35AB18FB-49C8-49B2-8077-5F390485642C}">
      <text>
        <r>
          <rPr>
            <b/>
            <sz val="9"/>
            <color indexed="81"/>
            <rFont val="Tahoma"/>
            <family val="2"/>
          </rPr>
          <t>Mason, Monika (Peraton) (US Person):</t>
        </r>
        <r>
          <rPr>
            <sz val="9"/>
            <color indexed="81"/>
            <rFont val="Tahoma"/>
            <family val="2"/>
          </rPr>
          <t xml:space="preserve">
04/04/19: Payment Status on Hold
Emailed Yunita Allen in AP on the status. </t>
        </r>
      </text>
    </comment>
    <comment ref="AG383" authorId="0" shapeId="0" xr:uid="{57F6130D-058C-495D-9A93-E2084E1D785C}">
      <text>
        <r>
          <rPr>
            <b/>
            <sz val="9"/>
            <color indexed="81"/>
            <rFont val="Tahoma"/>
            <family val="2"/>
          </rPr>
          <t>Mason, Monika (Peraton) (US Person):</t>
        </r>
        <r>
          <rPr>
            <sz val="9"/>
            <color indexed="81"/>
            <rFont val="Tahoma"/>
            <family val="2"/>
          </rPr>
          <t xml:space="preserve">
04/04/19: Payment Status on Hold
Emailed Yunita Allen in AP on the status. </t>
        </r>
      </text>
    </comment>
    <comment ref="AG384" authorId="0" shapeId="0" xr:uid="{68C86280-78B5-42A5-A7C8-DF367A310200}">
      <text>
        <r>
          <rPr>
            <b/>
            <sz val="9"/>
            <color indexed="81"/>
            <rFont val="Tahoma"/>
            <family val="2"/>
          </rPr>
          <t>Mason, Monika (Peraton) (US Person):</t>
        </r>
        <r>
          <rPr>
            <sz val="9"/>
            <color indexed="81"/>
            <rFont val="Tahoma"/>
            <family val="2"/>
          </rPr>
          <t xml:space="preserve">
04/04/19: Payment Status on Hold
Emailed Yunita Allen in AP on the status. </t>
        </r>
      </text>
    </comment>
    <comment ref="N387" authorId="2" shapeId="0" xr:uid="{00000000-0006-0000-0100-00000F000000}">
      <text>
        <r>
          <rPr>
            <b/>
            <sz val="9"/>
            <color indexed="81"/>
            <rFont val="Tahoma"/>
            <family val="2"/>
          </rPr>
          <t>Chaudhari, Supriya (Peraton) (Unknown):</t>
        </r>
        <r>
          <rPr>
            <sz val="9"/>
            <color indexed="81"/>
            <rFont val="Tahoma"/>
            <family val="2"/>
          </rPr>
          <t xml:space="preserve">
Quantity has to be changed to 1</t>
        </r>
      </text>
    </comment>
    <comment ref="G393" authorId="2" shapeId="0" xr:uid="{00000000-0006-0000-0100-000010000000}">
      <text>
        <r>
          <rPr>
            <b/>
            <sz val="9"/>
            <color indexed="81"/>
            <rFont val="Tahoma"/>
            <family val="2"/>
          </rPr>
          <t>Chaudhari, Supriya (Peraton) (Unknown):</t>
        </r>
        <r>
          <rPr>
            <sz val="9"/>
            <color indexed="81"/>
            <rFont val="Tahoma"/>
            <family val="2"/>
          </rPr>
          <t xml:space="preserve">
Not in the "various" quote
</t>
        </r>
      </text>
    </comment>
    <comment ref="AG480" authorId="0" shapeId="0" xr:uid="{78EE9882-B535-4707-AC01-3A2BC4AAAD82}">
      <text>
        <r>
          <rPr>
            <b/>
            <sz val="9"/>
            <color indexed="81"/>
            <rFont val="Tahoma"/>
            <family val="2"/>
          </rPr>
          <t>Mason, Monika (Peraton) (US Person):</t>
        </r>
        <r>
          <rPr>
            <sz val="9"/>
            <color indexed="81"/>
            <rFont val="Tahoma"/>
            <family val="2"/>
          </rPr>
          <t xml:space="preserve">
Status: Open </t>
        </r>
      </text>
    </comment>
    <comment ref="AG481" authorId="0" shapeId="0" xr:uid="{49EADF9B-1C82-4B0E-B371-4026DA4DE7CB}">
      <text>
        <r>
          <rPr>
            <b/>
            <sz val="9"/>
            <color indexed="81"/>
            <rFont val="Tahoma"/>
            <charset val="1"/>
          </rPr>
          <t>Mason, Monika (Peraton) (US Person):</t>
        </r>
        <r>
          <rPr>
            <sz val="9"/>
            <color indexed="81"/>
            <rFont val="Tahoma"/>
            <charset val="1"/>
          </rPr>
          <t xml:space="preserve">
04/04/19: Payment Status on Hold. Emailed Shebbrle Brown in AP to check on the status. </t>
        </r>
      </text>
    </comment>
    <comment ref="AG482" authorId="0" shapeId="0" xr:uid="{523F2E60-27D2-4B58-BEB1-8BCED20528C2}">
      <text>
        <r>
          <rPr>
            <b/>
            <sz val="9"/>
            <color indexed="81"/>
            <rFont val="Tahoma"/>
            <charset val="1"/>
          </rPr>
          <t>Mason, Monika (Peraton) (US Person):</t>
        </r>
        <r>
          <rPr>
            <sz val="9"/>
            <color indexed="81"/>
            <rFont val="Tahoma"/>
            <charset val="1"/>
          </rPr>
          <t xml:space="preserve">
04/04/19: Payment Status on Hold. Emailed Shebbrle Brown in AP to check on the status. </t>
        </r>
      </text>
    </comment>
    <comment ref="AG483" authorId="0" shapeId="0" xr:uid="{6CB7D497-0F8F-47F0-B8D6-D1390C95C439}">
      <text>
        <r>
          <rPr>
            <b/>
            <sz val="9"/>
            <color indexed="81"/>
            <rFont val="Tahoma"/>
            <charset val="1"/>
          </rPr>
          <t>Mason, Monika (Peraton) (US Person):</t>
        </r>
        <r>
          <rPr>
            <sz val="9"/>
            <color indexed="81"/>
            <rFont val="Tahoma"/>
            <charset val="1"/>
          </rPr>
          <t xml:space="preserve">
04/04/19: Payment Status on Hold. Emailed Shebbrle Brown in AP to check on the status. </t>
        </r>
      </text>
    </comment>
    <comment ref="AG484" authorId="0" shapeId="0" xr:uid="{C6A22546-3242-439F-8D33-CF433A13C333}">
      <text>
        <r>
          <rPr>
            <b/>
            <sz val="9"/>
            <color indexed="81"/>
            <rFont val="Tahoma"/>
            <charset val="1"/>
          </rPr>
          <t>Mason, Monika (Peraton) (US Person):</t>
        </r>
        <r>
          <rPr>
            <sz val="9"/>
            <color indexed="81"/>
            <rFont val="Tahoma"/>
            <charset val="1"/>
          </rPr>
          <t xml:space="preserve">
04/04/19: Payment Status on Hold. Emailed Shebbrle Brown in AP to check on the status. </t>
        </r>
      </text>
    </comment>
    <comment ref="AG485" authorId="0" shapeId="0" xr:uid="{E2C1CEFC-6490-4C31-B121-973371FC7A67}">
      <text>
        <r>
          <rPr>
            <b/>
            <sz val="9"/>
            <color indexed="81"/>
            <rFont val="Tahoma"/>
            <charset val="1"/>
          </rPr>
          <t>Mason, Monika (Peraton) (US Person):</t>
        </r>
        <r>
          <rPr>
            <sz val="9"/>
            <color indexed="81"/>
            <rFont val="Tahoma"/>
            <charset val="1"/>
          </rPr>
          <t xml:space="preserve">
04/04/19: Payment Status on Hold. Emailed Shebbrle Brown in AP to check on the status. </t>
        </r>
      </text>
    </comment>
    <comment ref="AG486" authorId="0" shapeId="0" xr:uid="{9B9D1633-19CF-489E-B7D9-825863F12A85}">
      <text>
        <r>
          <rPr>
            <b/>
            <sz val="9"/>
            <color indexed="81"/>
            <rFont val="Tahoma"/>
            <charset val="1"/>
          </rPr>
          <t>Mason, Monika (Peraton) (US Person):</t>
        </r>
        <r>
          <rPr>
            <sz val="9"/>
            <color indexed="81"/>
            <rFont val="Tahoma"/>
            <charset val="1"/>
          </rPr>
          <t xml:space="preserve">
04/04/19: Payment Status on Hold. Emailed Shebbrle Brown in AP to check on the status. </t>
        </r>
      </text>
    </comment>
    <comment ref="AG487" authorId="0" shapeId="0" xr:uid="{9EBE21B6-B5B6-4789-8DC3-BC2C8875C329}">
      <text>
        <r>
          <rPr>
            <b/>
            <sz val="9"/>
            <color indexed="81"/>
            <rFont val="Tahoma"/>
            <charset val="1"/>
          </rPr>
          <t>Mason, Monika (Peraton) (US Person):</t>
        </r>
        <r>
          <rPr>
            <sz val="9"/>
            <color indexed="81"/>
            <rFont val="Tahoma"/>
            <charset val="1"/>
          </rPr>
          <t xml:space="preserve">
04/04/19: Payment Status on Hold. Emailed Shebbrle Brown in AP to check on the status. </t>
        </r>
      </text>
    </comment>
    <comment ref="AG488" authorId="0" shapeId="0" xr:uid="{591F853E-2821-43A0-9008-227D9D3FC53A}">
      <text>
        <r>
          <rPr>
            <b/>
            <sz val="9"/>
            <color indexed="81"/>
            <rFont val="Tahoma"/>
            <charset val="1"/>
          </rPr>
          <t>Mason, Monika (Peraton) (US Person):</t>
        </r>
        <r>
          <rPr>
            <sz val="9"/>
            <color indexed="81"/>
            <rFont val="Tahoma"/>
            <charset val="1"/>
          </rPr>
          <t xml:space="preserve">
04/04/19: Payment Status on Hold. Emailed Shebbrle Brown in AP to check on the status. </t>
        </r>
      </text>
    </comment>
    <comment ref="AG497" authorId="0" shapeId="0" xr:uid="{90A635A1-B2B9-468E-BF92-A939DD187719}">
      <text>
        <r>
          <rPr>
            <b/>
            <sz val="9"/>
            <color indexed="81"/>
            <rFont val="Tahoma"/>
            <family val="2"/>
          </rPr>
          <t>Mason, Monika (Peraton) (US Person):</t>
        </r>
        <r>
          <rPr>
            <sz val="9"/>
            <color indexed="81"/>
            <rFont val="Tahoma"/>
            <family val="2"/>
          </rPr>
          <t xml:space="preserve">
04/04/19: Anticipated Pay Date is 04/18/19 </t>
        </r>
      </text>
    </comment>
    <comment ref="AG498" authorId="0" shapeId="0" xr:uid="{2AD3BECC-47CE-4D9E-8325-B88629F8ED86}">
      <text>
        <r>
          <rPr>
            <b/>
            <sz val="9"/>
            <color indexed="81"/>
            <rFont val="Tahoma"/>
            <family val="2"/>
          </rPr>
          <t>Mason, Monika (Peraton) (US Person):</t>
        </r>
        <r>
          <rPr>
            <sz val="9"/>
            <color indexed="81"/>
            <rFont val="Tahoma"/>
            <family val="2"/>
          </rPr>
          <t xml:space="preserve">
04/04/19: Anticipated Pay Date is 04/18/19 </t>
        </r>
      </text>
    </comment>
    <comment ref="AG499" authorId="0" shapeId="0" xr:uid="{3FC8E26B-0449-459E-BC76-DD2B83B601AB}">
      <text>
        <r>
          <rPr>
            <b/>
            <sz val="9"/>
            <color indexed="81"/>
            <rFont val="Tahoma"/>
            <family val="2"/>
          </rPr>
          <t>Mason, Monika (Peraton) (US Person):</t>
        </r>
        <r>
          <rPr>
            <sz val="9"/>
            <color indexed="81"/>
            <rFont val="Tahoma"/>
            <family val="2"/>
          </rPr>
          <t xml:space="preserve">
04/04/19: Payment status is on Hold. Emailed Dina Month in AP to check on the status. </t>
        </r>
      </text>
    </comment>
    <comment ref="AG500" authorId="0" shapeId="0" xr:uid="{6B5CB12F-A600-4133-92AE-FD50FA29F765}">
      <text>
        <r>
          <rPr>
            <b/>
            <sz val="9"/>
            <color indexed="81"/>
            <rFont val="Tahoma"/>
            <family val="2"/>
          </rPr>
          <t>Mason, Monika (Peraton) (US Person):</t>
        </r>
        <r>
          <rPr>
            <sz val="9"/>
            <color indexed="81"/>
            <rFont val="Tahoma"/>
            <family val="2"/>
          </rPr>
          <t xml:space="preserve">
04/04/19: Payment status is on Hold. Emailed Dina Month in AP to check on the status. </t>
        </r>
      </text>
    </comment>
    <comment ref="AG513" authorId="0" shapeId="0" xr:uid="{DD810467-B220-4BB2-8D46-DAF2B08BA677}">
      <text>
        <r>
          <rPr>
            <b/>
            <sz val="9"/>
            <color indexed="81"/>
            <rFont val="Tahoma"/>
            <family val="2"/>
          </rPr>
          <t>Mason, Monika (Peraton) (US Person):</t>
        </r>
        <r>
          <rPr>
            <sz val="9"/>
            <color indexed="81"/>
            <rFont val="Tahoma"/>
            <family val="2"/>
          </rPr>
          <t xml:space="preserve">
Not appearing in the Vendor Voucher History Inquiry </t>
        </r>
      </text>
    </comment>
    <comment ref="AG514" authorId="0" shapeId="0" xr:uid="{3222124C-D1DD-452A-81FB-E2E3DC282718}">
      <text>
        <r>
          <rPr>
            <b/>
            <sz val="9"/>
            <color indexed="81"/>
            <rFont val="Tahoma"/>
            <family val="2"/>
          </rPr>
          <t>Mason, Monika (Peraton) (US Person):</t>
        </r>
        <r>
          <rPr>
            <sz val="9"/>
            <color indexed="81"/>
            <rFont val="Tahoma"/>
            <family val="2"/>
          </rPr>
          <t xml:space="preserve">
Not appearing in the Vendor Voucher History Inquiry </t>
        </r>
      </text>
    </comment>
    <comment ref="AG515" authorId="0" shapeId="0" xr:uid="{22C4F39C-4209-4D21-8BDD-7370C18DD260}">
      <text>
        <r>
          <rPr>
            <b/>
            <sz val="9"/>
            <color indexed="81"/>
            <rFont val="Tahoma"/>
            <family val="2"/>
          </rPr>
          <t>Mason, Monika (Peraton) (US Person):</t>
        </r>
        <r>
          <rPr>
            <sz val="9"/>
            <color indexed="81"/>
            <rFont val="Tahoma"/>
            <family val="2"/>
          </rPr>
          <t xml:space="preserve">
Not appearing in the Vendor Voucher History Inquiry </t>
        </r>
      </text>
    </comment>
    <comment ref="AG517" authorId="0" shapeId="0" xr:uid="{7538C6DF-A0BE-40D6-B37B-AB3833941414}">
      <text>
        <r>
          <rPr>
            <b/>
            <sz val="9"/>
            <color indexed="81"/>
            <rFont val="Tahoma"/>
            <charset val="1"/>
          </rPr>
          <t>Mason, Monika (Peraton) (US Person):</t>
        </r>
        <r>
          <rPr>
            <sz val="9"/>
            <color indexed="81"/>
            <rFont val="Tahoma"/>
            <charset val="1"/>
          </rPr>
          <t xml:space="preserve">
04/04/19: Anticipated Pay Date is 04/28/19</t>
        </r>
      </text>
    </comment>
    <comment ref="AG518" authorId="0" shapeId="0" xr:uid="{DA805F7E-0821-45AC-8786-C29AF8E81BDC}">
      <text>
        <r>
          <rPr>
            <b/>
            <sz val="9"/>
            <color indexed="81"/>
            <rFont val="Tahoma"/>
            <family val="2"/>
          </rPr>
          <t>Mason, Monika (Peraton) (US Person):</t>
        </r>
        <r>
          <rPr>
            <sz val="9"/>
            <color indexed="81"/>
            <rFont val="Tahoma"/>
            <family val="2"/>
          </rPr>
          <t xml:space="preserve">
04/04/19: Payment status is on Hold. Emailed Mahelat Habtmariam regarding the status of payment. </t>
        </r>
      </text>
    </comment>
    <comment ref="AG519" authorId="0" shapeId="0" xr:uid="{57C3C2E3-74C5-4485-A2E8-57B98B91ADBF}">
      <text>
        <r>
          <rPr>
            <b/>
            <sz val="9"/>
            <color indexed="81"/>
            <rFont val="Tahoma"/>
            <family val="2"/>
          </rPr>
          <t>Mason, Monika (Peraton) (US Person):</t>
        </r>
        <r>
          <rPr>
            <sz val="9"/>
            <color indexed="81"/>
            <rFont val="Tahoma"/>
            <family val="2"/>
          </rPr>
          <t xml:space="preserve">
04/04/19: Payment status is on Hold. Emailed Mahelat Habtmariam regarding the status of payment. </t>
        </r>
      </text>
    </comment>
    <comment ref="AG521" authorId="0" shapeId="0" xr:uid="{F6243A37-A561-4FF1-AB2D-B76B41B053A0}">
      <text>
        <r>
          <rPr>
            <b/>
            <sz val="9"/>
            <color indexed="81"/>
            <rFont val="Tahoma"/>
            <charset val="1"/>
          </rPr>
          <t>Mason, Monika (Peraton) (US Person):</t>
        </r>
        <r>
          <rPr>
            <sz val="9"/>
            <color indexed="81"/>
            <rFont val="Tahoma"/>
            <charset val="1"/>
          </rPr>
          <t xml:space="preserve">
04/04/19: Anticipated Pay Date is 04/28/19</t>
        </r>
      </text>
    </comment>
    <comment ref="AG524" authorId="0" shapeId="0" xr:uid="{3BFC512D-74BE-475E-97FC-311FE7108EF9}">
      <text>
        <r>
          <rPr>
            <b/>
            <sz val="9"/>
            <color indexed="81"/>
            <rFont val="Tahoma"/>
            <family val="2"/>
          </rPr>
          <t>Mason, Monika (Peraton) (US Person):</t>
        </r>
        <r>
          <rPr>
            <sz val="9"/>
            <color indexed="81"/>
            <rFont val="Tahoma"/>
            <family val="2"/>
          </rPr>
          <t xml:space="preserve">
Not appearing in the Vendor Voucher History Inquiry </t>
        </r>
      </text>
    </comment>
    <comment ref="AG526" authorId="0" shapeId="0" xr:uid="{542E98A7-4C3B-42A1-AB17-AD255E07B219}">
      <text>
        <r>
          <rPr>
            <b/>
            <sz val="9"/>
            <color indexed="81"/>
            <rFont val="Tahoma"/>
            <family val="2"/>
          </rPr>
          <t>Mason, Monika (Peraton) (US Person):</t>
        </r>
        <r>
          <rPr>
            <sz val="9"/>
            <color indexed="81"/>
            <rFont val="Tahoma"/>
            <family val="2"/>
          </rPr>
          <t xml:space="preserve">
Anticipated Delivery date: 03/20/19. Not reflecting on the Voucher History Inquiry section of CostPoint</t>
        </r>
      </text>
    </comment>
    <comment ref="AG527" authorId="0" shapeId="0" xr:uid="{9202CBA9-3B5F-44B5-89EA-C644E359A0EB}">
      <text>
        <r>
          <rPr>
            <b/>
            <sz val="9"/>
            <color indexed="81"/>
            <rFont val="Tahoma"/>
            <family val="2"/>
          </rPr>
          <t>Mason, Monika (Peraton) (US Person):</t>
        </r>
        <r>
          <rPr>
            <sz val="9"/>
            <color indexed="81"/>
            <rFont val="Tahoma"/>
            <family val="2"/>
          </rPr>
          <t xml:space="preserve">
Anticipated Delivery date: 03/20/19. Not reflecting on the Voucher History Inquiry section of CostPoint</t>
        </r>
      </text>
    </comment>
    <comment ref="AG533" authorId="0" shapeId="0" xr:uid="{1FC8BB6B-8ABB-4BF3-8715-3F1F7F4EFD60}">
      <text>
        <r>
          <rPr>
            <b/>
            <sz val="9"/>
            <color indexed="81"/>
            <rFont val="Tahoma"/>
            <family val="2"/>
          </rPr>
          <t>Mason, Monika (Peraton) (US Person):</t>
        </r>
        <r>
          <rPr>
            <sz val="9"/>
            <color indexed="81"/>
            <rFont val="Tahoma"/>
            <family val="2"/>
          </rPr>
          <t xml:space="preserve">
Not appearing in the Vendor Voucher History Inquiry </t>
        </r>
      </text>
    </comment>
    <comment ref="AG534" authorId="0" shapeId="0" xr:uid="{E2B2403D-8ADE-4D6C-808C-608CF314E205}">
      <text>
        <r>
          <rPr>
            <b/>
            <sz val="9"/>
            <color indexed="81"/>
            <rFont val="Tahoma"/>
            <family val="2"/>
          </rPr>
          <t>Mason, Monika (Peraton) (US Person):</t>
        </r>
        <r>
          <rPr>
            <sz val="9"/>
            <color indexed="81"/>
            <rFont val="Tahoma"/>
            <family val="2"/>
          </rPr>
          <t xml:space="preserve">
Not appearing in the Vendor Voucher History Inquiry </t>
        </r>
      </text>
    </comment>
    <comment ref="AG567" authorId="0" shapeId="0" xr:uid="{BB91D3A2-9AB3-4304-BF57-4C42F2BBE98E}">
      <text>
        <r>
          <rPr>
            <b/>
            <sz val="9"/>
            <color indexed="81"/>
            <rFont val="Tahoma"/>
            <family val="2"/>
          </rPr>
          <t>Mason, Monika (Peraton) (US Person):</t>
        </r>
        <r>
          <rPr>
            <sz val="9"/>
            <color indexed="81"/>
            <rFont val="Tahoma"/>
            <family val="2"/>
          </rPr>
          <t xml:space="preserve">
Payment Status: HOLD </t>
        </r>
      </text>
    </comment>
    <comment ref="AG568" authorId="0" shapeId="0" xr:uid="{876F32F8-4D40-4E96-B689-3FDC02D80E82}">
      <text>
        <r>
          <rPr>
            <b/>
            <sz val="9"/>
            <color indexed="81"/>
            <rFont val="Tahoma"/>
            <family val="2"/>
          </rPr>
          <t>Mason, Monika (Peraton) (US Person):</t>
        </r>
        <r>
          <rPr>
            <sz val="9"/>
            <color indexed="81"/>
            <rFont val="Tahoma"/>
            <family val="2"/>
          </rPr>
          <t xml:space="preserve">
Not appearing in the Vendor Voucher History Inquiry </t>
        </r>
      </text>
    </comment>
    <comment ref="AG570" authorId="0" shapeId="0" xr:uid="{0359A570-1E14-4364-96F4-DA96D1D70951}">
      <text>
        <r>
          <rPr>
            <b/>
            <sz val="9"/>
            <color indexed="81"/>
            <rFont val="Tahoma"/>
            <family val="2"/>
          </rPr>
          <t>Mason, Monika (Peraton) (US Person):</t>
        </r>
        <r>
          <rPr>
            <sz val="9"/>
            <color indexed="81"/>
            <rFont val="Tahoma"/>
            <family val="2"/>
          </rPr>
          <t xml:space="preserve">
Not appearing in the Vendor Voucher History Inquiry </t>
        </r>
      </text>
    </comment>
    <comment ref="AG571" authorId="0" shapeId="0" xr:uid="{EF8CEEE9-B1E8-4383-BFA5-245C6AE3993F}">
      <text>
        <r>
          <rPr>
            <b/>
            <sz val="9"/>
            <color indexed="81"/>
            <rFont val="Tahoma"/>
            <family val="2"/>
          </rPr>
          <t>Mason, Monika (Peraton) (US Person):</t>
        </r>
        <r>
          <rPr>
            <sz val="9"/>
            <color indexed="81"/>
            <rFont val="Tahoma"/>
            <family val="2"/>
          </rPr>
          <t xml:space="preserve">
Not appearing in the Vendor Voucher History Inquiry </t>
        </r>
      </text>
    </comment>
    <comment ref="AG572" authorId="0" shapeId="0" xr:uid="{50B23C29-0B11-4469-A525-E5B1C9D7AC84}">
      <text>
        <r>
          <rPr>
            <b/>
            <sz val="9"/>
            <color indexed="81"/>
            <rFont val="Tahoma"/>
            <family val="2"/>
          </rPr>
          <t>Mason, Monika (Peraton) (US Person):</t>
        </r>
        <r>
          <rPr>
            <sz val="9"/>
            <color indexed="81"/>
            <rFont val="Tahoma"/>
            <family val="2"/>
          </rPr>
          <t xml:space="preserve">
Not appearing in the Vendor Voucher History Inquiry </t>
        </r>
      </text>
    </comment>
    <comment ref="AG573" authorId="0" shapeId="0" xr:uid="{CBC92FD5-48A8-4C7B-BD5C-C03F9656F516}">
      <text>
        <r>
          <rPr>
            <b/>
            <sz val="9"/>
            <color indexed="81"/>
            <rFont val="Tahoma"/>
            <family val="2"/>
          </rPr>
          <t>Mason, Monika (Peraton) (US Person):</t>
        </r>
        <r>
          <rPr>
            <sz val="9"/>
            <color indexed="81"/>
            <rFont val="Tahoma"/>
            <family val="2"/>
          </rPr>
          <t xml:space="preserve">
Not appearing in the Vendor Voucher History Inquiry </t>
        </r>
      </text>
    </comment>
    <comment ref="AG574" authorId="0" shapeId="0" xr:uid="{B62E047D-1BD5-43CB-97CC-FAD459D54378}">
      <text>
        <r>
          <rPr>
            <b/>
            <sz val="9"/>
            <color indexed="81"/>
            <rFont val="Tahoma"/>
            <family val="2"/>
          </rPr>
          <t>Mason, Monika (Peraton) (US Person):</t>
        </r>
        <r>
          <rPr>
            <sz val="9"/>
            <color indexed="81"/>
            <rFont val="Tahoma"/>
            <family val="2"/>
          </rPr>
          <t xml:space="preserve">
Not appearing in the Vendor Voucher History Inquiry </t>
        </r>
      </text>
    </comment>
    <comment ref="AG575" authorId="0" shapeId="0" xr:uid="{75575E78-B64E-44D3-907D-4C9C915EBF36}">
      <text>
        <r>
          <rPr>
            <b/>
            <sz val="9"/>
            <color indexed="81"/>
            <rFont val="Tahoma"/>
            <family val="2"/>
          </rPr>
          <t>Mason, Monika (Peraton) (US Person):</t>
        </r>
        <r>
          <rPr>
            <sz val="9"/>
            <color indexed="81"/>
            <rFont val="Tahoma"/>
            <family val="2"/>
          </rPr>
          <t xml:space="preserve">
Not appearing in the Vendor Voucher History Inquiry </t>
        </r>
      </text>
    </comment>
    <comment ref="AG576" authorId="0" shapeId="0" xr:uid="{9CE40A80-6A04-4821-8A19-1C1A67BEBECB}">
      <text>
        <r>
          <rPr>
            <b/>
            <sz val="9"/>
            <color indexed="81"/>
            <rFont val="Tahoma"/>
            <family val="2"/>
          </rPr>
          <t>Mason, Monika (Peraton) (US Person):</t>
        </r>
        <r>
          <rPr>
            <sz val="9"/>
            <color indexed="81"/>
            <rFont val="Tahoma"/>
            <family val="2"/>
          </rPr>
          <t xml:space="preserve">
Not appearing in the Vendor Voucher History Inquiry </t>
        </r>
      </text>
    </comment>
    <comment ref="AG577" authorId="0" shapeId="0" xr:uid="{7DC64C07-5B7D-4ADA-A88C-9DD7C6F9FC54}">
      <text>
        <r>
          <rPr>
            <b/>
            <sz val="9"/>
            <color indexed="81"/>
            <rFont val="Tahoma"/>
            <family val="2"/>
          </rPr>
          <t>Mason, Monika (Peraton) (US Person):</t>
        </r>
        <r>
          <rPr>
            <sz val="9"/>
            <color indexed="81"/>
            <rFont val="Tahoma"/>
            <family val="2"/>
          </rPr>
          <t xml:space="preserve">
Not appearing in the Vendor Voucher History Inquiry </t>
        </r>
      </text>
    </comment>
    <comment ref="AG578" authorId="0" shapeId="0" xr:uid="{D0E58582-0A1A-4C2D-813E-3B225822FA85}">
      <text>
        <r>
          <rPr>
            <b/>
            <sz val="9"/>
            <color indexed="81"/>
            <rFont val="Tahoma"/>
            <family val="2"/>
          </rPr>
          <t>Mason, Monika (Peraton) (US Person):</t>
        </r>
        <r>
          <rPr>
            <sz val="9"/>
            <color indexed="81"/>
            <rFont val="Tahoma"/>
            <family val="2"/>
          </rPr>
          <t xml:space="preserve">
Not appearing in the Vendor Voucher History Inquiry </t>
        </r>
      </text>
    </comment>
    <comment ref="AG579" authorId="0" shapeId="0" xr:uid="{E66A2A26-D9E1-46BA-B341-7DBB040FC085}">
      <text>
        <r>
          <rPr>
            <b/>
            <sz val="9"/>
            <color indexed="81"/>
            <rFont val="Tahoma"/>
            <family val="2"/>
          </rPr>
          <t>Mason, Monika (Peraton) (US Person):</t>
        </r>
        <r>
          <rPr>
            <sz val="9"/>
            <color indexed="81"/>
            <rFont val="Tahoma"/>
            <family val="2"/>
          </rPr>
          <t xml:space="preserve">
Not appearing in the Vendor Voucher History Inquiry </t>
        </r>
      </text>
    </comment>
    <comment ref="AG580" authorId="0" shapeId="0" xr:uid="{56693D5B-184B-4582-906D-7F695903972E}">
      <text>
        <r>
          <rPr>
            <b/>
            <sz val="9"/>
            <color indexed="81"/>
            <rFont val="Tahoma"/>
            <family val="2"/>
          </rPr>
          <t>Mason, Monika (Peraton) (US Person):</t>
        </r>
        <r>
          <rPr>
            <sz val="9"/>
            <color indexed="81"/>
            <rFont val="Tahoma"/>
            <family val="2"/>
          </rPr>
          <t xml:space="preserve">
Not appearing in the Vendor Voucher History Inquiry </t>
        </r>
      </text>
    </comment>
    <comment ref="AG595" authorId="0" shapeId="0" xr:uid="{2B2A4D08-AFC2-4EE7-928B-B3FBF28DFD1D}">
      <text>
        <r>
          <rPr>
            <b/>
            <sz val="9"/>
            <color indexed="81"/>
            <rFont val="Tahoma"/>
            <family val="2"/>
          </rPr>
          <t>Mason, Monika (Peraton) (US Person):</t>
        </r>
        <r>
          <rPr>
            <sz val="9"/>
            <color indexed="81"/>
            <rFont val="Tahoma"/>
            <family val="2"/>
          </rPr>
          <t xml:space="preserve">
Not appearing in the Vendor Voucher History Inquiry </t>
        </r>
      </text>
    </comment>
    <comment ref="AG596" authorId="0" shapeId="0" xr:uid="{A71713EB-B174-4117-A6C2-CEC03A3407CF}">
      <text>
        <r>
          <rPr>
            <b/>
            <sz val="9"/>
            <color indexed="81"/>
            <rFont val="Tahoma"/>
            <family val="2"/>
          </rPr>
          <t>Mason, Monika (Peraton) (US Person):</t>
        </r>
        <r>
          <rPr>
            <sz val="9"/>
            <color indexed="81"/>
            <rFont val="Tahoma"/>
            <family val="2"/>
          </rPr>
          <t xml:space="preserve">
Not appearing in the Vendor Voucher History Inquiry </t>
        </r>
      </text>
    </comment>
    <comment ref="AG597" authorId="0" shapeId="0" xr:uid="{182834A0-B67D-4714-982A-55699851BD90}">
      <text>
        <r>
          <rPr>
            <b/>
            <sz val="9"/>
            <color indexed="81"/>
            <rFont val="Tahoma"/>
            <family val="2"/>
          </rPr>
          <t>Mason, Monika (Peraton) (US Person):</t>
        </r>
        <r>
          <rPr>
            <sz val="9"/>
            <color indexed="81"/>
            <rFont val="Tahoma"/>
            <family val="2"/>
          </rPr>
          <t xml:space="preserve">
Not appearing in the Vendor Voucher History Inquiry </t>
        </r>
      </text>
    </comment>
    <comment ref="AG598" authorId="0" shapeId="0" xr:uid="{DE58D8D8-D778-4D35-95E9-EA97CAD5EA9F}">
      <text>
        <r>
          <rPr>
            <b/>
            <sz val="9"/>
            <color indexed="81"/>
            <rFont val="Tahoma"/>
            <family val="2"/>
          </rPr>
          <t>Mason, Monika (Peraton) (US Person):</t>
        </r>
        <r>
          <rPr>
            <sz val="9"/>
            <color indexed="81"/>
            <rFont val="Tahoma"/>
            <family val="2"/>
          </rPr>
          <t xml:space="preserve">
Not appearing in the Vendor Voucher History Inquiry </t>
        </r>
      </text>
    </comment>
    <comment ref="AG599" authorId="0" shapeId="0" xr:uid="{B6E94C2A-BAC5-4790-8C40-12612D106340}">
      <text>
        <r>
          <rPr>
            <b/>
            <sz val="9"/>
            <color indexed="81"/>
            <rFont val="Tahoma"/>
            <family val="2"/>
          </rPr>
          <t>Mason, Monika (Peraton) (US Person):</t>
        </r>
        <r>
          <rPr>
            <sz val="9"/>
            <color indexed="81"/>
            <rFont val="Tahoma"/>
            <family val="2"/>
          </rPr>
          <t xml:space="preserve">
Not appearing in the Vendor Voucher History Inquiry </t>
        </r>
      </text>
    </comment>
    <comment ref="AG600" authorId="0" shapeId="0" xr:uid="{FBDAC13A-2623-4E8A-AA62-9EA1ED8376FA}">
      <text>
        <r>
          <rPr>
            <b/>
            <sz val="9"/>
            <color indexed="81"/>
            <rFont val="Tahoma"/>
            <family val="2"/>
          </rPr>
          <t>Mason, Monika (Peraton) (US Person):</t>
        </r>
        <r>
          <rPr>
            <sz val="9"/>
            <color indexed="81"/>
            <rFont val="Tahoma"/>
            <family val="2"/>
          </rPr>
          <t xml:space="preserve">
Not appearing in the Vendor Voucher History Inquiry </t>
        </r>
      </text>
    </comment>
    <comment ref="AG601" authorId="0" shapeId="0" xr:uid="{680FADA4-4C90-42A1-8A07-A0FCB2E98E89}">
      <text>
        <r>
          <rPr>
            <b/>
            <sz val="9"/>
            <color indexed="81"/>
            <rFont val="Tahoma"/>
            <family val="2"/>
          </rPr>
          <t>Mason, Monika (Peraton) (US Person):</t>
        </r>
        <r>
          <rPr>
            <sz val="9"/>
            <color indexed="81"/>
            <rFont val="Tahoma"/>
            <family val="2"/>
          </rPr>
          <t xml:space="preserve">
Not appearing in the Vendor Voucher History Inquiry </t>
        </r>
      </text>
    </comment>
    <comment ref="AG602" authorId="0" shapeId="0" xr:uid="{54524FCB-F890-460A-AFB2-3D491B85DF8D}">
      <text>
        <r>
          <rPr>
            <b/>
            <sz val="9"/>
            <color indexed="81"/>
            <rFont val="Tahoma"/>
            <family val="2"/>
          </rPr>
          <t>Mason, Monika (Peraton) (US Person):</t>
        </r>
        <r>
          <rPr>
            <sz val="9"/>
            <color indexed="81"/>
            <rFont val="Tahoma"/>
            <family val="2"/>
          </rPr>
          <t xml:space="preserve">
Not appearing in the Vendor Voucher History Inquiry </t>
        </r>
      </text>
    </comment>
    <comment ref="AG605" authorId="0" shapeId="0" xr:uid="{9AC83CF0-ECB8-4E11-91F5-D5FD601D0B1A}">
      <text>
        <r>
          <rPr>
            <b/>
            <sz val="9"/>
            <color indexed="81"/>
            <rFont val="Tahoma"/>
            <family val="2"/>
          </rPr>
          <t>Mason, Monika (Peraton) (US Person):</t>
        </r>
        <r>
          <rPr>
            <sz val="9"/>
            <color indexed="81"/>
            <rFont val="Tahoma"/>
            <family val="2"/>
          </rPr>
          <t xml:space="preserve">
Payment Status on Hold</t>
        </r>
      </text>
    </comment>
    <comment ref="AG606" authorId="0" shapeId="0" xr:uid="{4D660B0B-793A-4A18-802D-8C44AD7CE2EB}">
      <text>
        <r>
          <rPr>
            <b/>
            <sz val="9"/>
            <color indexed="81"/>
            <rFont val="Tahoma"/>
            <family val="2"/>
          </rPr>
          <t>Mason, Monika (Peraton) (US Person):</t>
        </r>
        <r>
          <rPr>
            <sz val="9"/>
            <color indexed="81"/>
            <rFont val="Tahoma"/>
            <family val="2"/>
          </rPr>
          <t xml:space="preserve">
Payment Status on Hold</t>
        </r>
      </text>
    </comment>
    <comment ref="AG608" authorId="0" shapeId="0" xr:uid="{E7FB5D6A-7396-4B58-8508-F4BF2565D5C6}">
      <text>
        <r>
          <rPr>
            <b/>
            <sz val="9"/>
            <color indexed="81"/>
            <rFont val="Tahoma"/>
            <family val="2"/>
          </rPr>
          <t>Mason, Monika (Peraton) (US Person):</t>
        </r>
        <r>
          <rPr>
            <sz val="9"/>
            <color indexed="81"/>
            <rFont val="Tahoma"/>
            <family val="2"/>
          </rPr>
          <t xml:space="preserve">
Payment Status: HOLD</t>
        </r>
      </text>
    </comment>
    <comment ref="AG609" authorId="0" shapeId="0" xr:uid="{5D5B1716-D987-482A-9403-9EAB91D35C90}">
      <text>
        <r>
          <rPr>
            <b/>
            <sz val="9"/>
            <color indexed="81"/>
            <rFont val="Tahoma"/>
            <family val="2"/>
          </rPr>
          <t>Mason, Monika (Peraton) (US Person):</t>
        </r>
        <r>
          <rPr>
            <sz val="9"/>
            <color indexed="81"/>
            <rFont val="Tahoma"/>
            <family val="2"/>
          </rPr>
          <t xml:space="preserve">
Payment Status: HOLD</t>
        </r>
      </text>
    </comment>
    <comment ref="AG616" authorId="0" shapeId="0" xr:uid="{4E1C314D-D7F6-4B69-AACE-BB4F757F3E55}">
      <text>
        <r>
          <rPr>
            <b/>
            <sz val="9"/>
            <color indexed="81"/>
            <rFont val="Tahoma"/>
            <family val="2"/>
          </rPr>
          <t>Mason, Monika (Peraton) (US Person):</t>
        </r>
        <r>
          <rPr>
            <sz val="9"/>
            <color indexed="81"/>
            <rFont val="Tahoma"/>
            <family val="2"/>
          </rPr>
          <t xml:space="preserve">
Pcard purchase</t>
        </r>
      </text>
    </comment>
    <comment ref="AG617" authorId="0" shapeId="0" xr:uid="{33BB3DA3-176B-4F34-B6C0-7CA13AC86A16}">
      <text>
        <r>
          <rPr>
            <b/>
            <sz val="9"/>
            <color indexed="81"/>
            <rFont val="Tahoma"/>
            <family val="2"/>
          </rPr>
          <t>Mason, Monika (Peraton) (US Person):</t>
        </r>
        <r>
          <rPr>
            <sz val="9"/>
            <color indexed="81"/>
            <rFont val="Tahoma"/>
            <family val="2"/>
          </rPr>
          <t xml:space="preserve">
Pcard purchase</t>
        </r>
      </text>
    </comment>
    <comment ref="AG618" authorId="0" shapeId="0" xr:uid="{51B97ECD-14D3-4763-8B33-120806DC2B86}">
      <text>
        <r>
          <rPr>
            <b/>
            <sz val="9"/>
            <color indexed="81"/>
            <rFont val="Tahoma"/>
            <family val="2"/>
          </rPr>
          <t>Mason, Monika (Peraton) (US Person):</t>
        </r>
        <r>
          <rPr>
            <sz val="9"/>
            <color indexed="81"/>
            <rFont val="Tahoma"/>
            <family val="2"/>
          </rPr>
          <t xml:space="preserve">
Pcard purchase</t>
        </r>
      </text>
    </comment>
    <comment ref="AG619" authorId="0" shapeId="0" xr:uid="{0AC8534E-376D-4A25-AD4D-30F7B2A85E3C}">
      <text>
        <r>
          <rPr>
            <b/>
            <sz val="9"/>
            <color indexed="81"/>
            <rFont val="Tahoma"/>
            <family val="2"/>
          </rPr>
          <t>Mason, Monika (Peraton) (US Person):</t>
        </r>
        <r>
          <rPr>
            <sz val="9"/>
            <color indexed="81"/>
            <rFont val="Tahoma"/>
            <family val="2"/>
          </rPr>
          <t xml:space="preserve">
Pcard purchase</t>
        </r>
      </text>
    </comment>
    <comment ref="AG620" authorId="0" shapeId="0" xr:uid="{31ECBBA6-56D1-4DF0-BABE-3945DCA1AA0F}">
      <text>
        <r>
          <rPr>
            <b/>
            <sz val="9"/>
            <color indexed="81"/>
            <rFont val="Tahoma"/>
            <family val="2"/>
          </rPr>
          <t>Mason, Monika (Peraton) (US Person):</t>
        </r>
        <r>
          <rPr>
            <sz val="9"/>
            <color indexed="81"/>
            <rFont val="Tahoma"/>
            <family val="2"/>
          </rPr>
          <t xml:space="preserve">
Pcard purchase</t>
        </r>
      </text>
    </comment>
    <comment ref="AG621" authorId="0" shapeId="0" xr:uid="{E0E13A9F-E472-4DFB-B191-AD3565F8B355}">
      <text>
        <r>
          <rPr>
            <b/>
            <sz val="9"/>
            <color indexed="81"/>
            <rFont val="Tahoma"/>
            <family val="2"/>
          </rPr>
          <t>Mason, Monika (Peraton) (US Person):</t>
        </r>
        <r>
          <rPr>
            <sz val="9"/>
            <color indexed="81"/>
            <rFont val="Tahoma"/>
            <family val="2"/>
          </rPr>
          <t xml:space="preserve">
Pcard purchase</t>
        </r>
      </text>
    </comment>
    <comment ref="AG624" authorId="0" shapeId="0" xr:uid="{84B0363A-FC52-4FA9-BF48-32B24D98BC36}">
      <text>
        <r>
          <rPr>
            <b/>
            <sz val="9"/>
            <color indexed="81"/>
            <rFont val="Tahoma"/>
            <family val="2"/>
          </rPr>
          <t>Mason, Monika (Peraton) (US Person):</t>
        </r>
        <r>
          <rPr>
            <sz val="9"/>
            <color indexed="81"/>
            <rFont val="Tahoma"/>
            <family val="2"/>
          </rPr>
          <t xml:space="preserve">
Pcard purchase</t>
        </r>
      </text>
    </comment>
    <comment ref="AG625" authorId="0" shapeId="0" xr:uid="{1C2EF574-D297-4D9E-AE27-768B0E7CECA2}">
      <text>
        <r>
          <rPr>
            <b/>
            <sz val="9"/>
            <color indexed="81"/>
            <rFont val="Tahoma"/>
            <family val="2"/>
          </rPr>
          <t>Mason, Monika (Peraton) (US Person):</t>
        </r>
        <r>
          <rPr>
            <sz val="9"/>
            <color indexed="81"/>
            <rFont val="Tahoma"/>
            <family val="2"/>
          </rPr>
          <t xml:space="preserve">
Pcard purchase</t>
        </r>
      </text>
    </comment>
    <comment ref="AG628" authorId="0" shapeId="0" xr:uid="{93B14D3E-690E-42BD-8912-251BE6179A2C}">
      <text>
        <r>
          <rPr>
            <b/>
            <sz val="9"/>
            <color indexed="81"/>
            <rFont val="Tahoma"/>
            <family val="2"/>
          </rPr>
          <t>Mason, Monika (Peraton) (US Person):</t>
        </r>
        <r>
          <rPr>
            <sz val="9"/>
            <color indexed="81"/>
            <rFont val="Tahoma"/>
            <family val="2"/>
          </rPr>
          <t xml:space="preserve">
Pcard purchase</t>
        </r>
      </text>
    </comment>
    <comment ref="AG629" authorId="0" shapeId="0" xr:uid="{36D1DAE7-C443-408A-8F1E-CEB35942DFDB}">
      <text>
        <r>
          <rPr>
            <b/>
            <sz val="9"/>
            <color indexed="81"/>
            <rFont val="Tahoma"/>
            <family val="2"/>
          </rPr>
          <t>Mason, Monika (Peraton) (US Person):</t>
        </r>
        <r>
          <rPr>
            <sz val="9"/>
            <color indexed="81"/>
            <rFont val="Tahoma"/>
            <family val="2"/>
          </rPr>
          <t xml:space="preserve">
Payment Status on hold</t>
        </r>
      </text>
    </comment>
    <comment ref="AG630" authorId="0" shapeId="0" xr:uid="{E55DEB87-E749-44A1-918A-EB355687C5FB}">
      <text>
        <r>
          <rPr>
            <b/>
            <sz val="9"/>
            <color indexed="81"/>
            <rFont val="Tahoma"/>
            <family val="2"/>
          </rPr>
          <t>Mason, Monika (Peraton) (US Person):</t>
        </r>
        <r>
          <rPr>
            <sz val="9"/>
            <color indexed="81"/>
            <rFont val="Tahoma"/>
            <family val="2"/>
          </rPr>
          <t xml:space="preserve">
Not appearing in the Vendor Voucher History Inquiry </t>
        </r>
      </text>
    </comment>
    <comment ref="AG631" authorId="0" shapeId="0" xr:uid="{A4EE9BB9-C6B7-487D-93A4-BE01606128AA}">
      <text>
        <r>
          <rPr>
            <b/>
            <sz val="9"/>
            <color indexed="81"/>
            <rFont val="Tahoma"/>
            <family val="2"/>
          </rPr>
          <t>Mason, Monika (Peraton) (US Person):</t>
        </r>
        <r>
          <rPr>
            <sz val="9"/>
            <color indexed="81"/>
            <rFont val="Tahoma"/>
            <family val="2"/>
          </rPr>
          <t xml:space="preserve">
Payment Status states Defer in CostPoint</t>
        </r>
      </text>
    </comment>
    <comment ref="AG634" authorId="0" shapeId="0" xr:uid="{456379E2-34CA-43BE-BBE4-3A134FE15C91}">
      <text>
        <r>
          <rPr>
            <b/>
            <sz val="9"/>
            <color indexed="81"/>
            <rFont val="Tahoma"/>
            <family val="2"/>
          </rPr>
          <t>Mason, Monika (Peraton) (US Person):</t>
        </r>
        <r>
          <rPr>
            <sz val="9"/>
            <color indexed="81"/>
            <rFont val="Tahoma"/>
            <family val="2"/>
          </rPr>
          <t xml:space="preserve">
Pcard purchase</t>
        </r>
      </text>
    </comment>
    <comment ref="AG635" authorId="0" shapeId="0" xr:uid="{C8C2E735-6E16-4BB5-B81A-75E42F0705F2}">
      <text>
        <r>
          <rPr>
            <b/>
            <sz val="9"/>
            <color indexed="81"/>
            <rFont val="Tahoma"/>
            <family val="2"/>
          </rPr>
          <t>Mason, Monika (Peraton) (US Person):</t>
        </r>
        <r>
          <rPr>
            <sz val="9"/>
            <color indexed="81"/>
            <rFont val="Tahoma"/>
            <family val="2"/>
          </rPr>
          <t xml:space="preserve">
Pcard purchase</t>
        </r>
      </text>
    </comment>
    <comment ref="AG636" authorId="0" shapeId="0" xr:uid="{E262CFD9-424A-42AD-B332-BC47CC81CCD4}">
      <text>
        <r>
          <rPr>
            <b/>
            <sz val="9"/>
            <color indexed="81"/>
            <rFont val="Tahoma"/>
            <family val="2"/>
          </rPr>
          <t>Mason, Monika (Peraton) (US Person):</t>
        </r>
        <r>
          <rPr>
            <sz val="9"/>
            <color indexed="81"/>
            <rFont val="Tahoma"/>
            <family val="2"/>
          </rPr>
          <t xml:space="preserve">
Not appearing in the Vendor Voucher History Inquiry </t>
        </r>
      </text>
    </comment>
    <comment ref="AG637" authorId="0" shapeId="0" xr:uid="{9CFD882E-F002-4B5D-A463-C3541AAB84CE}">
      <text>
        <r>
          <rPr>
            <b/>
            <sz val="9"/>
            <color indexed="81"/>
            <rFont val="Tahoma"/>
            <family val="2"/>
          </rPr>
          <t>Mason, Monika (Peraton) (US Person):</t>
        </r>
        <r>
          <rPr>
            <sz val="9"/>
            <color indexed="81"/>
            <rFont val="Tahoma"/>
            <family val="2"/>
          </rPr>
          <t xml:space="preserve">
Not appearing in the Vendor Voucher History Inquiry </t>
        </r>
      </text>
    </comment>
    <comment ref="AG640" authorId="0" shapeId="0" xr:uid="{0AD9F723-09C3-4E90-A4FC-C5DA82C002D4}">
      <text>
        <r>
          <rPr>
            <b/>
            <sz val="9"/>
            <color indexed="81"/>
            <rFont val="Tahoma"/>
            <family val="2"/>
          </rPr>
          <t>Mason, Monika (Peraton) (US Person):</t>
        </r>
        <r>
          <rPr>
            <sz val="9"/>
            <color indexed="81"/>
            <rFont val="Tahoma"/>
            <family val="2"/>
          </rPr>
          <t xml:space="preserve">
Payment Status: Hold</t>
        </r>
      </text>
    </comment>
    <comment ref="AG641" authorId="0" shapeId="0" xr:uid="{5B7BD7BF-B281-465D-A3C6-9DAB0B74678F}">
      <text>
        <r>
          <rPr>
            <b/>
            <sz val="9"/>
            <color indexed="81"/>
            <rFont val="Tahoma"/>
            <family val="2"/>
          </rPr>
          <t>Mason, Monika (Peraton) (US Person):</t>
        </r>
        <r>
          <rPr>
            <sz val="9"/>
            <color indexed="81"/>
            <rFont val="Tahoma"/>
            <family val="2"/>
          </rPr>
          <t xml:space="preserve">
Not appearing in the Vendor Voucher History Inquiry </t>
        </r>
      </text>
    </comment>
    <comment ref="AG642" authorId="0" shapeId="0" xr:uid="{B2FFA91B-9656-4BA3-B310-5D261FF8A4D8}">
      <text>
        <r>
          <rPr>
            <b/>
            <sz val="9"/>
            <color indexed="81"/>
            <rFont val="Tahoma"/>
            <family val="2"/>
          </rPr>
          <t>Mason, Monika (Peraton) (US Person):</t>
        </r>
        <r>
          <rPr>
            <sz val="9"/>
            <color indexed="81"/>
            <rFont val="Tahoma"/>
            <family val="2"/>
          </rPr>
          <t xml:space="preserve">
Payment Status: Hold</t>
        </r>
      </text>
    </comment>
    <comment ref="AG643" authorId="0" shapeId="0" xr:uid="{94D332A8-4D86-400F-90D9-227BE4F37CA5}">
      <text>
        <r>
          <rPr>
            <b/>
            <sz val="9"/>
            <color indexed="81"/>
            <rFont val="Tahoma"/>
            <family val="2"/>
          </rPr>
          <t>Mason, Monika (Peraton) (US Person):</t>
        </r>
        <r>
          <rPr>
            <sz val="9"/>
            <color indexed="81"/>
            <rFont val="Tahoma"/>
            <family val="2"/>
          </rPr>
          <t xml:space="preserve">
Payment Status: Hold</t>
        </r>
      </text>
    </comment>
    <comment ref="AG644" authorId="0" shapeId="0" xr:uid="{9691AD1F-BA16-452F-885A-B1343706601B}">
      <text>
        <r>
          <rPr>
            <b/>
            <sz val="9"/>
            <color indexed="81"/>
            <rFont val="Tahoma"/>
            <family val="2"/>
          </rPr>
          <t>Mason, Monika (Peraton) (US Person):</t>
        </r>
        <r>
          <rPr>
            <sz val="9"/>
            <color indexed="81"/>
            <rFont val="Tahoma"/>
            <family val="2"/>
          </rPr>
          <t xml:space="preserve">
Payment status on Hold</t>
        </r>
      </text>
    </comment>
    <comment ref="AG645" authorId="0" shapeId="0" xr:uid="{464D174D-F792-4A11-8680-9FB86A830D3A}">
      <text>
        <r>
          <rPr>
            <b/>
            <sz val="9"/>
            <color indexed="81"/>
            <rFont val="Tahoma"/>
            <family val="2"/>
          </rPr>
          <t>Mason, Monika (Peraton) (US Person):</t>
        </r>
        <r>
          <rPr>
            <sz val="9"/>
            <color indexed="81"/>
            <rFont val="Tahoma"/>
            <family val="2"/>
          </rPr>
          <t xml:space="preserve">
Not appearing in the Vendor Voucher History Inquiry </t>
        </r>
      </text>
    </comment>
    <comment ref="AG646" authorId="0" shapeId="0" xr:uid="{F36A48E2-7D07-4158-8CBC-6F0142248ECB}">
      <text>
        <r>
          <rPr>
            <b/>
            <sz val="9"/>
            <color indexed="81"/>
            <rFont val="Tahoma"/>
            <family val="2"/>
          </rPr>
          <t>Mason, Monika (Peraton) (US Person):</t>
        </r>
        <r>
          <rPr>
            <sz val="9"/>
            <color indexed="81"/>
            <rFont val="Tahoma"/>
            <family val="2"/>
          </rPr>
          <t xml:space="preserve">
Not appearing in the Vendor Voucher History Inquiry </t>
        </r>
      </text>
    </comment>
    <comment ref="AG648" authorId="0" shapeId="0" xr:uid="{F115EC99-B841-4D2C-B9F8-0D9DE2E0F020}">
      <text>
        <r>
          <rPr>
            <b/>
            <sz val="9"/>
            <color indexed="81"/>
            <rFont val="Tahoma"/>
            <family val="2"/>
          </rPr>
          <t>Mason, Monika (Peraton) (US Person):</t>
        </r>
        <r>
          <rPr>
            <sz val="9"/>
            <color indexed="81"/>
            <rFont val="Tahoma"/>
            <family val="2"/>
          </rPr>
          <t xml:space="preserve">
Payment status on Hold</t>
        </r>
      </text>
    </comment>
    <comment ref="AG649" authorId="0" shapeId="0" xr:uid="{2CC460A5-18BF-4E2A-92AC-8621F993D142}">
      <text>
        <r>
          <rPr>
            <b/>
            <sz val="9"/>
            <color indexed="81"/>
            <rFont val="Tahoma"/>
            <family val="2"/>
          </rPr>
          <t>Mason, Monika (Peraton) (US Person):</t>
        </r>
        <r>
          <rPr>
            <sz val="9"/>
            <color indexed="81"/>
            <rFont val="Tahoma"/>
            <family val="2"/>
          </rPr>
          <t xml:space="preserve">
Not appearing in the Vendor Voucher History Inquiry </t>
        </r>
      </text>
    </comment>
    <comment ref="AG650" authorId="0" shapeId="0" xr:uid="{30634179-2CE0-46BF-B6DE-20EF26843DE9}">
      <text>
        <r>
          <rPr>
            <b/>
            <sz val="9"/>
            <color indexed="81"/>
            <rFont val="Tahoma"/>
            <family val="2"/>
          </rPr>
          <t>Mason, Monika (Peraton) (US Person):</t>
        </r>
        <r>
          <rPr>
            <sz val="9"/>
            <color indexed="81"/>
            <rFont val="Tahoma"/>
            <family val="2"/>
          </rPr>
          <t xml:space="preserve">
Pcard purchase</t>
        </r>
      </text>
    </comment>
    <comment ref="AG651" authorId="0" shapeId="0" xr:uid="{5A5CE0A6-1D57-4E6E-B4F8-6DAD4E29D6D2}">
      <text>
        <r>
          <rPr>
            <b/>
            <sz val="9"/>
            <color indexed="81"/>
            <rFont val="Tahoma"/>
            <family val="2"/>
          </rPr>
          <t>Mason, Monika (Peraton) (US Person):</t>
        </r>
        <r>
          <rPr>
            <sz val="9"/>
            <color indexed="81"/>
            <rFont val="Tahoma"/>
            <family val="2"/>
          </rPr>
          <t xml:space="preserve">
Not appearing in the Vendor Voucher History Inquiry </t>
        </r>
      </text>
    </comment>
    <comment ref="AG652" authorId="0" shapeId="0" xr:uid="{7ADF5F8D-38AD-43AB-A547-D051781C6EDA}">
      <text>
        <r>
          <rPr>
            <b/>
            <sz val="9"/>
            <color indexed="81"/>
            <rFont val="Tahoma"/>
            <family val="2"/>
          </rPr>
          <t>Mason, Monika (Peraton) (US Person):</t>
        </r>
        <r>
          <rPr>
            <sz val="9"/>
            <color indexed="81"/>
            <rFont val="Tahoma"/>
            <family val="2"/>
          </rPr>
          <t xml:space="preserve">
Not appearing in the Vendor Voucher History Inquiry </t>
        </r>
      </text>
    </comment>
    <comment ref="AJ1227" authorId="1" shapeId="0" xr:uid="{00000000-0006-0000-0100-000016000000}">
      <text>
        <r>
          <rPr>
            <b/>
            <sz val="9"/>
            <color indexed="81"/>
            <rFont val="Tahoma"/>
            <family val="2"/>
          </rPr>
          <t>Mason, Monika (U.S. Person):</t>
        </r>
        <r>
          <rPr>
            <sz val="9"/>
            <color indexed="81"/>
            <rFont val="Tahoma"/>
            <family val="2"/>
          </rPr>
          <t xml:space="preserve">
WBS 3.0 (MOD 4)</t>
        </r>
      </text>
    </comment>
    <comment ref="AK1227" authorId="1" shapeId="0" xr:uid="{00000000-0006-0000-0100-000017000000}">
      <text>
        <r>
          <rPr>
            <b/>
            <sz val="9"/>
            <color indexed="81"/>
            <rFont val="Tahoma"/>
            <family val="2"/>
          </rPr>
          <t>Mason, Monika (U.S. Person):</t>
        </r>
        <r>
          <rPr>
            <sz val="9"/>
            <color indexed="81"/>
            <rFont val="Tahoma"/>
            <family val="2"/>
          </rPr>
          <t xml:space="preserve">
WBS 3.0 (MOD 4)</t>
        </r>
      </text>
    </comment>
    <comment ref="AJ1228" authorId="1" shapeId="0" xr:uid="{00000000-0006-0000-0100-00001D000000}">
      <text>
        <r>
          <rPr>
            <b/>
            <sz val="9"/>
            <color indexed="81"/>
            <rFont val="Tahoma"/>
            <family val="2"/>
          </rPr>
          <t>Mason, Monika (U.S. Person):</t>
        </r>
        <r>
          <rPr>
            <sz val="9"/>
            <color indexed="81"/>
            <rFont val="Tahoma"/>
            <family val="2"/>
          </rPr>
          <t xml:space="preserve">
WBS 4.0 (MOD 4)</t>
        </r>
      </text>
    </comment>
    <comment ref="AK1228" authorId="1" shapeId="0" xr:uid="{00000000-0006-0000-0100-00001E000000}">
      <text>
        <r>
          <rPr>
            <b/>
            <sz val="9"/>
            <color indexed="81"/>
            <rFont val="Tahoma"/>
            <family val="2"/>
          </rPr>
          <t>Mason, Monika (U.S. Person):</t>
        </r>
        <r>
          <rPr>
            <sz val="9"/>
            <color indexed="81"/>
            <rFont val="Tahoma"/>
            <family val="2"/>
          </rPr>
          <t xml:space="preserve">
WBS 4.0 (MOD 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Mason, Monika (Peraton) (US Person)</author>
    <author>Mason, Monika (U.S. Person)</author>
    <author>Thurston, Donna (Peraton) (US Person)</author>
  </authors>
  <commentList>
    <comment ref="G6" authorId="0" shapeId="0" xr:uid="{B6CB52B6-9EAF-4E0F-87E9-D8AF831ADFAC}">
      <text>
        <r>
          <rPr>
            <b/>
            <sz val="9"/>
            <color indexed="81"/>
            <rFont val="Tahoma"/>
            <family val="2"/>
          </rPr>
          <t>Mason, Monika (Peraton) (US Person):</t>
        </r>
        <r>
          <rPr>
            <sz val="9"/>
            <color indexed="81"/>
            <rFont val="Tahoma"/>
            <family val="2"/>
          </rPr>
          <t xml:space="preserve">
Actuals</t>
        </r>
      </text>
    </comment>
    <comment ref="AA6" authorId="1" shapeId="0" xr:uid="{00000000-0006-0000-0400-000001000000}">
      <text>
        <r>
          <rPr>
            <b/>
            <sz val="9"/>
            <color indexed="81"/>
            <rFont val="Tahoma"/>
            <family val="2"/>
          </rPr>
          <t>Mason, Monika (U.S. Person):</t>
        </r>
        <r>
          <rPr>
            <sz val="9"/>
            <color indexed="81"/>
            <rFont val="Tahoma"/>
            <family val="2"/>
          </rPr>
          <t xml:space="preserve">
Moved to Q1GFY19</t>
        </r>
      </text>
    </comment>
    <comment ref="I7" authorId="0" shapeId="0" xr:uid="{F0CCDE87-E7B5-42A9-AABD-33369AC12376}">
      <text>
        <r>
          <rPr>
            <b/>
            <sz val="9"/>
            <color indexed="81"/>
            <rFont val="Tahoma"/>
            <family val="2"/>
          </rPr>
          <t>Mason, Monika (Peraton) (US Person):</t>
        </r>
        <r>
          <rPr>
            <sz val="9"/>
            <color indexed="81"/>
            <rFont val="Tahoma"/>
            <family val="2"/>
          </rPr>
          <t xml:space="preserve">
Actuals</t>
        </r>
      </text>
    </comment>
    <comment ref="L8" authorId="0" shapeId="0" xr:uid="{E373FF68-66B8-46D7-A02B-10BD4A13BA22}">
      <text>
        <r>
          <rPr>
            <b/>
            <sz val="9"/>
            <color indexed="81"/>
            <rFont val="Tahoma"/>
            <family val="2"/>
          </rPr>
          <t>Mason, Monika (Peraton) (US Person):</t>
        </r>
        <r>
          <rPr>
            <sz val="9"/>
            <color indexed="81"/>
            <rFont val="Tahoma"/>
            <family val="2"/>
          </rPr>
          <t xml:space="preserve">
Actuals</t>
        </r>
      </text>
    </comment>
    <comment ref="AA8" authorId="1" shapeId="0" xr:uid="{00000000-0006-0000-0400-000002000000}">
      <text>
        <r>
          <rPr>
            <b/>
            <sz val="9"/>
            <color indexed="81"/>
            <rFont val="Tahoma"/>
            <family val="2"/>
          </rPr>
          <t>Mason, Monika (U.S. Person):</t>
        </r>
        <r>
          <rPr>
            <sz val="9"/>
            <color indexed="81"/>
            <rFont val="Tahoma"/>
            <family val="2"/>
          </rPr>
          <t xml:space="preserve">
Moved to Q1GFY19</t>
        </r>
      </text>
    </comment>
    <comment ref="L9" authorId="0" shapeId="0" xr:uid="{CB766805-696C-4139-B19D-650E91B479E0}">
      <text>
        <r>
          <rPr>
            <b/>
            <sz val="9"/>
            <color indexed="81"/>
            <rFont val="Tahoma"/>
            <family val="2"/>
          </rPr>
          <t>Mason, Monika (Peraton) (US Person):</t>
        </r>
        <r>
          <rPr>
            <sz val="9"/>
            <color indexed="81"/>
            <rFont val="Tahoma"/>
            <family val="2"/>
          </rPr>
          <t xml:space="preserve">
Actuals</t>
        </r>
      </text>
    </comment>
    <comment ref="V10" authorId="2" shapeId="0" xr:uid="{776A9C6D-4CBD-41C9-930A-93381479CE80}">
      <text>
        <r>
          <rPr>
            <b/>
            <sz val="9"/>
            <color indexed="81"/>
            <rFont val="Tahoma"/>
            <family val="2"/>
          </rPr>
          <t>Thurston, Donna (Peraton) (US Person):</t>
        </r>
        <r>
          <rPr>
            <sz val="9"/>
            <color indexed="81"/>
            <rFont val="Tahoma"/>
            <family val="2"/>
          </rPr>
          <t xml:space="preserve">
ViaSat Payments for Factory Acceptance Test moved to March 2019 per Chris due to shift in schedule.  Milestone Payment #5</t>
        </r>
      </text>
    </comment>
    <comment ref="X11" authorId="2" shapeId="0" xr:uid="{761A0937-85E5-4B30-9881-D1DBC27FD3CF}">
      <text>
        <r>
          <rPr>
            <sz val="10"/>
            <rFont val="Arial"/>
            <family val="2"/>
          </rPr>
          <t xml:space="preserve">Site Acceptance Test Completion- Milestone Payment #6
</t>
        </r>
      </text>
    </comment>
    <comment ref="L17" authorId="0" shapeId="0" xr:uid="{8CE4F979-3682-4750-8783-B854E5ED4472}">
      <text>
        <r>
          <rPr>
            <b/>
            <sz val="9"/>
            <color indexed="81"/>
            <rFont val="Tahoma"/>
            <family val="2"/>
          </rPr>
          <t>Mason, Monika (Peraton) (US Person):</t>
        </r>
        <r>
          <rPr>
            <sz val="9"/>
            <color indexed="81"/>
            <rFont val="Tahoma"/>
            <family val="2"/>
          </rPr>
          <t xml:space="preserve">
Actuals</t>
        </r>
      </text>
    </comment>
    <comment ref="L18" authorId="0" shapeId="0" xr:uid="{34892A6A-09C4-426A-A2CC-61D7519B8B73}">
      <text>
        <r>
          <rPr>
            <b/>
            <sz val="9"/>
            <color indexed="81"/>
            <rFont val="Tahoma"/>
            <family val="2"/>
          </rPr>
          <t>Mason, Monika (Peraton) (US Person):</t>
        </r>
        <r>
          <rPr>
            <sz val="9"/>
            <color indexed="81"/>
            <rFont val="Tahoma"/>
            <family val="2"/>
          </rPr>
          <t xml:space="preserve">
Actuals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Mason, Monika (U.S. Person)</author>
  </authors>
  <commentList>
    <comment ref="J4" authorId="0" shapeId="0" xr:uid="{00000000-0006-0000-0500-000001000000}">
      <text>
        <r>
          <rPr>
            <b/>
            <sz val="9"/>
            <color indexed="81"/>
            <rFont val="Tahoma"/>
            <family val="2"/>
          </rPr>
          <t>Mason, Monika (U.S. Person):</t>
        </r>
        <r>
          <rPr>
            <sz val="9"/>
            <color indexed="81"/>
            <rFont val="Tahoma"/>
            <family val="2"/>
          </rPr>
          <t xml:space="preserve">
19X4 Crossbar Terminated RF Switch I/O ports are terminated to 2W 50-ohm
load DC to 18 GHz operating frequency 4RU Enclosure SMA connectors on the rear panel LCD Touch Screen for manual control Ethernet with HTTP-Server (built-in website), RS -232 and USB remote controls
</t>
        </r>
      </text>
    </comment>
    <comment ref="J5" authorId="0" shapeId="0" xr:uid="{00000000-0006-0000-0500-000002000000}">
      <text>
        <r>
          <rPr>
            <b/>
            <sz val="9"/>
            <color indexed="81"/>
            <rFont val="Tahoma"/>
            <family val="2"/>
          </rPr>
          <t>Mason, Monika (U.S. Person):</t>
        </r>
        <r>
          <rPr>
            <sz val="9"/>
            <color indexed="81"/>
            <rFont val="Tahoma"/>
            <family val="2"/>
          </rPr>
          <t xml:space="preserve">
Mu-Del Up/Down Converter
Cables</t>
        </r>
      </text>
    </comment>
    <comment ref="J6" authorId="0" shapeId="0" xr:uid="{00000000-0006-0000-0500-000003000000}">
      <text>
        <r>
          <rPr>
            <b/>
            <sz val="9"/>
            <color indexed="81"/>
            <rFont val="Tahoma"/>
            <family val="2"/>
          </rPr>
          <t>Mason, Monika (U.S. Person):</t>
        </r>
        <r>
          <rPr>
            <sz val="9"/>
            <color indexed="81"/>
            <rFont val="Tahoma"/>
            <family val="2"/>
          </rPr>
          <t xml:space="preserve">
Soil Sample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Mason, Monika (U.S. Person)</author>
  </authors>
  <commentList>
    <comment ref="F3" authorId="0" shapeId="0" xr:uid="{00000000-0006-0000-0600-000001000000}">
      <text>
        <r>
          <rPr>
            <b/>
            <sz val="9"/>
            <color indexed="81"/>
            <rFont val="Tahoma"/>
            <family val="2"/>
          </rPr>
          <t>Mason, Monika (U.S. Person):</t>
        </r>
        <r>
          <rPr>
            <sz val="9"/>
            <color indexed="81"/>
            <rFont val="Tahoma"/>
            <family val="2"/>
          </rPr>
          <t xml:space="preserve">
Paid in December 2017</t>
        </r>
      </text>
    </comment>
    <comment ref="F9" authorId="0" shapeId="0" xr:uid="{00000000-0006-0000-0600-000002000000}">
      <text>
        <r>
          <rPr>
            <b/>
            <sz val="9"/>
            <color indexed="81"/>
            <rFont val="Tahoma"/>
            <family val="2"/>
          </rPr>
          <t>Mason, Monika (U.S. Person):</t>
        </r>
        <r>
          <rPr>
            <sz val="9"/>
            <color indexed="81"/>
            <rFont val="Tahoma"/>
            <family val="2"/>
          </rPr>
          <t xml:space="preserve">
Paid in February 2018</t>
        </r>
      </text>
    </comment>
    <comment ref="W16" authorId="0" shapeId="0" xr:uid="{00000000-0006-0000-0600-000003000000}">
      <text>
        <r>
          <rPr>
            <b/>
            <sz val="9"/>
            <color indexed="81"/>
            <rFont val="Tahoma"/>
            <family val="2"/>
          </rPr>
          <t>Mason, Monika (U.S. Person):</t>
        </r>
        <r>
          <rPr>
            <sz val="9"/>
            <color indexed="81"/>
            <rFont val="Tahoma"/>
            <family val="2"/>
          </rPr>
          <t xml:space="preserve">
Moved to Q1GFY19</t>
        </r>
      </text>
    </comment>
    <comment ref="W18" authorId="0" shapeId="0" xr:uid="{00000000-0006-0000-0600-000004000000}">
      <text>
        <r>
          <rPr>
            <b/>
            <sz val="9"/>
            <color indexed="81"/>
            <rFont val="Tahoma"/>
            <family val="2"/>
          </rPr>
          <t>Mason, Monika (U.S. Person):</t>
        </r>
        <r>
          <rPr>
            <sz val="9"/>
            <color indexed="81"/>
            <rFont val="Tahoma"/>
            <family val="2"/>
          </rPr>
          <t xml:space="preserve">
Moved to Q1GFY19</t>
        </r>
      </text>
    </comment>
    <comment ref="U42" authorId="0" shapeId="0" xr:uid="{00000000-0006-0000-0600-000005000000}">
      <text>
        <r>
          <rPr>
            <b/>
            <sz val="9"/>
            <color indexed="81"/>
            <rFont val="Tahoma"/>
            <family val="2"/>
          </rPr>
          <t>Mason, Monika (U.S. Person):</t>
        </r>
        <r>
          <rPr>
            <sz val="9"/>
            <color indexed="81"/>
            <rFont val="Tahoma"/>
            <family val="2"/>
          </rPr>
          <t xml:space="preserve">
Actual Cost from PO's for MOD's 0,1,2</t>
        </r>
      </text>
    </comment>
    <comment ref="U46" authorId="0" shapeId="0" xr:uid="{00000000-0006-0000-0600-000006000000}">
      <text>
        <r>
          <rPr>
            <b/>
            <sz val="9"/>
            <color indexed="81"/>
            <rFont val="Tahoma"/>
            <family val="2"/>
          </rPr>
          <t>Mason, Monika (U.S. Person):</t>
        </r>
        <r>
          <rPr>
            <sz val="9"/>
            <color indexed="81"/>
            <rFont val="Tahoma"/>
            <family val="2"/>
          </rPr>
          <t xml:space="preserve">
Actual Cost from PO's for MOD's 0,1,2</t>
        </r>
      </text>
    </comment>
    <comment ref="U47" authorId="0" shapeId="0" xr:uid="{00000000-0006-0000-0600-000007000000}">
      <text>
        <r>
          <rPr>
            <b/>
            <sz val="9"/>
            <color indexed="81"/>
            <rFont val="Tahoma"/>
            <family val="2"/>
          </rPr>
          <t>Mason, Monika (U.S. Person):</t>
        </r>
        <r>
          <rPr>
            <sz val="9"/>
            <color indexed="81"/>
            <rFont val="Tahoma"/>
            <family val="2"/>
          </rPr>
          <t xml:space="preserve">
Budgeted cost for MOD 3</t>
        </r>
      </text>
    </comment>
  </commentList>
</comments>
</file>

<file path=xl/sharedStrings.xml><?xml version="1.0" encoding="utf-8"?>
<sst xmlns="http://schemas.openxmlformats.org/spreadsheetml/2006/main" count="5953" uniqueCount="1951">
  <si>
    <t>STPSat 6 Antenna Ground Equipment and Satellite Operations Center – Materials</t>
  </si>
  <si>
    <t>WBS</t>
  </si>
  <si>
    <t>Awarded Amount to Date</t>
  </si>
  <si>
    <t>Estimate to Complete for Materials &amp; Milestone Payments (MODS 7, 8)</t>
  </si>
  <si>
    <t xml:space="preserve">Materials planned for procurement for Mod 0 &amp; Milestone Payments </t>
  </si>
  <si>
    <t>Materials planned for procurement for Mod 1 &amp; Milestone Payments</t>
  </si>
  <si>
    <t>Materials planned for procurement for Mod 2 &amp; Milestone Payments</t>
  </si>
  <si>
    <t>Materials planned for procurement for Mod 3 &amp; Milestone Payments</t>
  </si>
  <si>
    <t>Materials planned for procurement for Mod 4 &amp; Milestone Payments</t>
  </si>
  <si>
    <t>Materials planned for procurement for Mod 5 &amp; Milestone Payments</t>
  </si>
  <si>
    <t>Materials planned for procurement for Mod 6 &amp; Milestone Payments</t>
  </si>
  <si>
    <r>
      <t>Materials planned for procurement</t>
    </r>
    <r>
      <rPr>
        <b/>
        <sz val="10"/>
        <color rgb="FFFF0000"/>
        <rFont val="Arial"/>
        <family val="2"/>
      </rPr>
      <t xml:space="preserve"> </t>
    </r>
    <r>
      <rPr>
        <b/>
        <sz val="10"/>
        <rFont val="Arial"/>
        <family val="2"/>
      </rPr>
      <t>Mod 7 &amp; Milestone Payments</t>
    </r>
  </si>
  <si>
    <r>
      <t>Materials planned for procurement</t>
    </r>
    <r>
      <rPr>
        <b/>
        <sz val="10"/>
        <color rgb="FFFF0000"/>
        <rFont val="Arial"/>
        <family val="2"/>
      </rPr>
      <t xml:space="preserve"> PENDING</t>
    </r>
    <r>
      <rPr>
        <b/>
        <sz val="10"/>
        <rFont val="Arial"/>
        <family val="2"/>
      </rPr>
      <t xml:space="preserve"> Mod 8 &amp; Milestone Payments</t>
    </r>
  </si>
  <si>
    <r>
      <t xml:space="preserve">Materials planned for procurement </t>
    </r>
    <r>
      <rPr>
        <b/>
        <sz val="10"/>
        <color rgb="FFFF0000"/>
        <rFont val="Arial"/>
        <family val="2"/>
      </rPr>
      <t>PENDING</t>
    </r>
    <r>
      <rPr>
        <b/>
        <sz val="10"/>
        <rFont val="Arial"/>
        <family val="2"/>
      </rPr>
      <t xml:space="preserve"> Mod 9 &amp; Milestone Payments</t>
    </r>
  </si>
  <si>
    <t>PO Issued Cost for Materials Mod 0 &amp; Milestone Payments</t>
  </si>
  <si>
    <t>PO Issued Cost for Materials Mod 1 &amp; Milestone Payments</t>
  </si>
  <si>
    <t>PO Issued Cost for Materials Mod 2 &amp; Milestone Payments</t>
  </si>
  <si>
    <t>PO Issued Cost for Materials Mod 3 &amp; Milestone Payments</t>
  </si>
  <si>
    <t>PO Issued Cost for Materials Mod 4 &amp; Milestone Payments</t>
  </si>
  <si>
    <t>PO Issued Cost for Materials Mod 5 &amp; Milestone Payments</t>
  </si>
  <si>
    <t>PO Issued Cost for Materials Mod 6 &amp; Milestone Payments</t>
  </si>
  <si>
    <t>PO Issued Cost for Materials Mod 7 &amp; Milestone Payments</t>
  </si>
  <si>
    <t>PO Issued Cost for Materials Mod 8 &amp; Milestone Payments</t>
  </si>
  <si>
    <t>Comments</t>
  </si>
  <si>
    <t>PMO</t>
  </si>
  <si>
    <t>-</t>
  </si>
  <si>
    <t>Reserved</t>
  </si>
  <si>
    <t>SABEL (materials)</t>
  </si>
  <si>
    <t>SABEL (milestone payments)</t>
  </si>
  <si>
    <t>SSOC (materials)</t>
  </si>
  <si>
    <t>SSOC (milestone payments)</t>
  </si>
  <si>
    <t>SI (materials)</t>
  </si>
  <si>
    <t>SI (milestone payments)</t>
  </si>
  <si>
    <t>Total</t>
  </si>
  <si>
    <t>Total Materials &amp; Milestones Awarded Mod 0-7</t>
  </si>
  <si>
    <t>Less PMO</t>
  </si>
  <si>
    <t>Awarded Materials &amp; Milestones (0-7)</t>
  </si>
  <si>
    <t>As of 04/22/19</t>
  </si>
  <si>
    <t>Future Mod 8 (as of 04/22/19)</t>
  </si>
  <si>
    <t>Future Mod 9 (as of 04/22/19)</t>
  </si>
  <si>
    <t>Total Material &amp; Milestone Database Mods 0-8</t>
  </si>
  <si>
    <t>As of 12/03/18</t>
  </si>
  <si>
    <t>Sanity Check</t>
  </si>
  <si>
    <t>As of 11/15/18</t>
  </si>
  <si>
    <t>When do you need procurement to submit?</t>
  </si>
  <si>
    <t>NASA Increment</t>
  </si>
  <si>
    <t>CI List Aware</t>
  </si>
  <si>
    <t>CI Number</t>
  </si>
  <si>
    <t>CI Name</t>
  </si>
  <si>
    <t>Description</t>
  </si>
  <si>
    <t>Manufacturer/Vendor</t>
  </si>
  <si>
    <t>ACL LIST</t>
  </si>
  <si>
    <t xml:space="preserve">Model Number </t>
  </si>
  <si>
    <t>Part Number</t>
  </si>
  <si>
    <t>Vendor</t>
  </si>
  <si>
    <t>Vendor Part Number</t>
  </si>
  <si>
    <t>Total Quantity</t>
  </si>
  <si>
    <t>Ship to</t>
  </si>
  <si>
    <t>Per Unit Cost</t>
  </si>
  <si>
    <t>Budgeted Estimate Cost</t>
  </si>
  <si>
    <t>Actual Unit Cost</t>
  </si>
  <si>
    <t>PO Issued Cost</t>
  </si>
  <si>
    <t>Variance between the BOE and PO Issued Cost</t>
  </si>
  <si>
    <t>Purchase Requisition Number</t>
  </si>
  <si>
    <t>Purchase Order Number</t>
  </si>
  <si>
    <t>Approved by Dave Zwick</t>
  </si>
  <si>
    <t>Planned PO Date</t>
  </si>
  <si>
    <t>Actual PO Date</t>
  </si>
  <si>
    <t>Need By Date</t>
  </si>
  <si>
    <t>Estimated Vendor Delivery Date</t>
  </si>
  <si>
    <t>Received / Acceptance  Date</t>
  </si>
  <si>
    <t>Long Lead Items Over 90 Days</t>
  </si>
  <si>
    <t xml:space="preserve"> Requiring Maintenance / Licensing Agreements</t>
  </si>
  <si>
    <t>Remarks</t>
  </si>
  <si>
    <t>Paid</t>
  </si>
  <si>
    <t>Paid Amount</t>
  </si>
  <si>
    <t>ACL List</t>
  </si>
  <si>
    <t>Forecast January 2019</t>
  </si>
  <si>
    <t>Forecast February 2019</t>
  </si>
  <si>
    <t>Forecast March 2019</t>
  </si>
  <si>
    <t>Forecast April 2019</t>
  </si>
  <si>
    <t>Forecast May 2019</t>
  </si>
  <si>
    <t>Forecast June 2019</t>
  </si>
  <si>
    <t>Forecast July 2019</t>
  </si>
  <si>
    <t>Forecast August 2019</t>
  </si>
  <si>
    <t>Forecast September 2019</t>
  </si>
  <si>
    <t>Y</t>
  </si>
  <si>
    <t xml:space="preserve">Dell PowerEdgeR630 1U 500 GB </t>
  </si>
  <si>
    <t>Dell</t>
  </si>
  <si>
    <t>Various</t>
  </si>
  <si>
    <t>3.1.2.5</t>
  </si>
  <si>
    <t>EM-0058</t>
  </si>
  <si>
    <t>HPA -S Band</t>
  </si>
  <si>
    <t>Communications and power industries Inc. (CPII)</t>
  </si>
  <si>
    <t>CKPA, K3S64D</t>
  </si>
  <si>
    <t>PR-031194-2712</t>
  </si>
  <si>
    <t>Y - 2/1/17</t>
  </si>
  <si>
    <r>
      <rPr>
        <b/>
        <sz val="10"/>
        <rFont val="Times New Roman"/>
        <family val="1"/>
      </rPr>
      <t xml:space="preserve">10/23/17: </t>
    </r>
    <r>
      <rPr>
        <sz val="10"/>
        <rFont val="Times New Roman"/>
        <family val="1"/>
      </rPr>
      <t xml:space="preserve">Fyi on the S1 HPA. It’s end of May in our IMS now, if/when George provides a different date I’ll pass it on to you. Or if Chris gets it he’ll pass it on to all of us. This has to do with the klystron tubes.
</t>
    </r>
    <r>
      <rPr>
        <b/>
        <sz val="10"/>
        <rFont val="Times New Roman"/>
        <family val="1"/>
      </rPr>
      <t>09/6/2017:</t>
    </r>
    <r>
      <rPr>
        <sz val="10"/>
        <rFont val="Times New Roman"/>
        <family val="1"/>
      </rPr>
      <t xml:space="preserve">  What is total price? Has one HPA been ordered? Differs from MDB
</t>
    </r>
    <r>
      <rPr>
        <b/>
        <sz val="10"/>
        <rFont val="Times New Roman"/>
        <family val="1"/>
      </rPr>
      <t xml:space="preserve">08/16/17: </t>
    </r>
    <r>
      <rPr>
        <sz val="10"/>
        <rFont val="Times New Roman"/>
        <family val="1"/>
      </rPr>
      <t>(Choate) Supposed to be one on order vendor and part info as indicated. Install will be 2 HPA and will purchase 1 as spare (3 total)
Item 1, Quantity 2-3, CKPA K3S64D, QTY 3, 2 for the 1:1 system, plus 1 spare, Includes DFTS.  Unit Price $118,500
Item 2, Quantity 1, 1:1 Switch System, as per discussion with Dennis Choate. Includes SST Cabinet. Unit Price $95,000
Item 3, Quantity 1, 1RU Remote Control Panel. Unit Price $2,500
Item 4, Quantity 1, Installation Service for on-site installation at NASA White Sands Location. Unit Price $20,000</t>
    </r>
  </si>
  <si>
    <t>Yes</t>
  </si>
  <si>
    <t>PowerEdge R630 Server</t>
  </si>
  <si>
    <t>PR-026876-2712</t>
  </si>
  <si>
    <t>Status Unknown</t>
  </si>
  <si>
    <t>EqualLogic PS6210 24 X 2.5"</t>
  </si>
  <si>
    <t>Wyse 3030 thin client</t>
  </si>
  <si>
    <t>Dell UltraSharp 34 Curved Monitor - U3415W</t>
  </si>
  <si>
    <t>Precision 15 7000 Series (7510)</t>
  </si>
  <si>
    <t>PowerEdge R530 Rack Server</t>
  </si>
  <si>
    <t>OptiPlex 7440 All-in-One</t>
  </si>
  <si>
    <t>PowerEdge R730 Rack Server</t>
  </si>
  <si>
    <t>Clients (OptiPlex 5050 SFF)</t>
  </si>
  <si>
    <t>OptiPlex 5050 SFF</t>
  </si>
  <si>
    <t>PR-034202-2712</t>
  </si>
  <si>
    <r>
      <rPr>
        <b/>
        <sz val="10"/>
        <rFont val="Times New Roman"/>
        <family val="1"/>
      </rPr>
      <t>01/30/18:</t>
    </r>
    <r>
      <rPr>
        <sz val="10"/>
        <rFont val="Times New Roman"/>
        <family val="1"/>
      </rPr>
      <t xml:space="preserve"> Awaiting new expected delivery date from Purchasing Manager</t>
    </r>
  </si>
  <si>
    <t>Monitors (34")</t>
  </si>
  <si>
    <t>U3415W</t>
  </si>
  <si>
    <t>CISCO WS-C3850-12X48U-L Catalyst 3850-48UL-L Managed L3 Switch - 48 Ethernet Ports UPOE. New Factory Sealed</t>
  </si>
  <si>
    <t>Cisco</t>
  </si>
  <si>
    <t>WS-C3850-12X48U-L</t>
  </si>
  <si>
    <t>ServerSupply</t>
  </si>
  <si>
    <t>PR-034206-2712</t>
  </si>
  <si>
    <t xml:space="preserve"> PO18-00085</t>
  </si>
  <si>
    <t>Fileservers
SnapServer XSR 120 16TB Enterprise SATA Bundle (4 x 4TB) 12-Bay Rackmount NAS by Overland Storage</t>
  </si>
  <si>
    <t>Overland Storage</t>
  </si>
  <si>
    <t>OT-NAS200219</t>
  </si>
  <si>
    <t>Provantage</t>
  </si>
  <si>
    <t>PR-034208-2712</t>
  </si>
  <si>
    <t>Portable encrypted drives
DataLocker H100 500 GB 2.5" External Hard Drive - USB 2.0</t>
  </si>
  <si>
    <t>IronKey</t>
  </si>
  <si>
    <t>H100500</t>
  </si>
  <si>
    <t>Jet.com</t>
  </si>
  <si>
    <t>PR-033894-2712</t>
  </si>
  <si>
    <t>443207N</t>
  </si>
  <si>
    <t>Environmental monitor
Room Alert 3E - Monitor w/PoE (100% Warranty)</t>
  </si>
  <si>
    <t>Avtech</t>
  </si>
  <si>
    <t>RA3E-ES0-BAS</t>
  </si>
  <si>
    <t>PR-029411-2712</t>
  </si>
  <si>
    <t>438780N</t>
  </si>
  <si>
    <r>
      <rPr>
        <b/>
        <sz val="10"/>
        <rFont val="Times New Roman"/>
        <family val="1"/>
      </rPr>
      <t>10/25/17:</t>
    </r>
    <r>
      <rPr>
        <sz val="10"/>
        <rFont val="Times New Roman"/>
        <family val="1"/>
      </rPr>
      <t xml:space="preserve"> Check - this one is dev lab and Adam's BOM  says delivered, so Mod 1 is likely for WSC. 
clear to order</t>
    </r>
  </si>
  <si>
    <t>Light tower
Light Tower w/Audio &amp; Adapter (RYG, Adapter, Bracket, 15'</t>
  </si>
  <si>
    <t>ST-RYG-LT/A</t>
  </si>
  <si>
    <r>
      <rPr>
        <b/>
        <sz val="10"/>
        <rFont val="Times New Roman"/>
        <family val="1"/>
      </rPr>
      <t>10/25/17:</t>
    </r>
    <r>
      <rPr>
        <sz val="10"/>
        <rFont val="Times New Roman"/>
        <family val="1"/>
      </rPr>
      <t xml:space="preserve">  Check - this one is dev lab and Adam's BOM  says delivered, so Mod 1 is likely for WSC. 
clear to order</t>
    </r>
  </si>
  <si>
    <t>GoToMyDevices software
GoToMyDevices Annual Personal Service</t>
  </si>
  <si>
    <t>GTMD-PER-AAS</t>
  </si>
  <si>
    <t>PR-033902-2712</t>
  </si>
  <si>
    <t>443356N</t>
  </si>
  <si>
    <t>VMware software license
vSphere with Operations Management Enterprise Plus - Basic Support Subscription for 1 year</t>
  </si>
  <si>
    <t>VMware</t>
  </si>
  <si>
    <t>N/A</t>
  </si>
  <si>
    <t>PR-026928-2712</t>
  </si>
  <si>
    <t>vCenter Server</t>
  </si>
  <si>
    <t>RHEL licenses (W/S)</t>
  </si>
  <si>
    <t>Red Hat</t>
  </si>
  <si>
    <t>PR-030823-2712</t>
  </si>
  <si>
    <t>440210J</t>
  </si>
  <si>
    <t>Windows license, 16-core
Microsoft Windows Server 2016 Standard 64 Bit License 16 cores</t>
  </si>
  <si>
    <t>Microsoft</t>
  </si>
  <si>
    <t>PR-026930-2712</t>
  </si>
  <si>
    <t>PV-WAVE Foundation PC Deployment
License</t>
  </si>
  <si>
    <t>RogueWave</t>
  </si>
  <si>
    <t>PVWA-PWFN-DEP-PCXX-LIC</t>
  </si>
  <si>
    <t>PR-026932-2712</t>
  </si>
  <si>
    <t>PV-WAVE Foundation PC Deployment
Standard Maintenance and Support</t>
  </si>
  <si>
    <t>PVWA-PWFN-DEP-PCXX-SMS</t>
  </si>
  <si>
    <t>NX workstation licences
NoMachine Workstation Subscription Pack</t>
  </si>
  <si>
    <t>NoMachine</t>
  </si>
  <si>
    <t>PR-029413-2712</t>
  </si>
  <si>
    <t>438813J</t>
  </si>
  <si>
    <t>PowerEdge R630 Server (210-ACXS)</t>
  </si>
  <si>
    <t>PR-026881-2712</t>
  </si>
  <si>
    <r>
      <t>WBS 4.0 SSOC CDS (Bill Reid)
1</t>
    </r>
    <r>
      <rPr>
        <b/>
        <sz val="10"/>
        <rFont val="Times New Roman"/>
        <family val="1"/>
      </rPr>
      <t>0/25/17:</t>
    </r>
    <r>
      <rPr>
        <sz val="10"/>
        <rFont val="Times New Roman"/>
        <family val="1"/>
      </rPr>
      <t xml:space="preserve"> Ask Bill if he has all 6. Adam's BOM says 6.
Ship to Rome, NY, cost shown in  other qt7 3 above</t>
    </r>
  </si>
  <si>
    <t>Red Hat Enterprise Linux Server - Standard
subscription (1 year) - 2 sockets, 1
physical/2 virtual nodes</t>
  </si>
  <si>
    <t>Insight</t>
  </si>
  <si>
    <t>PR-027783-2712</t>
  </si>
  <si>
    <t>Requested by Bill Reid, Ship to Rome, NY</t>
  </si>
  <si>
    <t>ORACLE SOLARIS PREMIER SUB SPRT, RUNNING ON
NON-ORACLE HW (1-4 SOCKET SERVER)</t>
  </si>
  <si>
    <t>Office Home &amp; Business 2016</t>
  </si>
  <si>
    <t>PR-028999-2712</t>
  </si>
  <si>
    <t>438258J</t>
  </si>
  <si>
    <t>For Pete Gaffney</t>
  </si>
  <si>
    <t>VMware Workstation 12.5 pro</t>
  </si>
  <si>
    <t>CDW</t>
  </si>
  <si>
    <t>PR-029001-2712</t>
  </si>
  <si>
    <t>438261J</t>
  </si>
  <si>
    <t>Red Hat Enterprise Linux Server, Standard</t>
  </si>
  <si>
    <t>DLT Solutions</t>
  </si>
  <si>
    <t>PR-029006-2712</t>
  </si>
  <si>
    <t>QLogic 57810 Dual Port 10Gb Base-T Low Profile Network Adapter,CusKit (540-BBIU) non-TAA</t>
  </si>
  <si>
    <t>PR-029742-2712</t>
  </si>
  <si>
    <t>Omitron</t>
  </si>
  <si>
    <t>Internal Dual SD Module,CusKit (330-BBCN) Replacement Part</t>
  </si>
  <si>
    <t xml:space="preserve">VFlash, 8GB SD Card for iDRAC Enterprise, V2, Customer Install (385-BBIC) Replacement Part </t>
  </si>
  <si>
    <t>Open Market - X520-DA2 10GBE SVR 2PT-SFP+ VM FCOE ISCSI IPSEC (A3612382) non-TAA</t>
  </si>
  <si>
    <t>PR-029789-2712</t>
  </si>
  <si>
    <t xml:space="preserve">8 GB SDHC Flash Memory Card </t>
  </si>
  <si>
    <t>PR-029906-2712</t>
  </si>
  <si>
    <t xml:space="preserve">439185N </t>
  </si>
  <si>
    <t xml:space="preserve">Internal Dual SD Module,Customer Kit </t>
  </si>
  <si>
    <t xml:space="preserve">QLogic 57810 Dual Port 10Gb Base-T Low Profile Network Adapter,Customer Kit </t>
  </si>
  <si>
    <t>PR-030087-2712</t>
  </si>
  <si>
    <t>439474N</t>
  </si>
  <si>
    <t>IntelliJ Idea Ultimate</t>
  </si>
  <si>
    <t>IntelliJ Idea</t>
  </si>
  <si>
    <t>PR-033815-2712</t>
  </si>
  <si>
    <t>443535J</t>
  </si>
  <si>
    <t>PR-028995-2712</t>
  </si>
  <si>
    <t>438417J</t>
  </si>
  <si>
    <t>CISCO WS-C3850-24XU-L CATALYST WS-C3850-24XU LAYER 3 SWITCH - 24 PORTS
- MANAGEABLE - STACK PORT - 10GBASE-T - 24 X NETWORK - TWISTED PAIR - 10
GIGABIT ETHERNET - 3 LAYER SUPPORTED</t>
  </si>
  <si>
    <t>Sterling Computers</t>
  </si>
  <si>
    <t>PR-026924-2712</t>
  </si>
  <si>
    <t xml:space="preserve">SnapServer XSR 40 16TB (4 X 4TB) Enterprise SATA bundle 1U Rackmount NAS by Overland Storage </t>
  </si>
  <si>
    <t>PR-026926-2712</t>
  </si>
  <si>
    <t>Data Locker H100 500 GB 2.5" External Hard Drive - USB 2.0</t>
  </si>
  <si>
    <t>PR-026927-2712</t>
  </si>
  <si>
    <t xml:space="preserve">Dell UltraSharp 34" Curved Ultrawide Monitor </t>
  </si>
  <si>
    <t>PR-029446-2712</t>
  </si>
  <si>
    <t>OptiPlex 5040 SFF</t>
  </si>
  <si>
    <t>VMware vCenter Server Standard for vSphere (Per Instance) - Basic Support for 1 year</t>
  </si>
  <si>
    <t>PR-034313-2712</t>
  </si>
  <si>
    <t>Compass Redundant Backup System</t>
  </si>
  <si>
    <t>Kratos</t>
  </si>
  <si>
    <t>PR-026934-2712</t>
  </si>
  <si>
    <t>AI Solutions</t>
  </si>
  <si>
    <t>A browser-based interface 5-pack for operator access,
configuration and system modifications.</t>
  </si>
  <si>
    <t>Compass module that provides support for SNMP Manager V1, V2
and V3 capabilities. It provides an Alarm Trap GUI and allows for
auto discovery and import of SNMP MIBs into Compass.</t>
  </si>
  <si>
    <t>12 Months Compass PLATINUM Maintenance for all software
licenses from NDS-112846a and NDS-112846b.</t>
  </si>
  <si>
    <t>Compass server license of for monitor and control of 100
devices remotely and automatically.
Includes:
- 1 Server license for up to 100 devices
- 1 Compass GUI license - web-based interface for operator
access, configuration and system modifications
- Monitor and control of 100 devices via Ethernet, SNMP,
Serial, TL-1, proprietary protocols, TBOS and Discrete IO
- USB Key</t>
  </si>
  <si>
    <t>GSA Freeflyer Mission Node-Locked Maintenance</t>
  </si>
  <si>
    <t>A.I. Solutions</t>
  </si>
  <si>
    <t>PR-034319-2712</t>
  </si>
  <si>
    <t>Meridian Software Maintenance</t>
  </si>
  <si>
    <t>1GB network cables - 5'
7 ft Cat6a UTP RJ45 Ethernet Network Cable (white)
Monoprice 9805 FLEXboot Series Cat6 24AWG UTP Ethernet Network Patch Cable, 5ft Black
C2G 14 ft Cat6 Ethernet Cable (Yellow)</t>
  </si>
  <si>
    <t>Outlet PC</t>
  </si>
  <si>
    <t>PR-29407-2712</t>
  </si>
  <si>
    <t>438770N</t>
  </si>
  <si>
    <t>Emcore (Various)</t>
  </si>
  <si>
    <t>Miteq (Various)</t>
  </si>
  <si>
    <t>MCS</t>
  </si>
  <si>
    <t>High Rate Transceiver (Dual Pol)</t>
  </si>
  <si>
    <t>RTL</t>
  </si>
  <si>
    <t xml:space="preserve">PR183412 </t>
  </si>
  <si>
    <t>PO444492</t>
  </si>
  <si>
    <t>HHASM</t>
  </si>
  <si>
    <t>N/S CORNING 072EWP-T4101D20  72-FIBER OUTDOOR CABLE</t>
  </si>
  <si>
    <t>Corning</t>
  </si>
  <si>
    <t>072EWP-T4101D20</t>
  </si>
  <si>
    <t>ANIXTER</t>
  </si>
  <si>
    <t>PR-033803-2712</t>
  </si>
  <si>
    <t>3.1.2.18.3</t>
  </si>
  <si>
    <t>FOTS PS-200F-NA, Power supply
PS-200F-NA POWER SUPPLY</t>
  </si>
  <si>
    <t>Emcore</t>
  </si>
  <si>
    <t>PS-200F-NA</t>
  </si>
  <si>
    <t>Y1564-001-001</t>
  </si>
  <si>
    <t>PR-033691-2712</t>
  </si>
  <si>
    <t>N, 8 Weeks ARO</t>
  </si>
  <si>
    <t>3.1.2.18.1</t>
  </si>
  <si>
    <t>FOTS Rack Mount Enclosure, 16 slot
NEXT GEN OPTIVA CHASSIS</t>
  </si>
  <si>
    <t>OT-CC-16F-003</t>
  </si>
  <si>
    <t>Y1565-001-002</t>
  </si>
  <si>
    <t>3.1.2.18.2</t>
  </si>
  <si>
    <t>FOTS Controller with CWDM Channel #61 SNMP V3
OPV-CTLR-1-IC WITH CWDM CHANNEL #61 SNMP V3</t>
  </si>
  <si>
    <t>OPV-CTLR-1-L461/L461-IC</t>
  </si>
  <si>
    <t>3.1.2.9.4</t>
  </si>
  <si>
    <t>FOTS DEMUX, DWDM, 8-channel 30-37, SC-PC, + 9 jumpers 
DEMUX, DWDM, 8 CHANNEL 30-37, SC-PC, +9 JUMPERS</t>
  </si>
  <si>
    <t>MDM-7001C-8-D-SA</t>
  </si>
  <si>
    <t>3.1.2.8.4</t>
  </si>
  <si>
    <t>FOTS MUX, CWDM, 8-channel 30-37, SC-PC, + 9 jumpers 
DEMUX, DWDM, 8 CHANNEL 30-37, SC-PC, +9 JUMPERS</t>
  </si>
  <si>
    <t>MDM-7001C-8-M-SA</t>
  </si>
  <si>
    <t>3.1.2.8.1</t>
  </si>
  <si>
    <t>X, CWDM 50-2500 MHZ 50OHM SMA CHANNEL 47, 6DBM, SC-APC</t>
  </si>
  <si>
    <t>OTS-1LCT/S5-4706-SA-IC</t>
  </si>
  <si>
    <t>3.1.2.8.2</t>
  </si>
  <si>
    <t>TX,CWDM, 50-2500 MHZ, 50 OHM SMA, CHANNEL 49,6DBM SC-APC</t>
  </si>
  <si>
    <t>OTS-1LCT/S5-4906SAIC</t>
  </si>
  <si>
    <t>TX, CWDM 50-2500 MHZ 50OHM SMA CHANNEL 51, 6DBM, SC-APC</t>
  </si>
  <si>
    <t>OTS-1LCT/S5-5106-SA-IC</t>
  </si>
  <si>
    <t>X, CWDM 50-2500 MHZ 50OHM SMA CHANNEL 53, 6DBM, SC-APC</t>
  </si>
  <si>
    <t>OTS-1LCT/S5-5306-SA-IC</t>
  </si>
  <si>
    <t>X, CWDM 50-2500 MHZ 50OHM SMA CHANNEL 59, 6DBM, SC-APC</t>
  </si>
  <si>
    <t>OTS-1LCT/S5-5906-SA-IC</t>
  </si>
  <si>
    <t>3.1.2.9.1</t>
  </si>
  <si>
    <t>RX, CWDM, 50-2500 MHZ, 50 OHM SMA, 6DBM SC-APC</t>
  </si>
  <si>
    <t>OTS-1LSR/S5-4706-SA-IC</t>
  </si>
  <si>
    <t>BLANK PANEL, 1 SLOT, OPTIVA</t>
  </si>
  <si>
    <t>OT-OPF-1</t>
  </si>
  <si>
    <t>FIS LC Quad 3 Pack APC
Singlemode,
Loaded, 12 Fiber Green</t>
  </si>
  <si>
    <t>FIS</t>
  </si>
  <si>
    <t>F1LC3QBLKAPCUL</t>
  </si>
  <si>
    <t>PR-033697-2712</t>
  </si>
  <si>
    <t>443347N</t>
  </si>
  <si>
    <t>FIS Blank plate with No Holes Unloaded Black</t>
  </si>
  <si>
    <t>F1BLANKUBK</t>
  </si>
  <si>
    <t>FIS 12 Fiber 900um
LC/APC SM 3 mtr
Pigtails with Green Boots</t>
  </si>
  <si>
    <t>SP12LCAPCGR</t>
  </si>
  <si>
    <t>FIS Fusion Protection
Sleeve 60mm, Clear
Shrink to 3mm, 50 pack</t>
  </si>
  <si>
    <t>F11002C50</t>
  </si>
  <si>
    <t>F11002C-50</t>
  </si>
  <si>
    <t>3M Large Fiber Optic Splice Case, holds up to
192 splices (trays NOT
included)</t>
  </si>
  <si>
    <t>2178LS</t>
  </si>
  <si>
    <t>80610933154
NEW 80611486525
3M 24Fusion
Splice
Tray (stackable hinged
tray), includes fusion
splice holders</t>
  </si>
  <si>
    <t>2524FT</t>
  </si>
  <si>
    <t>Corning Buffer Tube Fan
Out Kit 12 fiber 25"</t>
  </si>
  <si>
    <t>FANBT2512</t>
  </si>
  <si>
    <t>FIS Cheetah LC/APC
SM Splice On Connector
900um Green Boot Blister
Pk 101</t>
  </si>
  <si>
    <t>F1LCAPCSOC100B</t>
  </si>
  <si>
    <t>4RU Rack Mount Fiber
Optic Patch Panel
Enclosure; up to 12 LGX
Plates or Cassettes;
w/Lexan Front Door;
Color Black; 19"Brackets
included, 23" Brackets
sold separately.</t>
  </si>
  <si>
    <t>F1RM4RU12XL</t>
  </si>
  <si>
    <t>W/GCOAX
ADPTR 15.022.0
GHz SMAF
WR51</t>
  </si>
  <si>
    <t>AZTEC ENTERPRISES, INC</t>
  </si>
  <si>
    <t>PR-033196-2712</t>
  </si>
  <si>
    <t>442740N</t>
  </si>
  <si>
    <t>W/GCOAX
ADPTR 22.033.0
GHz KF
WR34 (RT
Angle)</t>
  </si>
  <si>
    <t>GAIN HORN, STD W/G 15.022.0GHZ
WR51</t>
  </si>
  <si>
    <t>662-20</t>
  </si>
  <si>
    <t>GAIN HORN, STD W/G 22.033.0GHZ
WR34</t>
  </si>
  <si>
    <t>664-20</t>
  </si>
  <si>
    <t>Terminal Server</t>
  </si>
  <si>
    <t>MOXA</t>
  </si>
  <si>
    <t>CN2650I-2AC</t>
  </si>
  <si>
    <t>PR-033681-2712</t>
  </si>
  <si>
    <t>PO18-00438</t>
  </si>
  <si>
    <t>PR-034211-2712</t>
  </si>
  <si>
    <t>443725N</t>
  </si>
  <si>
    <r>
      <rPr>
        <b/>
        <sz val="10"/>
        <rFont val="Times New Roman"/>
        <family val="1"/>
      </rPr>
      <t xml:space="preserve">01/30/18: </t>
    </r>
    <r>
      <rPr>
        <sz val="10"/>
        <rFont val="Times New Roman"/>
        <family val="1"/>
      </rPr>
      <t>It looks like quantity 2 was ordered by mistake. I will reduce line 279 below to quantity 0
po: 443356N;
WSC received qty: 1
  &gt;&gt;Did we order qty 2 by mistake</t>
    </r>
  </si>
  <si>
    <r>
      <rPr>
        <b/>
        <sz val="10"/>
        <rFont val="Times New Roman"/>
        <family val="1"/>
      </rPr>
      <t>01/30/18:</t>
    </r>
    <r>
      <rPr>
        <sz val="10"/>
        <rFont val="Times New Roman"/>
        <family val="1"/>
      </rPr>
      <t xml:space="preserve"> It looks like quantity 2 was ordered by mistake. I will reduce line 280 below to quantity 0
po: 443356N;
WSC received qty: 1
  &gt;&gt;Did we order qty 2 by mistake</t>
    </r>
  </si>
  <si>
    <r>
      <rPr>
        <b/>
        <sz val="10"/>
        <rFont val="Times New Roman"/>
        <family val="1"/>
      </rPr>
      <t>01/30/18:</t>
    </r>
    <r>
      <rPr>
        <sz val="10"/>
        <rFont val="Times New Roman"/>
        <family val="1"/>
      </rPr>
      <t xml:space="preserve"> It looks like quantity 2 was ordered by mistake. I will reduce line 279 below to quantity 0
po: 443356N;
GoToMyDevices monthly service: qty indicated on received packing slip: 3 (RRusty)
Did we order qty 2 by mistake</t>
    </r>
  </si>
  <si>
    <t>Kingston Digitial 64GB USB 256bit HW Encrypt FIPS 140-2 Level 3 (DT4000G2/64GB)</t>
  </si>
  <si>
    <t>AWDATA</t>
  </si>
  <si>
    <t>PR-027766-2712</t>
  </si>
  <si>
    <t>436849N</t>
  </si>
  <si>
    <t>Red Hat Enterprise Linux Server Operating Systems - Standard Subscription (1 year) - 2 Sockets, 1 Physical/2 virtual nodes</t>
  </si>
  <si>
    <t>RedHat</t>
  </si>
  <si>
    <t>Carasoft</t>
  </si>
  <si>
    <t>PR-034389-2712</t>
  </si>
  <si>
    <t xml:space="preserve"> Dell Precision 7520 per spec</t>
  </si>
  <si>
    <t>PR-033593-2712</t>
  </si>
  <si>
    <r>
      <rPr>
        <b/>
        <sz val="10"/>
        <rFont val="Times New Roman"/>
        <family val="1"/>
      </rPr>
      <t xml:space="preserve">11/06/17: </t>
    </r>
    <r>
      <rPr>
        <sz val="10"/>
        <rFont val="Times New Roman"/>
        <family val="1"/>
      </rPr>
      <t>RG Systems Laptop ordered on TO-190/1 has arrived and it’s at the RG Systems Ivy Lane office.</t>
    </r>
  </si>
  <si>
    <t>Dell Energy Backpack 15</t>
  </si>
  <si>
    <t>Dell Wireless Mouse-WM326</t>
  </si>
  <si>
    <t>VM servers (SSOC config)
PowerEdge R630 Server</t>
  </si>
  <si>
    <t>pe_630_1337</t>
  </si>
  <si>
    <t xml:space="preserve">02/01/18: Awaiting new expected delivery date from Purchasing Manager. </t>
  </si>
  <si>
    <t>SANs
EqualLogic PS6210 24 x 2.5:</t>
  </si>
  <si>
    <t>EqualLogic PS6210X
el_ps6210x_1279</t>
  </si>
  <si>
    <t>Clients
OptiPlex 5050 SFF</t>
  </si>
  <si>
    <t>Optiplex 5050 SFF
xctoo5050sffusr</t>
  </si>
  <si>
    <t>Monitors (34")
Dell UltraSharp 34 Curved Ultrawide Monitor - U3415W</t>
  </si>
  <si>
    <t>U3415W
u3415wsap</t>
  </si>
  <si>
    <t>Tape library
PV TL2000</t>
  </si>
  <si>
    <t>PowerVault TL2000
m1885</t>
  </si>
  <si>
    <t>Network expansion modules
Cisco Expansion Module for Catalyst 3850-24</t>
  </si>
  <si>
    <t>C850-NM-4-10G</t>
  </si>
  <si>
    <t xml:space="preserve">PROACTIVE COMPONENTS INC </t>
  </si>
  <si>
    <t>PR-034315-2712</t>
  </si>
  <si>
    <t>Switches (SSOC)
CISCO WS-C3850-12X48U-L Catalyst 3850-48UL-L Managed L3 Switch - 48 Ethernet Ports UPOE. New Factory Sealed</t>
  </si>
  <si>
    <t xml:space="preserve"> ITSavvy</t>
  </si>
  <si>
    <t>PO18-00085</t>
  </si>
  <si>
    <t>BackupWorks</t>
  </si>
  <si>
    <t>VMware software license</t>
  </si>
  <si>
    <t>vSphere Enterprise Plus</t>
  </si>
  <si>
    <t>PR-035983-2712</t>
  </si>
  <si>
    <t>PO18-00781</t>
  </si>
  <si>
    <t xml:space="preserve">Needs Zwicks Approval </t>
  </si>
  <si>
    <t>vCenter Server Standard Basic</t>
  </si>
  <si>
    <t>RHEL licenses</t>
  </si>
  <si>
    <t>RHEL 7 for Workstations, self-support</t>
  </si>
  <si>
    <t>PR-26929-2712</t>
  </si>
  <si>
    <t>Windows license, 16-core
Microsoft Windows Server 2016 Standard - License UNPSC:  43233004 Electronic Distribution</t>
  </si>
  <si>
    <t>Windows Svr. 2016 Std.</t>
  </si>
  <si>
    <t>PR-034385-2712</t>
  </si>
  <si>
    <r>
      <rPr>
        <b/>
        <sz val="10"/>
        <rFont val="Times New Roman"/>
        <family val="1"/>
      </rPr>
      <t xml:space="preserve">02/05/18: </t>
    </r>
    <r>
      <rPr>
        <sz val="10"/>
        <rFont val="Times New Roman"/>
        <family val="1"/>
      </rPr>
      <t xml:space="preserve">Sent Buyer Tim Scherer an email </t>
    </r>
    <r>
      <rPr>
        <b/>
        <sz val="10"/>
        <rFont val="Times New Roman"/>
        <family val="1"/>
      </rPr>
      <t xml:space="preserve">
02/05/18:</t>
    </r>
    <r>
      <rPr>
        <sz val="10"/>
        <rFont val="Times New Roman"/>
        <family val="1"/>
      </rPr>
      <t xml:space="preserve"> Check with the buyer about receiving digital download. End User should be Adam.</t>
    </r>
  </si>
  <si>
    <t>NX workstation licences</t>
  </si>
  <si>
    <t>Enterprise Desktop, 10 svrs.</t>
  </si>
  <si>
    <r>
      <rPr>
        <b/>
        <sz val="10"/>
        <rFont val="Times New Roman"/>
        <family val="1"/>
      </rPr>
      <t xml:space="preserve">02/06/18: </t>
    </r>
    <r>
      <rPr>
        <sz val="10"/>
        <rFont val="Times New Roman"/>
        <family val="1"/>
      </rPr>
      <t xml:space="preserve">This PR-033896-2712 was cancelled due to vendor never receiving the order. This order was never fulfilled. Quantities will be added with line item #147 below. </t>
    </r>
    <r>
      <rPr>
        <b/>
        <sz val="10"/>
        <rFont val="Times New Roman"/>
        <family val="1"/>
      </rPr>
      <t xml:space="preserve">
02/05/18: </t>
    </r>
    <r>
      <rPr>
        <sz val="10"/>
        <rFont val="Times New Roman"/>
        <family val="1"/>
      </rPr>
      <t xml:space="preserve">Sent Buyer Christie Days an email </t>
    </r>
    <r>
      <rPr>
        <b/>
        <sz val="10"/>
        <rFont val="Times New Roman"/>
        <family val="1"/>
      </rPr>
      <t xml:space="preserve">
02/05/18:</t>
    </r>
    <r>
      <rPr>
        <sz val="10"/>
        <rFont val="Times New Roman"/>
        <family val="1"/>
      </rPr>
      <t xml:space="preserve"> Have the buyer resend this information to Adam </t>
    </r>
  </si>
  <si>
    <t>1GB network cables - 10'
Cat6 Gray Ethernet Patch Cable, Snagless/Molded Boot, 10 foot</t>
  </si>
  <si>
    <t>CableWholesale</t>
  </si>
  <si>
    <t>10X8-02110</t>
  </si>
  <si>
    <t>PR-034309-2712</t>
  </si>
  <si>
    <t>443854N</t>
  </si>
  <si>
    <t>4.27a</t>
  </si>
  <si>
    <t>CAT 6 cable bulk (500 ft.)
Bulk Cat6 Gray Ethernet Cable, Solid, UTP (Unshielded Twisted Pair), Pullbox, 500 foot</t>
  </si>
  <si>
    <t>10X8-021TF</t>
  </si>
  <si>
    <t>4.27b</t>
  </si>
  <si>
    <t>RJ45 connectors, 100 ct.
Cat6 RJ45 Crimp Connectors for Solid and Stranded Cable, 8P8C, 100 Pieces</t>
  </si>
  <si>
    <t>31D0-580HD</t>
  </si>
  <si>
    <t>4.27c</t>
  </si>
  <si>
    <t>RJ45 strain relief boots, 50 ct.
RJ45 Strain Relief Boots, Gray, 50 Pieces Per Bag</t>
  </si>
  <si>
    <t>SR-8P8C-GY</t>
  </si>
  <si>
    <t>4.27d</t>
  </si>
  <si>
    <t>RJ45 crimper
Platinum Tools EZ-RJ45 Ethernet Crimp Tool</t>
  </si>
  <si>
    <t>100004C</t>
  </si>
  <si>
    <t>10GB network cables - 7'
Cat6a Gray Ethernet Patch Cable, Snagless/Molded Boot, 500 MHz, 7 foot</t>
  </si>
  <si>
    <t>13X6-02107</t>
  </si>
  <si>
    <t>3.0</t>
  </si>
  <si>
    <t xml:space="preserve">Ship the 9.1M GFE antenna to WSC-48’ FB with tarps </t>
  </si>
  <si>
    <t xml:space="preserve"> </t>
  </si>
  <si>
    <t>PR-036828-2712</t>
  </si>
  <si>
    <t>PO18-01014</t>
  </si>
  <si>
    <t>Ship the 9.1M GFE antenna to WSC-53’ SD with tarps</t>
  </si>
  <si>
    <t>Shipping of Telecommunication Equipment Balance due to Invoice #12851741-01 on PO18-01014</t>
  </si>
  <si>
    <t>PR-040108-J2712</t>
  </si>
  <si>
    <t>Equipment lift service for 9M Antenna</t>
  </si>
  <si>
    <t>PR-037703-</t>
  </si>
  <si>
    <t>PO18-01997</t>
  </si>
  <si>
    <t>LDR Modem and FEP</t>
  </si>
  <si>
    <t>PR183989</t>
  </si>
  <si>
    <t>PO444697</t>
  </si>
  <si>
    <t>Keysight N9000B/503
CXA Signal Analyzer, Multi-touch, 9 kHz to 26.5 GHz
TE P/N 24983.1</t>
  </si>
  <si>
    <t>PR-036511-2712</t>
  </si>
  <si>
    <t>PO18-01799</t>
  </si>
  <si>
    <t>Keysight N9000BU/P03
Upgrades for CXA Signal Analyzer, Multi-touch
TE P/N 25749.2</t>
  </si>
  <si>
    <t>Keysight 1CP105A Rack mount flange and handle kit 177.0mm H (4U) - two brackets and front handles TE P/N 26143.1</t>
  </si>
  <si>
    <t>Power Divider/Combiner, 30 watts Weatherproof, 2-way, SMA-Female 0.500 - 6.000 GHz</t>
  </si>
  <si>
    <t>MECA Electronics, Inc.</t>
  </si>
  <si>
    <t xml:space="preserve">802-2-3.250WWP </t>
  </si>
  <si>
    <t>PR-036524-2712</t>
  </si>
  <si>
    <t>PO18-00828</t>
  </si>
  <si>
    <t xml:space="preserve">06/19/18: Contact Buyer, this is not in CostPoint
02/27/18: We will receive item on 03/12/18
02/27/18: Emailed Tommy Telles and Linda Hernandez regarding this partial delivery. </t>
  </si>
  <si>
    <t>Power Divider/Combiner, 20 watts 2-way, SMA-Female, 2.0 - 4.0 GHz</t>
  </si>
  <si>
    <t xml:space="preserve">802-2-3.000 </t>
  </si>
  <si>
    <t>06/19/18: Contact Buyer, this is not in CostPoint</t>
  </si>
  <si>
    <t>Power Divider/Combinr, 2 watts 2-way, SMA-Female, 5 - 500 MHz</t>
  </si>
  <si>
    <t xml:space="preserve">802-2-0.252 </t>
  </si>
  <si>
    <r>
      <rPr>
        <b/>
        <sz val="10"/>
        <rFont val="Times New Roman"/>
        <family val="1"/>
      </rPr>
      <t>06/20/18:</t>
    </r>
    <r>
      <rPr>
        <sz val="10"/>
        <rFont val="Times New Roman"/>
        <family val="1"/>
      </rPr>
      <t xml:space="preserve"> Duplicate items</t>
    </r>
  </si>
  <si>
    <t>MUX, DWDM, 8 CHANNEL 30-37, SC-PC. +9 JUMPERS</t>
  </si>
  <si>
    <t>DEMUX, DWDM, 8 CHANNEL 30-37, SC-PC, +9 JUMPERS</t>
  </si>
  <si>
    <t>OPV-CTLR-1-IC WITH CWDM CHANNEL #61 SNMP V3</t>
  </si>
  <si>
    <t xml:space="preserve">Emcore Transmitter, 10 MHz, SMA 50 ohm, 1310 nm, 7 dBm, E2000 </t>
  </si>
  <si>
    <t xml:space="preserve">Emcore Receiver, 10 MHz, SMA 50 ohm, E2000 </t>
  </si>
  <si>
    <t xml:space="preserve">Emcore MUX, CWDM, 4 Channel, 1470-1530 nm, SM, SC/APC </t>
  </si>
  <si>
    <t xml:space="preserve">Emcore DEMUX, CWDM, 4 Channel, 1470-1530 nm, SM, SC/APC </t>
  </si>
  <si>
    <t>Miteq Shipping for items 14-17 and 20 from Mod 0 list</t>
  </si>
  <si>
    <t>19X4 Crossbar Terminated RF Switch I/O ports are terminated to 2W 50-ohm
load DC to 18 GHz operating frequency 4RU Enclosure SMA connectors on the rear panel LCD Touch Screen for manual control Ethernet with HTTP-Server (built-in website), RS -232 and USB remote controls</t>
  </si>
  <si>
    <t>DowKey</t>
  </si>
  <si>
    <t>5425</t>
  </si>
  <si>
    <t>PR-037128-2712</t>
  </si>
  <si>
    <t>PO18-02373</t>
  </si>
  <si>
    <t>14-16 weeks</t>
  </si>
  <si>
    <t>02/07/18: Awaiting refresh quote</t>
  </si>
  <si>
    <t>Shipping</t>
  </si>
  <si>
    <t>Newly added 04/22/19</t>
  </si>
  <si>
    <t>Desccope: L-3 Narda-MITEQ</t>
  </si>
  <si>
    <t>Descope: Microwave Components &amp; Systems, Inc.</t>
  </si>
  <si>
    <t>Descope: Dow-Key Microwave</t>
  </si>
  <si>
    <t>Descope: L-3 Narda-MITEQ</t>
  </si>
  <si>
    <t>DNS-2.07/2.25-1K, ONE THIRD RACK TEST TRANSLATOR, NO OPTIONS
Inventory ID: 209530-6 (L-3 Use Only)
The export jurisdiction of the proposed item falls under the EAR.
The ECCN determination will be made at time of order placement.
Specification per L-3 Data Sheet D-388</t>
  </si>
  <si>
    <t>L3 Narda-MITEQ</t>
  </si>
  <si>
    <t>DNS-2.07/2.25-1K</t>
  </si>
  <si>
    <t>PR-036516-2712</t>
  </si>
  <si>
    <t>PO18-02314</t>
  </si>
  <si>
    <t>S-Band Range Zero Set (RZS) + NRE for product
NRE for item 1</t>
  </si>
  <si>
    <t>NRE-DNS-2.07/2.25-1K</t>
  </si>
  <si>
    <t>26 weeks ARO</t>
  </si>
  <si>
    <t>PV-WAVE Foundation PC Deployment Standard Maintenance and Support Start Date:02/08/2018 End Date:02/08/2019 License Number: LIC-201404016857 (PVWA-PWFN-DEP-PCXX-SMS)</t>
  </si>
  <si>
    <t>OPP-20140437187</t>
  </si>
  <si>
    <t xml:space="preserve">PR-036570-2712 </t>
  </si>
  <si>
    <t>PO18-00740</t>
  </si>
  <si>
    <t xml:space="preserve">1 year </t>
  </si>
  <si>
    <t>06/19/18: Contacted buyer in reference to this not showing in CostPoint
02/0518: Opportunity Number 20140437187</t>
  </si>
  <si>
    <t>PV-WAVE Foundation PC Deployment License (PVWA-PWFN-DEP-PCXX-LIC)</t>
  </si>
  <si>
    <t>OPP-20140498217</t>
  </si>
  <si>
    <t xml:space="preserve">06/19/18: Contacted buyer in reference to this not showing in CostPoint
02/05/18: Account Number 500942. Opportunity Number 20140436819
02/05/18: Omitron. Adam will send the account number. </t>
  </si>
  <si>
    <t>PV-WAVE Foundation PC Deployment Standard Maintenance and Support (PVWA-PWFN-DEP-PCXX-SMS)</t>
  </si>
  <si>
    <t>NOMachine Workstation Subscription Pack</t>
  </si>
  <si>
    <t>PR-036695-2712</t>
  </si>
  <si>
    <t>PO18-01114</t>
  </si>
  <si>
    <t xml:space="preserve">06/19/18: Contacted buyer in reference to this not showing in CostPoint
02/05/18: Omitron. 03/19/2018-Emailed Adam for status on delivery confirmation. </t>
  </si>
  <si>
    <t xml:space="preserve">Optiplex 5050 SFF </t>
  </si>
  <si>
    <t>Optiplex 5050 SFF</t>
  </si>
  <si>
    <t>PR-036700-2712</t>
  </si>
  <si>
    <t>PO18-01412</t>
  </si>
  <si>
    <t>02/05/18: Omitron</t>
  </si>
  <si>
    <t xml:space="preserve">Dell UltraSharp 34 Curved Ultrawide Monitor - U3415W </t>
  </si>
  <si>
    <t>Physical servers - domain controllers
PowerEdge R430</t>
  </si>
  <si>
    <t>PowerEdge R430</t>
  </si>
  <si>
    <t>Physical servers - operations servers w/Windows
PowerEdge R430</t>
  </si>
  <si>
    <t>Windows 10 Pro</t>
  </si>
  <si>
    <t>PR-036520-2712</t>
  </si>
  <si>
    <t>PO18-01004</t>
  </si>
  <si>
    <r>
      <rPr>
        <b/>
        <sz val="10"/>
        <rFont val="Times New Roman"/>
        <family val="1"/>
      </rPr>
      <t xml:space="preserve">
06/19/18: Contacted buyer in reference to this not showing in CostPoint
02/05/18:</t>
    </r>
    <r>
      <rPr>
        <sz val="10"/>
        <rFont val="Times New Roman"/>
        <family val="1"/>
      </rPr>
      <t xml:space="preserve"> Omitron will send a windows 10 license quote to submit. Quantity of 1. </t>
    </r>
  </si>
  <si>
    <t>Microsoft Windows Server 2016 Standard - license</t>
  </si>
  <si>
    <t>9EM-00118</t>
  </si>
  <si>
    <t>PR-036554-2712</t>
  </si>
  <si>
    <t>PO18-00817</t>
  </si>
  <si>
    <t xml:space="preserve">
SnapServer XSR 120 16TB Enterprise SATA Bundle (4x4TB) 
12-Bay Rackmount NAS by Overland Storage Part # OT-NAS200219</t>
  </si>
  <si>
    <t>PR-036593-2712</t>
  </si>
  <si>
    <t>PO18-01333</t>
  </si>
  <si>
    <t>Red Hat Enterprise Linux Workstation -Standard subscription (renewal) (1 year) -1-2 sockets Coverage Dates: 07-MAR-2018 - 06-MAR-2019 OPEN MARKET Contract #: 11330596 RHN: Rtison. ACCT #: 5765149</t>
  </si>
  <si>
    <t>RH0958488RN</t>
  </si>
  <si>
    <t>PR-036323-2712</t>
  </si>
  <si>
    <t>PO18-01462</t>
  </si>
  <si>
    <t>06/19/18: Contacted buyer in reference to this not showing in CostPoint</t>
  </si>
  <si>
    <t>Red Hat Enterprise Linux Developer Workstation - Professional Subscription (renewal) (1 year) - Linux Coverage Dates: 06-JUL-2018 - 05-JUL-2019 OPEN MARKET Contract #: 11438921 ACCT #: 5765149</t>
  </si>
  <si>
    <t>RH3482727RN</t>
  </si>
  <si>
    <t>PowerEdge R440 Rack Server</t>
  </si>
  <si>
    <t>Dell R440 Quote</t>
  </si>
  <si>
    <t>PR-036630-2712</t>
  </si>
  <si>
    <t>02/06/18: For Pete Gaffney</t>
  </si>
  <si>
    <t>OptiPlex 7050 Micro (Clients)</t>
  </si>
  <si>
    <t>Dell 7050 Quote</t>
  </si>
  <si>
    <t xml:space="preserve">PowerEdge R730 Rack Server </t>
  </si>
  <si>
    <t>SAGE - Archive Server</t>
  </si>
  <si>
    <t>Dell Monitor - E2417H</t>
  </si>
  <si>
    <t>Micro AIO Stand MFS18 CUS KIT</t>
  </si>
  <si>
    <t>Null Modem Cable DB9F to DB9F, 10 ft., Beige</t>
  </si>
  <si>
    <t>SW-8104</t>
  </si>
  <si>
    <t>PR-036594-2712</t>
  </si>
  <si>
    <t>PO18-00879</t>
  </si>
  <si>
    <r>
      <rPr>
        <b/>
        <sz val="10"/>
        <rFont val="Times New Roman"/>
        <family val="1"/>
      </rPr>
      <t>06/19/18: Contacted buyer in reference to this not showing in CostPoint</t>
    </r>
    <r>
      <rPr>
        <sz val="10"/>
        <rFont val="Times New Roman"/>
        <family val="1"/>
      </rPr>
      <t xml:space="preserve">
02/26/18: Pete Gaffney picked up items from Walker Drive on 02/26/18
02/06/18: For Pete Gaffney</t>
    </r>
  </si>
  <si>
    <t>USB to DB9 Serial Plug-in Adapter</t>
  </si>
  <si>
    <t>SW-1314</t>
  </si>
  <si>
    <t>3ft USB 3.0 A Male To A Female Extension Cable</t>
  </si>
  <si>
    <t>SKU #10U3-32103-E-BK</t>
  </si>
  <si>
    <t>PR-036597-2712</t>
  </si>
  <si>
    <t>PO18-00880</t>
  </si>
  <si>
    <t>BOSCH DS9370 CEILING MOUNT TRITECH</t>
  </si>
  <si>
    <t>Bosh</t>
  </si>
  <si>
    <t>S03-BOS-DS9370</t>
  </si>
  <si>
    <t>PR-035991-2712</t>
  </si>
  <si>
    <t>PO18-00278</t>
  </si>
  <si>
    <t>1 lot of WSC Electronics</t>
  </si>
  <si>
    <t>Ship the 9.1M GFE antenna to WSC</t>
  </si>
  <si>
    <t>Fedex</t>
  </si>
  <si>
    <t>IEM Softbench Simulator</t>
  </si>
  <si>
    <t>Orbital ATK</t>
  </si>
  <si>
    <t xml:space="preserve"> UTC Interlogix (Formerly GE Security/Sentrol) 2707A-L High Security Contact,Armored Cable,Triple Biased SPDT,3/16" to 5/8",36" cable </t>
  </si>
  <si>
    <t>UTC Interlogox</t>
  </si>
  <si>
    <t>2707A-L</t>
  </si>
  <si>
    <t>PR-037270-2712</t>
  </si>
  <si>
    <t>PO18-01569</t>
  </si>
  <si>
    <t>03/01/18: Submit PR week of 02/26/18</t>
  </si>
  <si>
    <t>UTC Interlogix (Formerly GE Security/Sentrol) 2507A-L Aluminium Housing Armored Cable Contact, SPDT,3" wide Gap</t>
  </si>
  <si>
    <t>2507A-L</t>
  </si>
  <si>
    <t>End of Line resistors</t>
  </si>
  <si>
    <t>GRI Telemark Corp</t>
  </si>
  <si>
    <t>GRI 6644-1</t>
  </si>
  <si>
    <t>Stanley- Electric Door Handle</t>
  </si>
  <si>
    <t>Stanley</t>
  </si>
  <si>
    <t>9KW37DEU14DS3626RQE24V</t>
  </si>
  <si>
    <t>PR-035996-</t>
  </si>
  <si>
    <t>PO18-00285</t>
  </si>
  <si>
    <r>
      <rPr>
        <b/>
        <sz val="10"/>
        <rFont val="Times New Roman"/>
        <family val="1"/>
      </rPr>
      <t>06/19/18: Contacted buyer in reference to this not showing in CostPoint</t>
    </r>
    <r>
      <rPr>
        <sz val="10"/>
        <rFont val="Times New Roman"/>
        <family val="1"/>
      </rPr>
      <t xml:space="preserve">
03/01/18: Submit PR week of 02/26/18</t>
    </r>
  </si>
  <si>
    <t>Axis Fixed Dome Network Camera with 3.0-10.5mm Lens</t>
  </si>
  <si>
    <t>Axis</t>
  </si>
  <si>
    <t>0955-001 P3225-LVE</t>
  </si>
  <si>
    <t>Electric Strike for use with Hollow Metal or Aluminum Frame; Voltage-24VDC</t>
  </si>
  <si>
    <t>Von Duprin</t>
  </si>
  <si>
    <t>PR-037278-2712</t>
  </si>
  <si>
    <t>PO18-01615</t>
  </si>
  <si>
    <t>Strut Channel. Low-Profile, Solid, Zinc-Plated Steel</t>
  </si>
  <si>
    <t>MCMaster-Carr</t>
  </si>
  <si>
    <t>3310T523</t>
  </si>
  <si>
    <t>PR-036337-2712</t>
  </si>
  <si>
    <t>PO18-01558</t>
  </si>
  <si>
    <t>Strut Channel Connector. Straight, Zinc Plated Steel. 9-1/8" length</t>
  </si>
  <si>
    <t>33125T891</t>
  </si>
  <si>
    <t>High Strength Serrated Flange Hex Head Screw</t>
  </si>
  <si>
    <t>94239A113</t>
  </si>
  <si>
    <t>Steel Mil. Spec. Washer. Zinc Plated, 3/8" Screw Size, MS-51412-39</t>
  </si>
  <si>
    <t>91922A226</t>
  </si>
  <si>
    <t>Strut Channel Cap.Closed, for 13/16" Channel Height, White, Color: white</t>
  </si>
  <si>
    <t>3312T62</t>
  </si>
  <si>
    <t>Portable Band Saw Blade. 35-3/8" Long, 18 Teeth Per inch</t>
  </si>
  <si>
    <t>4051A35</t>
  </si>
  <si>
    <t>Thomas-Betts</t>
  </si>
  <si>
    <t>Graybar</t>
  </si>
  <si>
    <t>PR-036345-2712</t>
  </si>
  <si>
    <t>PO18-00612</t>
  </si>
  <si>
    <t>Thomas-Betts 700 1 1/4 EG</t>
  </si>
  <si>
    <t>H&amp;H Industrial Corporation Equipment Racks (24" Wide, 87" H, and 42" Deep)</t>
  </si>
  <si>
    <t>H&amp;H Industrial</t>
  </si>
  <si>
    <t>HHASM1176/8865</t>
  </si>
  <si>
    <t>PR-036260-2712</t>
  </si>
  <si>
    <t>PO18-01418</t>
  </si>
  <si>
    <t>H&amp;H Rack Accessories - 10-32 Cage Nuts for square holes (pkg)</t>
  </si>
  <si>
    <t>H&amp;H Rack Accessories - 24" Deep Adjustable Flat Shelf</t>
  </si>
  <si>
    <t>H&amp;H Rack Accessories - 22" long Shelf angles (pair)</t>
  </si>
  <si>
    <t>H&amp;H Rack Accessories - 1/4-20 Steel Spring nuts &amp; CRES Bolts (pkg)</t>
  </si>
  <si>
    <t>H&amp;H Rack Accessories - Filler Panel (1U)</t>
  </si>
  <si>
    <t>HHFP 1901XX</t>
  </si>
  <si>
    <t>H&amp;H Rack Accessories - Filler Panel (2U)</t>
  </si>
  <si>
    <t>HHFP 1902XX</t>
  </si>
  <si>
    <t>H&amp;H Rack Accessories - Filler Panel (3U)</t>
  </si>
  <si>
    <t>HHFP 1903XX</t>
  </si>
  <si>
    <t>H&amp;H Rack Accessories - Filler Panel (6U)</t>
  </si>
  <si>
    <t>HHFP 1906XX</t>
  </si>
  <si>
    <t xml:space="preserve"> Cisco 1100W Hot Plug/Redundant Power Supply
for Catalyst 3850-48F-E</t>
  </si>
  <si>
    <t>PWR-C1-1100WAC=</t>
  </si>
  <si>
    <t>PR-036037-2712</t>
  </si>
  <si>
    <t>PO18-00996</t>
  </si>
  <si>
    <t>Cisco Catalyst 2960X-24TS-L - switch - 24 ports -
managed - rack-mountable</t>
  </si>
  <si>
    <t>WS-C2960X-24TS-L</t>
  </si>
  <si>
    <t>Cisco ASA 5525-X Firewall Edition Security
Appliance</t>
  </si>
  <si>
    <t>ASA5525-K9</t>
  </si>
  <si>
    <t>Cisco ASA Interface Card - expansion module - 6
ports</t>
  </si>
  <si>
    <t>ASA-IC-6GE-SFP-B=</t>
  </si>
  <si>
    <t>Black Box 48 Port Serial over IP Gigabit Console
Server, Cisco Compatible</t>
  </si>
  <si>
    <t>BlackBox</t>
  </si>
  <si>
    <t>LES1548A</t>
  </si>
  <si>
    <t>Microsoft Windows Server 2016- license</t>
  </si>
  <si>
    <t>Windows</t>
  </si>
  <si>
    <t>R18-05187</t>
  </si>
  <si>
    <t>Seagate Expansion 2 TB External HDD</t>
  </si>
  <si>
    <t>Seagate</t>
  </si>
  <si>
    <t>STEA2000400</t>
  </si>
  <si>
    <t>Red Hat Enterprise Linux Server - standard
subscription</t>
  </si>
  <si>
    <t>Linux</t>
  </si>
  <si>
    <t>RH00004S-CS</t>
  </si>
  <si>
    <t>Tripp Lite Computer Power Extension Cord Adapter
10A 18AWG C14 to C13 4'</t>
  </si>
  <si>
    <t>TrippLite</t>
  </si>
  <si>
    <t>P004-004</t>
  </si>
  <si>
    <t>APC Metered Rack PDU - power distribution strip -8.6 kW</t>
  </si>
  <si>
    <t>APC</t>
  </si>
  <si>
    <t>AP8865</t>
  </si>
  <si>
    <t>5.0</t>
  </si>
  <si>
    <t>Microsoft Windows Server 2012 R2 Standard License 1 Server</t>
  </si>
  <si>
    <t>P73-06165</t>
  </si>
  <si>
    <t>Tripp Lite Computer Power Extension Cord Adapter
10A 18AWG C14 to C13 6'</t>
  </si>
  <si>
    <t>P004-006</t>
  </si>
  <si>
    <t>Tripp Lite Computer Power Extension Cord Adapter
10A 18 AWG C14 to C13 10'</t>
  </si>
  <si>
    <t>P004-010</t>
  </si>
  <si>
    <t>Dell UltraSharp U2417H - LED monitor - 24" - with
3-Years Advanced Exchange</t>
  </si>
  <si>
    <t>U2417H</t>
  </si>
  <si>
    <t>Cisco Catalyst 3850-48T-L 48-Port Gigabit Ethernet
Switch</t>
  </si>
  <si>
    <t>WS-C3850-48T-L</t>
  </si>
  <si>
    <t>Cisco 350W Hot Plug/Redundant Power Supply for
Catalyst 3850-24T-E</t>
  </si>
  <si>
    <t>PWR-C1-350WAC=</t>
  </si>
  <si>
    <t>Cisco Catalyst 3850-12X48U-E - switch - 48 ports -
managed - rack-mountable</t>
  </si>
  <si>
    <t>WS-C3850-12X48U-E</t>
  </si>
  <si>
    <t>Juniper EX 4200 48T - switch - 48 ports - managed</t>
  </si>
  <si>
    <t>Juniper</t>
  </si>
  <si>
    <t>EX4200-48T</t>
  </si>
  <si>
    <t>Juniper Networks - expansion module</t>
  </si>
  <si>
    <t>EX-UM-4SFP</t>
  </si>
  <si>
    <t>Cisco Expansion Module for Catalyst 3850-24</t>
  </si>
  <si>
    <t>C3850-NM-4-10G=</t>
  </si>
  <si>
    <t>Cisco 4-Port Expansion Module for Catalyst 3850-24Cisco 4-Port Expansion Module for Catalyst 3850-24</t>
  </si>
  <si>
    <t>C3850-NM-4-1G=</t>
  </si>
  <si>
    <t>EMIT02-10, Eaton PDU, G3 Metered Input</t>
  </si>
  <si>
    <t>Eaton</t>
  </si>
  <si>
    <t>DP-17-10009</t>
  </si>
  <si>
    <t>Designed Power</t>
  </si>
  <si>
    <t>PR-036676-2712</t>
  </si>
  <si>
    <t>PO18-01181</t>
  </si>
  <si>
    <t>02/09/18: Submit the week of 02/12/18</t>
  </si>
  <si>
    <t>CoolBalance cable seal grommet, 6X16 - In-Floor Seal with edge protection. For new or existing installations with cables in place. (Consists of 2 brush seals, 4 side rails with edge protection, and 4 corner connectors with screws)</t>
  </si>
  <si>
    <t>Cool Balance</t>
  </si>
  <si>
    <t>CB11-0616</t>
  </si>
  <si>
    <t>PR-036946-2712</t>
  </si>
  <si>
    <t>PO18-01343</t>
  </si>
  <si>
    <r>
      <rPr>
        <b/>
        <sz val="10"/>
        <color theme="1"/>
        <rFont val="Times New Roman"/>
        <family val="1"/>
      </rPr>
      <t>06/19/18: Contacted buyer in reference to this not showing in CostPoint</t>
    </r>
    <r>
      <rPr>
        <sz val="10"/>
        <color theme="1"/>
        <rFont val="Times New Roman"/>
        <family val="1"/>
      </rPr>
      <t xml:space="preserve">
03.29.2018-Supplier will ship it on 04.02.2018.03/19/2018-</t>
    </r>
    <r>
      <rPr>
        <sz val="10"/>
        <rFont val="Times New Roman"/>
        <family val="1"/>
      </rPr>
      <t xml:space="preserve"> Sent status confirmation email Eric and Rusty. 02/15/18: Requested refresh quotre from Eric Blum 
02/09/18: Submit the week of 02/12/18</t>
    </r>
  </si>
  <si>
    <t>10GBASE-ZR CWDM 1490NM SFP+ TRANSCEIVER 100% CISCO COMPATIBLE</t>
  </si>
  <si>
    <t>CWDM-SFP10G-1470</t>
  </si>
  <si>
    <t>PR-036797-2712</t>
  </si>
  <si>
    <t>PO18-01182</t>
  </si>
  <si>
    <t>10GBASE-ZR CWDM 1470NM SFP+ TRANSCEIVER 100% CISCO COMPATIBLE</t>
  </si>
  <si>
    <t>CWDM-SFP10G-1490</t>
  </si>
  <si>
    <t>Cisco Compatible SFP Module - Long Haul (SM) - 1Gbps</t>
  </si>
  <si>
    <t>GLC-LH-SM</t>
  </si>
  <si>
    <t>PR-036814-2712</t>
  </si>
  <si>
    <t>PO18-01134</t>
  </si>
  <si>
    <t>Cisco Compatible SFP Module - Short Haul (MM) - 1Gbps</t>
  </si>
  <si>
    <t>GLC-SX-MM</t>
  </si>
  <si>
    <r>
      <rPr>
        <b/>
        <sz val="10"/>
        <rFont val="Times New Roman"/>
        <family val="1"/>
      </rPr>
      <t>06/19/18: Contacted buyer in reference to this not showing in CostPoint</t>
    </r>
    <r>
      <rPr>
        <sz val="10"/>
        <rFont val="Times New Roman"/>
        <family val="1"/>
      </rPr>
      <t xml:space="preserve">
02/09/18: Submit the week of 02/12/18</t>
    </r>
  </si>
  <si>
    <t>15 feet, Single Mode Fiber Optic Cable LC/UPC-LC/APC -Plenum</t>
  </si>
  <si>
    <t>CablesforLess</t>
  </si>
  <si>
    <t>400-522</t>
  </si>
  <si>
    <t>PR-036905-2712</t>
  </si>
  <si>
    <t>PO18-01306</t>
  </si>
  <si>
    <t>140 feet, Single Mode Fiber Optic Cable LC/UPC-LC/APC -Plenum</t>
  </si>
  <si>
    <t>130 feet, Single Mode Fiber Optic Cable LC/UPC-LC/APC -Plenum</t>
  </si>
  <si>
    <t>135 feet, Single Mode Fiber Optic Cable LC/UPC-LC/APC -Plenum</t>
  </si>
  <si>
    <t>25 feet, Single Mode Fiber Optic Cable LC/UPC-LC/APC -Plenum</t>
  </si>
  <si>
    <t>30 feet, Single Mode Fiber Optic Cable LC/UPC-LC/APC -Plenum</t>
  </si>
  <si>
    <t>Single Mode Fiber Optic Cable LC/UPC-LC/APC - Plenum (15ft Length Each) -STGT</t>
  </si>
  <si>
    <t>2 Strand Custom Line Indoor 10-GIG 50/125 Om3 Multimode "Fiber Whips" Assembly, 60 Foot</t>
  </si>
  <si>
    <t>LANShack</t>
  </si>
  <si>
    <t xml:space="preserve">PRO-769-M10G-DP-2-L-2P-60 </t>
  </si>
  <si>
    <t>PR-036888-2712</t>
  </si>
  <si>
    <t>PO18-01603</t>
  </si>
  <si>
    <t xml:space="preserve">
02/09/18: Submit the week of 02/16/18</t>
  </si>
  <si>
    <t>2 Strand Custom Line Indoor 10-GIG 50/125 Om3 Multimode "Fiber Whips" Assembly, 50 Foot</t>
  </si>
  <si>
    <t>PRO-769-M10G-DP-2-L-2P-50</t>
  </si>
  <si>
    <t>2 Strand Custom Line Indoor 10-GIG 50/125 Om3 Multimode "Fiber Whips" Assembly, 45 Foot</t>
  </si>
  <si>
    <t xml:space="preserve">PRO-769-M10G-DP-2-L-2P-45 </t>
  </si>
  <si>
    <t>2 Strand Custom Line Indoor 10-GIG 50/125 Om3 Multimode "Fiber Whips" Assembly, 55 Foot</t>
  </si>
  <si>
    <t xml:space="preserve">PRO-769-M10G-DP-2-L-2P-55 </t>
  </si>
  <si>
    <t xml:space="preserve">1 meter LC to LC, 50/125 OM3, 10 GIG  Multimode Duplex Patch Cable-Plenum Rated </t>
  </si>
  <si>
    <t xml:space="preserve">FA-DLC-DLC-M-01-10GIG-AQ </t>
  </si>
  <si>
    <t xml:space="preserve">3 meter LC to LC, 50/125 OM3, 10 GIG  Multimode Duplex Patch Cable-Plenum Rated </t>
  </si>
  <si>
    <t xml:space="preserve"> FA-DLC-DLC-M-03-10GIG-AQ  </t>
  </si>
  <si>
    <t>Cat 6E 1000x,UTP, Plenum Rated-Solid Cond. Cable-1000Ft (White)</t>
  </si>
  <si>
    <t>EL-TUP2404N70-SWH-S</t>
  </si>
  <si>
    <t>Cat 6E 1000x,UTP, Plenum Rated-Solid Cond. Cable-1000Ft (Blue)</t>
  </si>
  <si>
    <t>EL-TUP2404N70-SBU-S</t>
  </si>
  <si>
    <t>Cat 6E 1000x,UTP, Plenum Rated-Solid Cond. Cable-1000Ft (Gray)</t>
  </si>
  <si>
    <t>EL-TUP2404N70-SGY-S</t>
  </si>
  <si>
    <t>Multi Mode Fiber Optic Cable LC-LC - Plenum (60ft Length Each) - STGT</t>
  </si>
  <si>
    <t>shipping</t>
  </si>
  <si>
    <t>CS-BNS 2843023-3 MP-6AU BOOT 51-1:BOOT 5.4-4.8MM 100/BAG --Non-Stock</t>
  </si>
  <si>
    <t>Anixter</t>
  </si>
  <si>
    <t>CS-BNS 2843023-3</t>
  </si>
  <si>
    <t>PR-036881-2712</t>
  </si>
  <si>
    <t>PO18-00943</t>
  </si>
  <si>
    <t>03/19/2018-Emailed Tim Scherer and Eric Blum about the status confirmation. 02/16/18: Submitted PR
02/15/18: Requested refresh quotre from Eric Blum 
02/09/18: Submit the week of 02/12/18</t>
  </si>
  <si>
    <t>Non-Stock CS-BNS 6-2843007-1 MODULAR PLUG CAT 6A/6 UNSHIELDED, COND INSULATION OD-0.99MM, 100PCS</t>
  </si>
  <si>
    <t>CS-BNS 6-2843007-1</t>
  </si>
  <si>
    <t>03/19/2018-Emailed Tim Scherer about the status confirmation. 02/16/18: Submitted PR. 
02/15/18: Requested refresh quotre from Eric Blum 
02/09/18: Submit the week of 02/12/18</t>
  </si>
  <si>
    <t>TCTHG-K;10/100/1000 COPPER nTAP Bluetooth - C1010</t>
  </si>
  <si>
    <t>ViaviSolutions</t>
  </si>
  <si>
    <t>TCTHG-K</t>
  </si>
  <si>
    <t>PR-037081-2712</t>
  </si>
  <si>
    <t>PO18-01555</t>
  </si>
  <si>
    <t>TCRM-K;19 in. 1U Rack Mount Panel for up to 3 Copper or Optical nTAPs</t>
  </si>
  <si>
    <t>TCRM-K</t>
  </si>
  <si>
    <t>Dell Optiplex 7050 MFF Computer v/VESA Mount</t>
  </si>
  <si>
    <t>7050 Optiplex</t>
  </si>
  <si>
    <t>PR-037093-2712</t>
  </si>
  <si>
    <t>PO18-01739</t>
  </si>
  <si>
    <t>Dell 24 Monitor E2417H</t>
  </si>
  <si>
    <t>210-AIWH</t>
  </si>
  <si>
    <t>Dell Optiplex Micro Dual VESA mount</t>
  </si>
  <si>
    <t>482-BBBQ</t>
  </si>
  <si>
    <t xml:space="preserve">PowerEdge R630 Server </t>
  </si>
  <si>
    <t>R630</t>
  </si>
  <si>
    <t xml:space="preserve">Dell 18.5 in 1U Rackmount LED KMM Console </t>
  </si>
  <si>
    <t>A7546778</t>
  </si>
  <si>
    <t>Dell 1U KVM mounting bracket</t>
  </si>
  <si>
    <t>A7485911</t>
  </si>
  <si>
    <t>Dell Digital KVM Switch</t>
  </si>
  <si>
    <t>A7546774</t>
  </si>
  <si>
    <t>Dell Sever Interface Module</t>
  </si>
  <si>
    <t>A7547276</t>
  </si>
  <si>
    <t>Dell Optiplex 3050 MFF Computer w/VESA Mount</t>
  </si>
  <si>
    <t>3050MX</t>
  </si>
  <si>
    <t>Dell OptiPlex Micro Dual VESA Mount</t>
  </si>
  <si>
    <t>Kiwi Syslog Server - Single install - License with 24 Month Maintenance</t>
  </si>
  <si>
    <t>Solarwinds</t>
  </si>
  <si>
    <t>9016-0514/ 300052053</t>
  </si>
  <si>
    <t>PR-037083-2712</t>
  </si>
  <si>
    <t>PO18-01314</t>
  </si>
  <si>
    <r>
      <rPr>
        <b/>
        <sz val="10"/>
        <rFont val="Times New Roman"/>
        <family val="1"/>
      </rPr>
      <t>06/19/18: Contacted buyer in reference to this not showing in CostPoint</t>
    </r>
    <r>
      <rPr>
        <sz val="10"/>
        <rFont val="Times New Roman"/>
        <family val="1"/>
      </rPr>
      <t xml:space="preserve">
03/19/2018-Emailed Rosemarie and Eric Blum for the status check. </t>
    </r>
  </si>
  <si>
    <t>Kiwi Log Viewer (Win) - single install license with 24 month software
maintenance plan</t>
  </si>
  <si>
    <t>9016-0581/ 300052097</t>
  </si>
  <si>
    <t xml:space="preserve">L-Comm Ethernet media Converter 10/100/1000TX RJ45 to Single Gigabit SFP Socket </t>
  </si>
  <si>
    <t>L-Comm</t>
  </si>
  <si>
    <t>LC-MCGSFP</t>
  </si>
  <si>
    <t>PR-037077-2712</t>
  </si>
  <si>
    <t>PO18-01310</t>
  </si>
  <si>
    <t>Keystone Wire &amp; Cable KNP4461030S Access</t>
  </si>
  <si>
    <t>Windy City Wire MFG</t>
  </si>
  <si>
    <t>4461030S</t>
  </si>
  <si>
    <t>PR-037281-2712</t>
  </si>
  <si>
    <t>PO18-01730</t>
  </si>
  <si>
    <r>
      <rPr>
        <b/>
        <sz val="10"/>
        <rFont val="Times New Roman"/>
        <family val="1"/>
      </rPr>
      <t>06/19/18: Contacted buyer in reference to this not showing in CostPoint</t>
    </r>
    <r>
      <rPr>
        <sz val="10"/>
        <rFont val="Times New Roman"/>
        <family val="1"/>
      </rPr>
      <t xml:space="preserve">
03/01/18: Receievd quote from Eric Blum and will submit PR
03/01/18: Submit PR week of 02/26/18</t>
    </r>
  </si>
  <si>
    <t>Plenum Security Alarm Cable-18/2 (7 Strand),CMP,Shielded 1000ft</t>
  </si>
  <si>
    <t>Primus Cable</t>
  </si>
  <si>
    <t>ACS3-474/182</t>
  </si>
  <si>
    <t>PR-037283-2712</t>
  </si>
  <si>
    <t>PO18-01458</t>
  </si>
  <si>
    <t>Intelligent System Controller- 12 VDC or 24 VDC@300mA, size (5 in. (127mm) Wx 6 in. (152.4mm)Lx 1in. (25mm)H)</t>
  </si>
  <si>
    <t>Lenel</t>
  </si>
  <si>
    <t>LNL-3300</t>
  </si>
  <si>
    <t>Ariel Technologies</t>
  </si>
  <si>
    <t>PR-037328-2712</t>
  </si>
  <si>
    <t>PO18-02621</t>
  </si>
  <si>
    <t>Command Display Lenel Command Keypad-32 character back-lit LCD display with 16 position keypad, supports both direct RS-485 communication with ISC and Wiegand TTL</t>
  </si>
  <si>
    <t>LNL-CK</t>
  </si>
  <si>
    <t xml:space="preserve">EFLOW104N8D is a power supply/charger that converts a 120VAC 60Hz input into eight protected power-limited 24VDC outputs with a total of 10 amps max. </t>
  </si>
  <si>
    <t>eFlow</t>
  </si>
  <si>
    <t>EFLOW104N8D</t>
  </si>
  <si>
    <t>Lenel UL listed hardware enclosure (24"x18"x4.5") only with lock and tamper switch</t>
  </si>
  <si>
    <t>LNL-CTX-6</t>
  </si>
  <si>
    <t>Lenel UL Listed Power supply-12 VDC 6A output, 115VAC (1.6 amps) input, continuous supply current with enclosure (24"x18"x4.5")</t>
  </si>
  <si>
    <t>LNL-AL600ULX-4CB6</t>
  </si>
  <si>
    <t>Dual Reader Interface Module (Series 2-Supports OSDP Readers)-12/24 VDC, 2 Reader Interface W/M, 8 inputs, 6 (5A) form C relays</t>
  </si>
  <si>
    <t>LNL-1320</t>
  </si>
  <si>
    <t>Input Control Module (Series two)-12/24 VDC, 16 zone input monitor module, (32) 1k resistors (with 2 programmable output relays)</t>
  </si>
  <si>
    <t>LNL-1100</t>
  </si>
  <si>
    <t>Remote Monitor Client-Single Remote Monitor CLIENT SW LIC.</t>
  </si>
  <si>
    <t>DVG-RM</t>
  </si>
  <si>
    <t xml:space="preserve">Onguard ADV client software license includes: system administration,alarm monitoring, map designer and login driver. </t>
  </si>
  <si>
    <t>SWC-ADV</t>
  </si>
  <si>
    <t xml:space="preserve">Lenel network video recorder software-includes single channel software license for one IP/network based camera channel to be used with either a customer provided PC or adding on to a turnkey system. </t>
  </si>
  <si>
    <t>SW-LNR-CH1</t>
  </si>
  <si>
    <t>iclass, Finished Wall reader, RP40-H,PIVCLASS, SE E, LF STD,HF STD/SIO/SEOS/FIPS/CAK,485HDX,PIG, Black,STD-1,LED RED,FLSH GRN,BZR ON,OPT TAMP,OPEN COLL,FIPS 75-BIT,IPM OFF, UART OFF, WEIG ON</t>
  </si>
  <si>
    <t>HID</t>
  </si>
  <si>
    <t>920PHPNEK00338</t>
  </si>
  <si>
    <t xml:space="preserve">iclass, reader, RPKCL40-P,PIVCLASS,SE E, CONT LCD,LF STD,HF STD/SIO/SEOS/FIPS/CAK/PKI,485HDX,PIG,Black, STD-1, LED RED,FLSH GRN, BZR ON, OPT TAMP </t>
  </si>
  <si>
    <t>923PPPNEK0033T</t>
  </si>
  <si>
    <t>Door security electronics</t>
  </si>
  <si>
    <t>Discounts</t>
  </si>
  <si>
    <t>Slave timing system, 2 fiber in, Rb ref, 2 AC supp, No out mod</t>
  </si>
  <si>
    <t>Microsemi</t>
  </si>
  <si>
    <t>ATS 6511C-FRN</t>
  </si>
  <si>
    <t>PR-036750-2712</t>
  </si>
  <si>
    <t>PO18-02027</t>
  </si>
  <si>
    <t>10 MHz Module for Item 1</t>
  </si>
  <si>
    <t>4395B-10</t>
  </si>
  <si>
    <t>Pulse Output Module for item 1</t>
  </si>
  <si>
    <t>4394A</t>
  </si>
  <si>
    <t>Fiber Output Module for item 1</t>
  </si>
  <si>
    <t>4372A-T</t>
  </si>
  <si>
    <t>Modulated IRIG Module for item 1</t>
  </si>
  <si>
    <t>4387A</t>
  </si>
  <si>
    <t>Pre-Configured S650i w/ std osc, I/O module, single AC, no GNSS</t>
  </si>
  <si>
    <t>090-15200-653</t>
  </si>
  <si>
    <t>S650 Security Protocols License Option, Quick Ship</t>
  </si>
  <si>
    <t>920-15201-002</t>
  </si>
  <si>
    <t>Distribution Amplifier with Auto Switching</t>
  </si>
  <si>
    <t>9611B-02</t>
  </si>
  <si>
    <t>QUOTE NO. 8031601 received 03/19/18</t>
  </si>
  <si>
    <t>Mu-Del Up/Down Converter</t>
  </si>
  <si>
    <t>Mu-Del Electronics</t>
  </si>
  <si>
    <t>MUDC-625-70</t>
  </si>
  <si>
    <t>PR-039778-2712</t>
  </si>
  <si>
    <t>PO18-03932</t>
  </si>
  <si>
    <t>Quote received: PERATON - QT#O6UJ9A0014YJ 7X7 MATRIX</t>
  </si>
  <si>
    <t>Matrix-EM Custom DOW-KEY</t>
  </si>
  <si>
    <t>Dow-Key Microwave</t>
  </si>
  <si>
    <t>PR-039785-2712</t>
  </si>
  <si>
    <t>PO18-03785</t>
  </si>
  <si>
    <t>Week two Priority 06/04/18</t>
  </si>
  <si>
    <t>Quote received: PERATON - QT#O6UJ9A0014YJ 4X3 AND 10X5</t>
  </si>
  <si>
    <t>Quote received 03/14/18</t>
  </si>
  <si>
    <t xml:space="preserve">QuickTreX 24 Port Shileded Keystone Blank Patch Panel (1RU) )With Cable Manager+ $14.00, 24 Couplers+334.80, Without Hinged Wall Bracket) </t>
  </si>
  <si>
    <t>LanShack</t>
  </si>
  <si>
    <t>QT-24BSPP-1U-CM-24SC</t>
  </si>
  <si>
    <t>PR-039842-2712</t>
  </si>
  <si>
    <t>PO18-03522</t>
  </si>
  <si>
    <t xml:space="preserve">COMMSCOPE (FORMERLY TE CONN) 6-2843007-1 MODULAR PLUG CAT 6A/6 UNSHIELDED, COND INSULATION OD-0.99MM, 100PCS
</t>
  </si>
  <si>
    <t>PR-039850-2712</t>
  </si>
  <si>
    <t>PO18-03509</t>
  </si>
  <si>
    <t>CS-ANDREW 2843023-3 RJ 45 BOOT -- --
Lead Time: 4 week lead time from the vendor
Part Availability: Minimum 500 pieces</t>
  </si>
  <si>
    <t>2843023-3</t>
  </si>
  <si>
    <t>14ZZZ-FREIGHT</t>
  </si>
  <si>
    <t>Cat 6E 1000x, UTP, Plenum rated (CMP), Solid Cond. Cable -1000 Ft by ABA Elite (Blue)</t>
  </si>
  <si>
    <t>RG400 Coax Cable</t>
  </si>
  <si>
    <t>Tessco</t>
  </si>
  <si>
    <t>PR-039854-2712</t>
  </si>
  <si>
    <t>PO18-03736</t>
  </si>
  <si>
    <t>SMA Male RG-142,55B,223 901-9511-1</t>
  </si>
  <si>
    <t>TNC Crimp RG55, 142, 223 122372</t>
  </si>
  <si>
    <t>BNC Male Crimp-RG142</t>
  </si>
  <si>
    <t>Soil Sample Procurement</t>
  </si>
  <si>
    <t>Terracon</t>
  </si>
  <si>
    <t>PR-039843-2712</t>
  </si>
  <si>
    <t>PO18-03491</t>
  </si>
  <si>
    <t>Descope: IEM Softbench Simulator</t>
  </si>
  <si>
    <t>Quote received 02/12/18</t>
  </si>
  <si>
    <t xml:space="preserve">XPS 15 Equipment </t>
  </si>
  <si>
    <t>XPS 15</t>
  </si>
  <si>
    <t>PR-040272-2712</t>
  </si>
  <si>
    <t>PO18-04712</t>
  </si>
  <si>
    <r>
      <rPr>
        <b/>
        <sz val="10"/>
        <rFont val="Times New Roman"/>
        <family val="1"/>
      </rPr>
      <t>03/05/18:</t>
    </r>
    <r>
      <rPr>
        <sz val="10"/>
        <rFont val="Times New Roman"/>
        <family val="1"/>
      </rPr>
      <t xml:space="preserve"> Omitron. Goes to Omitron; Ship to Walker Drive </t>
    </r>
    <r>
      <rPr>
        <b/>
        <sz val="10"/>
        <rFont val="Times New Roman"/>
        <family val="1"/>
      </rPr>
      <t xml:space="preserve">
Week Three priority (06/11/18)</t>
    </r>
    <r>
      <rPr>
        <sz val="10"/>
        <rFont val="Times New Roman"/>
        <family val="1"/>
      </rPr>
      <t xml:space="preserve">
</t>
    </r>
    <r>
      <rPr>
        <b/>
        <sz val="10"/>
        <rFont val="Times New Roman"/>
        <family val="1"/>
      </rPr>
      <t xml:space="preserve">06/06/18: </t>
    </r>
    <r>
      <rPr>
        <sz val="10"/>
        <rFont val="Times New Roman"/>
        <family val="1"/>
      </rPr>
      <t>Awaiting refresh quote from Adam Mirvis.</t>
    </r>
  </si>
  <si>
    <t>Dell Adapter- USB-C to Ethernet (PXE Boot)</t>
  </si>
  <si>
    <t>470-ABND</t>
  </si>
  <si>
    <r>
      <rPr>
        <b/>
        <sz val="10"/>
        <rFont val="Times New Roman"/>
        <family val="1"/>
      </rPr>
      <t>03/05/18:</t>
    </r>
    <r>
      <rPr>
        <sz val="10"/>
        <rFont val="Times New Roman"/>
        <family val="1"/>
      </rPr>
      <t xml:space="preserve"> Omitron. Goes to Omitron; Ship to Walker Drive
</t>
    </r>
    <r>
      <rPr>
        <b/>
        <sz val="10"/>
        <rFont val="Times New Roman"/>
        <family val="1"/>
      </rPr>
      <t>Week Three Priority (06/11/18)</t>
    </r>
    <r>
      <rPr>
        <sz val="10"/>
        <rFont val="Times New Roman"/>
        <family val="1"/>
      </rPr>
      <t xml:space="preserve">
</t>
    </r>
    <r>
      <rPr>
        <b/>
        <sz val="10"/>
        <rFont val="Times New Roman"/>
        <family val="1"/>
      </rPr>
      <t>06/06/18:</t>
    </r>
    <r>
      <rPr>
        <sz val="10"/>
        <rFont val="Times New Roman"/>
        <family val="1"/>
      </rPr>
      <t xml:space="preserve"> Awaiting refresh quote from Adam Mirvis</t>
    </r>
  </si>
  <si>
    <t>Quote Number: NDS-113445b R1 received 03/20/18</t>
  </si>
  <si>
    <t xml:space="preserve">C-REDUNDANCY-15000 </t>
  </si>
  <si>
    <t>PR-040130-2712</t>
  </si>
  <si>
    <t>PO18-04095</t>
  </si>
  <si>
    <t>02/06/18: For Pete Gaffney; Ship to Walker Drive.
06.11.2018-Week Three priority  (06/11/18). Awaiting refresh quote from Pete Gaffney</t>
  </si>
  <si>
    <t>A browser-based interface 5-pack for operator access, configuration and system modifications</t>
  </si>
  <si>
    <t>C-GUI-5</t>
  </si>
  <si>
    <t>06.11.2018-Week Three priority (06/11/18). Awaiting refresh quote from Pete Gaffney</t>
  </si>
  <si>
    <t>Compass module that provides support for SNMP Manager V1, V2 and V3 capabilities. It provides an Alarm Trap GUI and allows for auto discovery and import of SNMP MIBs into Compass</t>
  </si>
  <si>
    <t xml:space="preserve">C-SNMP Server </t>
  </si>
  <si>
    <t>A browser-based interface 5-pack for operator access, configuration and system modifications.</t>
  </si>
  <si>
    <t>RTL/Kratos</t>
  </si>
  <si>
    <t>PR-041001-2712</t>
  </si>
  <si>
    <t>Compass module that provides support for SNMP Manager V1, V2 and V3 capabilities. It provides an Alarm Trap GUI and allows for auto discovery and import of SNMP MIBs into Compass.</t>
  </si>
  <si>
    <t>C-SNMP Server</t>
  </si>
  <si>
    <t>12 Months Compass PLATINUM Maintenance for all software licenses from NDS-112846R2b.</t>
  </si>
  <si>
    <t>C- PLAT- MAIN-12</t>
  </si>
  <si>
    <t>PR-040479-2712</t>
  </si>
  <si>
    <t>PO18-04098</t>
  </si>
  <si>
    <t>Compass server license of for monitor and control of 100 devices remotely and automatically. Includes: - 1 Server license for up to 100 devices - 1 Compass GUI license - web-based interface for operator access, configuration and system modifications - Monitor and control of 100 devices via Ethernet, SNMP, Serial, TL-1, proprietary protocols, TBOS and Discrete IO - USB Key</t>
  </si>
  <si>
    <t>C-SERVER-100</t>
  </si>
  <si>
    <t>PR-040977-2712</t>
  </si>
  <si>
    <t>12 Months Compass PLATINUM Maintenance for all software licenses from NDS-112846R2a. *OPEN MARKET ITEM*</t>
  </si>
  <si>
    <t>C-SNMP-SERVER</t>
  </si>
  <si>
    <t>5B909 / 437164J</t>
  </si>
  <si>
    <t>PR-039624-2712</t>
  </si>
  <si>
    <t>PO18-03663</t>
  </si>
  <si>
    <t>Week One Priority (05/29/18)</t>
  </si>
  <si>
    <t>C-REDUNDANCY</t>
  </si>
  <si>
    <t>5B909 /437164J</t>
  </si>
  <si>
    <t>C-SERVER-100-U</t>
  </si>
  <si>
    <t>Quote Number: NDS-113445a R1 received 03/20/18</t>
  </si>
  <si>
    <t xml:space="preserve">C-SERVER-100 </t>
  </si>
  <si>
    <t>Optiplex 7050 MFF</t>
  </si>
  <si>
    <t>Dell Optiplex 7050 Micro</t>
  </si>
  <si>
    <t>PR-041156-2712</t>
  </si>
  <si>
    <t>PO18-04657</t>
  </si>
  <si>
    <t xml:space="preserve">02/06/18: For Pete Gaffney; Ship to Walker Drive </t>
  </si>
  <si>
    <t>Dell UltraSharp 34 Curved Ultrawide Monitor</t>
  </si>
  <si>
    <t>E2417H</t>
  </si>
  <si>
    <t>PR-040131-2712</t>
  </si>
  <si>
    <t>PO18-03804</t>
  </si>
  <si>
    <r>
      <rPr>
        <b/>
        <sz val="10"/>
        <rFont val="Times New Roman"/>
        <family val="1"/>
      </rPr>
      <t>06.11.2018-Week Three priority (06/11/18)</t>
    </r>
    <r>
      <rPr>
        <sz val="10"/>
        <rFont val="Times New Roman"/>
        <family val="1"/>
      </rPr>
      <t>. Pete will send a new quote for curve monitor.</t>
    </r>
  </si>
  <si>
    <t>U341/ U3415W</t>
  </si>
  <si>
    <t>PR-041109-2712</t>
  </si>
  <si>
    <t>PO18-04529</t>
  </si>
  <si>
    <t>DO NOT ORDER</t>
  </si>
  <si>
    <t>Dell Micro All  in-One Stand</t>
  </si>
  <si>
    <r>
      <t xml:space="preserve">07/26/18: </t>
    </r>
    <r>
      <rPr>
        <sz val="10"/>
        <rFont val="Times New Roman"/>
        <family val="1"/>
      </rPr>
      <t xml:space="preserve">Pete advised; Do not order. </t>
    </r>
  </si>
  <si>
    <t>Red Hat Enterprise Linux Server, Standard (Physical or Virtual Nodes)</t>
  </si>
  <si>
    <t>RH00004</t>
  </si>
  <si>
    <t>PR-040397-2712</t>
  </si>
  <si>
    <t>PO18-04376</t>
  </si>
  <si>
    <t>Red Hat Enterprise Linux Developer Suite</t>
  </si>
  <si>
    <t>RH2262474</t>
  </si>
  <si>
    <t>PR-041127-2712</t>
  </si>
  <si>
    <t>PO18-04569</t>
  </si>
  <si>
    <t>No</t>
  </si>
  <si>
    <t>Cisco WS-C2960 switch</t>
  </si>
  <si>
    <t>PR-039861-2712</t>
  </si>
  <si>
    <t>PO18-03510</t>
  </si>
  <si>
    <t>03/05/18: Omitron. Goes to Omitron; Ship to Walker Drive 
Week Two Priority (06/04/18)</t>
  </si>
  <si>
    <t>Red Hat Enterprise Linux Workstation, Self-support</t>
  </si>
  <si>
    <t>RH0986300</t>
  </si>
  <si>
    <t xml:space="preserve">03/05/18: PR Updated. B0 Contract # 11438921 and order # 40282170. The B1 set have contract # 11330596 and order # 40262378.
03/05/18: Omitron. Goes to Omitron; Ship to Walker Drive </t>
  </si>
  <si>
    <t>Cat6 Gray Ethernet Patch Cable, Snagless/Molded Boot, 5 foot</t>
  </si>
  <si>
    <t>10X8-02105</t>
  </si>
  <si>
    <t>PR-041175-2712</t>
  </si>
  <si>
    <t>PO18-04666</t>
  </si>
  <si>
    <t xml:space="preserve">03/05/18: Omitron. Goes to Omitron; Ship to Walker Drive </t>
  </si>
  <si>
    <t>Cat6 Gray Ethernet Patch Cable, Snagless/Molded Boot, 14 foot</t>
  </si>
  <si>
    <t>10X8-02114</t>
  </si>
  <si>
    <t>Quote received 03/05/18</t>
  </si>
  <si>
    <t>Broadcom 5720 DP 1Gb Network Interface Card, Low Profile,Customer Kit</t>
  </si>
  <si>
    <t>540-BBGW</t>
  </si>
  <si>
    <r>
      <rPr>
        <b/>
        <sz val="10"/>
        <color theme="1"/>
        <rFont val="Times New Roman"/>
        <family val="1"/>
      </rPr>
      <t>03/05/18:</t>
    </r>
    <r>
      <rPr>
        <sz val="10"/>
        <color theme="1"/>
        <rFont val="Times New Roman"/>
        <family val="1"/>
      </rPr>
      <t xml:space="preserve"> Omitron. Goes to Omitron; Ship to Walker Drive. 
</t>
    </r>
    <r>
      <rPr>
        <b/>
        <sz val="10"/>
        <color theme="1"/>
        <rFont val="Times New Roman"/>
        <family val="1"/>
      </rPr>
      <t>06.11.2018-Week Three priority (06/11/18).</t>
    </r>
    <r>
      <rPr>
        <sz val="10"/>
        <color theme="1"/>
        <rFont val="Times New Roman"/>
        <family val="1"/>
      </rPr>
      <t xml:space="preserve"> Awaiting refresh quote from Adam Mirvis</t>
    </r>
  </si>
  <si>
    <t xml:space="preserve">A. I. Solutions Software </t>
  </si>
  <si>
    <t>PR184207</t>
  </si>
  <si>
    <t>PO18-05191</t>
  </si>
  <si>
    <t>Quote received 02/06/18</t>
  </si>
  <si>
    <t>PR-041159-2712</t>
  </si>
  <si>
    <t>PO18-04638</t>
  </si>
  <si>
    <t>USM Appliance, All-in-One UA - Hardware Appliance</t>
  </si>
  <si>
    <t>AlienVault</t>
  </si>
  <si>
    <t xml:space="preserve">No </t>
  </si>
  <si>
    <t>APP-L-AU-H.01</t>
  </si>
  <si>
    <t>PR-039648-2712</t>
  </si>
  <si>
    <t>PO18-03643</t>
  </si>
  <si>
    <t>USM Appliance, Standard Sensor 6x1GbE - Hardware Appliance</t>
  </si>
  <si>
    <t>APP-L-SSN6X-H.01</t>
  </si>
  <si>
    <t>USM Appliance, Professional Services (1 Unit)</t>
  </si>
  <si>
    <t>PS-APP-PS1U.01</t>
  </si>
  <si>
    <t>Training, AlienVault USM Appliance for Security Engineers (AUSE) (5 days), Public, One (1) Student</t>
  </si>
  <si>
    <t>TRN-APP-PUB-SE1S.01</t>
  </si>
  <si>
    <t>Descope: SCWA Door</t>
  </si>
  <si>
    <t>Descope from Mod 2</t>
  </si>
  <si>
    <t>Quote received 03/12/18</t>
  </si>
  <si>
    <t>LEGS FOR 30"D WORK SURFACE</t>
  </si>
  <si>
    <t>Winsted Consoles</t>
  </si>
  <si>
    <t>PR-039862-2712</t>
  </si>
  <si>
    <t>PO18-03940</t>
  </si>
  <si>
    <t>Week Two Priority (06/04/18)</t>
  </si>
  <si>
    <t>MODESTY PANEL FOR SIDE DESK</t>
  </si>
  <si>
    <t>(B)LAMINATE W/SAFEGUARD WS</t>
  </si>
  <si>
    <t>S48584</t>
  </si>
  <si>
    <t>(C)LAMINATE W/SAFEGUARD WS</t>
  </si>
  <si>
    <t>(D)LAMINATE W/SAFEGAURD WS</t>
  </si>
  <si>
    <t>3/4" VERSA TRACK FOR 60" TOP</t>
  </si>
  <si>
    <t>ARTICULATING LCD MOUNT 15"H</t>
  </si>
  <si>
    <t>W6491</t>
  </si>
  <si>
    <t>PULLOUT SWIVEL CPU HOLDER</t>
  </si>
  <si>
    <t>MODESTY PANEL FOR 48" DESK</t>
  </si>
  <si>
    <t>(E)LAMINATE W/SAFEGUARD WS</t>
  </si>
  <si>
    <t>S48580</t>
  </si>
  <si>
    <t>(F)LAMINATE W/SAFEGUARD WS</t>
  </si>
  <si>
    <t>3/4" VERSA TRACK FOR 48" TOP</t>
  </si>
  <si>
    <t>28.5"H MOUNTING POST</t>
  </si>
  <si>
    <t>CUSTOM PARTITION</t>
  </si>
  <si>
    <t>S64711</t>
  </si>
  <si>
    <t>MODESTY PANEL FOR 72" DESK</t>
  </si>
  <si>
    <t>(G)LAMINATE W/SAFEGAUARD WS</t>
  </si>
  <si>
    <t>S48582</t>
  </si>
  <si>
    <t>3/4" VERSA TRACK FOR 72" TOP</t>
  </si>
  <si>
    <t>24/7 HIGH BACK CHAIR, BLACK</t>
  </si>
  <si>
    <t>FREIGHT/HANDLING/INSURANCE CHG</t>
  </si>
  <si>
    <t>ONSITE ASSEMBLY</t>
  </si>
  <si>
    <t>Quote received 03/06/18</t>
  </si>
  <si>
    <t>SS-16D DOD High Security Paper &amp; CD Shredder w/ Auto Oiler</t>
  </si>
  <si>
    <t>Capital Shredder</t>
  </si>
  <si>
    <t>PR-039876-2712</t>
  </si>
  <si>
    <t>PO18-03806</t>
  </si>
  <si>
    <t xml:space="preserve">Shipping </t>
  </si>
  <si>
    <t>Type F - Rackmount 2U (L/R/VoIP) w/KPS</t>
  </si>
  <si>
    <t>Frequentis</t>
  </si>
  <si>
    <t>30-1002200</t>
  </si>
  <si>
    <t>PR-039878-2712</t>
  </si>
  <si>
    <t>PO18-04700</t>
  </si>
  <si>
    <t>Maintenance for 1st year</t>
  </si>
  <si>
    <t>Handset 02.00 (PTT/PJ7)</t>
  </si>
  <si>
    <t>70-0000626</t>
  </si>
  <si>
    <t xml:space="preserve">This quote is not an official quote. I understand they do not provide this but this will not be eligible for Mod 3 submission. </t>
  </si>
  <si>
    <t>GSA Approved Class 6 - 4 Drawer - Multi Lock - Legal Size - Gray -Style 1 Kaba Mas X-10  Lock approved under FF-L-2740</t>
  </si>
  <si>
    <t>K L Security</t>
  </si>
  <si>
    <t>7110-01-563-1698</t>
  </si>
  <si>
    <t>PR-039901-2712</t>
  </si>
  <si>
    <t>PO18-03741</t>
  </si>
  <si>
    <t xml:space="preserve">Eric Blum will provide updated quote. </t>
  </si>
  <si>
    <t>US National Sectéra vIPer Universal Secure Phone Fiber</t>
  </si>
  <si>
    <t>GD Mission Systems</t>
  </si>
  <si>
    <t>VIPF1000- XAMDM</t>
  </si>
  <si>
    <t>PR-039970-2712</t>
  </si>
  <si>
    <t>PO18-03584</t>
  </si>
  <si>
    <t>Week Three Priority (06/11/18)</t>
  </si>
  <si>
    <t>DTD Fill Cable for SWT, vIPer</t>
  </si>
  <si>
    <t>1DGTDTDX01</t>
  </si>
  <si>
    <t>SW Update Cable for SWT &amp; vIPer</t>
  </si>
  <si>
    <t>VIPUPDC01</t>
  </si>
  <si>
    <t>Capable Upgrade (with PSTN Connect)</t>
  </si>
  <si>
    <t>Siemens</t>
  </si>
  <si>
    <t xml:space="preserve">L30250F0600C164 </t>
  </si>
  <si>
    <t>PR-039904-2712</t>
  </si>
  <si>
    <t>PO18-03536</t>
  </si>
  <si>
    <t>Wall-mount Time Zone Clock(Time Zone Clock, 2.3 inch (5.8cm)
Characters, 6 Digit x 8 Alpha, NTP Driven
Display)</t>
  </si>
  <si>
    <t>Master Clock, Inc.</t>
  </si>
  <si>
    <t xml:space="preserve">NTDS26-8AL </t>
  </si>
  <si>
    <t>PR-039934-2712</t>
  </si>
  <si>
    <t>PO18-03547</t>
  </si>
  <si>
    <r>
      <t xml:space="preserve">Week Two Priority (06/04/18)
</t>
    </r>
    <r>
      <rPr>
        <b/>
        <sz val="10"/>
        <rFont val="Times New Roman"/>
        <family val="1"/>
      </rPr>
      <t>06/06/18:</t>
    </r>
    <r>
      <rPr>
        <sz val="10"/>
        <rFont val="Times New Roman"/>
        <family val="1"/>
      </rPr>
      <t xml:space="preserve"> Awaiting refresh quote from vendor</t>
    </r>
  </si>
  <si>
    <t>HP Officejet Pro 7740 AIO color</t>
  </si>
  <si>
    <t>CDWG</t>
  </si>
  <si>
    <t>PR-040124-2712</t>
  </si>
  <si>
    <t>PO18-03889</t>
  </si>
  <si>
    <t>Quartet Infinity whiteboard</t>
  </si>
  <si>
    <t>PR-040367-2712</t>
  </si>
  <si>
    <t>PO18-03956</t>
  </si>
  <si>
    <t>Logitech MK200 USB Wired Keyboard &amp; Mouse Set</t>
  </si>
  <si>
    <t>Bolted Workbench, ESD Laminate, 24" Depth, 30" to 34.75" Height, 60" Width, 1600 lb. Load Capacity</t>
  </si>
  <si>
    <t>Grainger</t>
  </si>
  <si>
    <t xml:space="preserve">16Y089 </t>
  </si>
  <si>
    <t>PR-040122-2712</t>
  </si>
  <si>
    <t>PO18-03773</t>
  </si>
  <si>
    <t>HON® Metal Bookcase - Two-Shelf - 34-1/2w x 12-5/8d x29h - Putty</t>
  </si>
  <si>
    <t>HON</t>
  </si>
  <si>
    <t>PR-040116-2712</t>
  </si>
  <si>
    <t>PO18-03743</t>
  </si>
  <si>
    <t xml:space="preserve">StarTech.com DisplayPort to VGA Adapter with Audio </t>
  </si>
  <si>
    <t>CDW-G</t>
  </si>
  <si>
    <t xml:space="preserve">Tripp Lite Displayport Monitor Cable with Latches Digital A/V 4K M/M 6ft </t>
  </si>
  <si>
    <t>StarTech.com DisplayPort to DVI Video Adapter Converter</t>
  </si>
  <si>
    <t xml:space="preserve">Tripp Lite 6ft DisplayPort to HDMI Adapter Cable Video / Audio Cable DP M/M </t>
  </si>
  <si>
    <t xml:space="preserve">StarTech.com 6 ft Mini DisplayPort to DisplayPort 1.2 Cable - 4k - 6ft </t>
  </si>
  <si>
    <t xml:space="preserve">Black Box 48 Port Serial over IP Gigabit Console Server, Cisco Compatible </t>
  </si>
  <si>
    <t xml:space="preserve">Cisco Four-Point Rack Mounting Kit - rack mounting kit </t>
  </si>
  <si>
    <t>Brother TZe2312PK - laminated tape - 2 roll(s)</t>
  </si>
  <si>
    <t>LG 65UH5C-B UH5C Series - 65" LED display</t>
  </si>
  <si>
    <t>Tripp Lite Heavy Duty Computer Power Cord 15A 14AWG C14 to C15 Blue 6' 6ft</t>
  </si>
  <si>
    <t>Tripp Lite Heavy Duty Computer Power Extension Cord 15A 14AWG C14 C15 10'</t>
  </si>
  <si>
    <t>Tripp Lite Heavy Duty Computer Power Cord 15A 14AWG C14 to C15 Red 6' 6ft</t>
  </si>
  <si>
    <t>Cisco 1100W Hot Plug/Redundant PowerSupply for Catalyst 3850-48F-E</t>
  </si>
  <si>
    <t>Cisco 4-Port Expansion Module for Catalyst 3850-24</t>
  </si>
  <si>
    <t>Cisco 350W Hot Plug/ Redundant Power Supply for Catalyst 3850-24T-E</t>
  </si>
  <si>
    <t xml:space="preserve">PowerEdge R230 Server </t>
  </si>
  <si>
    <t>210-AEXB</t>
  </si>
  <si>
    <t>PR-039684-2712</t>
  </si>
  <si>
    <t>PO18-03409</t>
  </si>
  <si>
    <t>1 Ft Cat 6E Plenum Custom Patch Cable (568B Straight Thru , Blue, No Label, Booted)</t>
  </si>
  <si>
    <t>C6PLEN- 01-STD-BLU-B</t>
  </si>
  <si>
    <t>PR-040507-2712</t>
  </si>
  <si>
    <t>PO18-04526</t>
  </si>
  <si>
    <t>4 meter LC to SC, 50/125 OM3, 10 GIG Multimode Duplex Patch Cable - Plenum Rated - USA CustomLine by QuickTreX® (Aqua (Std.))</t>
  </si>
  <si>
    <t>FA-DLC-DSC-M- 04-10GIG-AQ</t>
  </si>
  <si>
    <t>9 meter LC to SC, 50/125 OM3, 10 GIG Multimode Duplex Patch Cable - Plenum Rated - USA CustomLine by QuickTreX® (Aqua (Std.))</t>
  </si>
  <si>
    <t xml:space="preserve"> FA-DLC-DSC-M- 09-10GIG-AQ</t>
  </si>
  <si>
    <t>20 meter LC to SC, 50/125 OM3, 10 GIG Multimode Duplex Patch Cable - Plenum Rated - USA CustomLine by QuickTreX® (Aqua (Std.))</t>
  </si>
  <si>
    <t>FA-DLC-DSC-M- 20-10GIG-AQ</t>
  </si>
  <si>
    <t>1 meter LC to LC, 50/125 OM3, 10 GIG Multimode Duplex Patch Cable - Plenum Rated - USA CustomLine by QuickTreX® (Aqua (Std.))</t>
  </si>
  <si>
    <t>FA-DLC-DLC-M- 01-10GIG-AQ</t>
  </si>
  <si>
    <t>4 meter LC to LC, 50/125 OM3, 10 GIG Multimode Duplex Patch Cable - Plenum Rated - USA CustomLine by QuickTreX® (Aqua (Std.))</t>
  </si>
  <si>
    <t>FA-DLC-DLC-M- 04-10GIG-AQ</t>
  </si>
  <si>
    <t>9 meter LC to LC, 50/125 OM3, 10 GIG Multimode Duplex Patch Cable - Plenum Rated - USA CustomLine by QuickTreX® (Aqua (Std.))</t>
  </si>
  <si>
    <t>FA-DLC-DLC-M- 09-10GIG-AQ</t>
  </si>
  <si>
    <t>20 meter LC to LC, 50/125 OM3, 10 GIG Multimode Duplex Patch Cable - Plenum Rated - USA CustomLine by QuickTreX® (Aqua (Std.))</t>
  </si>
  <si>
    <t>FA-DLC-DLC-M- 20-10GIG-AQ</t>
  </si>
  <si>
    <t>2 Strand CustomLine Indoor (Plenum) 10-GIG 50/125 OM3 Multimode "Fiber Whips" Assembly (LC to LC, Pulling Eye Both Ends, 100 Foot (30.48 Meters))</t>
  </si>
  <si>
    <t>PRO-769- M10G-DP- 2-L-2P-100</t>
  </si>
  <si>
    <t>2 Strand CustomLine Indoor (Plenum) 10-GIG 50/125 OM3
Multimode "Fiber Whips" Assembly (SC to LC (SC lead end), Pulling
Eye Both Ends, 100 Foot (30.48 Meters))</t>
  </si>
  <si>
    <t>PRO-769-
M10G-DP-2-SC-LC-
2P-100</t>
  </si>
  <si>
    <t>9 meter LC to SC, 9/125, Singlemode Duplex Patch Cable - Plenum Rated - USA CustomLine by QuickTreX® (Yellow, UPC - LC side , UPC - SC side)</t>
  </si>
  <si>
    <t>FA-DLC-DSC-S- 09-YL-U/LC-U/SC</t>
  </si>
  <si>
    <t>1 meter LC to SC, 9/125, Singlemode Duplex Patch Cable - Plenum Rated - USA CustomLine by QuickTreX® (Yellow, UPC - LC side , UPC - SC side)</t>
  </si>
  <si>
    <t>FA-DLC-DSC-S- 01-YL-U/LC-U/SC</t>
  </si>
  <si>
    <t>4 meter LC to SC, 9/125, Singlemode Duplex Patch Cable - Plenum Rated - USA CustomLine by QuickTreX® (Yellow, UPC - LC side , UPC - SC side)</t>
  </si>
  <si>
    <t>FA-DLC-DSC-S- 04-YL-U/LC-U/SC</t>
  </si>
  <si>
    <t>20 meter LC to SC, 9/125, Singlemode Duplex Patch Cable - Plenum Rated - USA CustomLine by QuickTreX® (Yellow, UPC - LC side , UPC - SC side)</t>
  </si>
  <si>
    <t>FA-DLC-DSC-S- 20-YL-U/LC-U/SC</t>
  </si>
  <si>
    <t>1 meter LC to LC, 9/125, Singlemode Duplex Patch Cable - Plenum Rated - USA CustomLine by QuickTreX® (Yellow, UPC )</t>
  </si>
  <si>
    <t>FA-DLC-DLC-S- 01-YL-U</t>
  </si>
  <si>
    <t>4 meter LC to LC, 9/125, Singlemode Duplex Patch Cable - Plenum Rated - USA CustomLine by QuickTreX® (Yellow, UPC )</t>
  </si>
  <si>
    <t>FA-DLC-DLC-S- 04-YL-U</t>
  </si>
  <si>
    <t>9 meter LC to LC, 9/125, Singlemode Duplex Patch Cable - Plenum Rated - USA CustomLine by QuickTreX® (Yellow, UPC )</t>
  </si>
  <si>
    <t>FA-DLC-DLC-S- 09-YL-U</t>
  </si>
  <si>
    <t>20 meter LC to LC, 9/125, Singlemode Duplex Patch Cable - Plenum Rated - USA CustomLine by QuickTreX® (Yellow, UPC )</t>
  </si>
  <si>
    <t>FA-DLC-DLC-S- 20-YL-U</t>
  </si>
  <si>
    <t>2 Strand CustomLine Indoor (Plenum) Singlemode "Fiber Whips" Assembly (LC to SC (LC lead end of reel), Pulling Eye Both Ends, 100 Foot (30.48 Meters))</t>
  </si>
  <si>
    <t>PRO-769-S-DP-2- LC-SC-2P-100</t>
  </si>
  <si>
    <t>2 Strand CustomLine Indoor (Plenum) Singlemode "Fiber Whips" Assembly (LC to LC, Pulling Eye Both Ends, 100 Foot (30.48 Meters))</t>
  </si>
  <si>
    <t>PRO-769-S-DP-2- L-2P-100</t>
  </si>
  <si>
    <t>1 meter LC to SC, 50/125 OM3, 10 GIG Multimode Duplex Patch Cable - Plenum Rated - USA CustomLine by QuickTreX® (Aqua (Std.))</t>
  </si>
  <si>
    <t>FA-DLC-DSC-M- 01-10GIG-AQ</t>
  </si>
  <si>
    <t>SC Duplex Mating Sleeve – Zirconia</t>
  </si>
  <si>
    <t>15-08-S1-1</t>
  </si>
  <si>
    <t>50 Ft Cat 6E Plenum Custom Patch Cable (568B Straight Thru , White, No Label, Booted)</t>
  </si>
  <si>
    <t>C6PLEN- 50-STD-WH-B</t>
  </si>
  <si>
    <t>3 Ft Cat 6E Plenum Custom Patch Cable (568B Straight Thru , White, No Label, Booted)</t>
  </si>
  <si>
    <t>C6PLEN- 03-STD-WH-B</t>
  </si>
  <si>
    <t>50 Ft Cat 6E Plenum Custom Patch Cable (568B Straight Thru , Blue, No Label, Non-Booted)</t>
  </si>
  <si>
    <t>C6PLEN-50-STDBLU-NB</t>
  </si>
  <si>
    <t>3 Ft Cat 6E Plenum Custom Patch Cable (568B Straight Thru , Blue, No Label, Booted)</t>
  </si>
  <si>
    <t>C6PLEN- 03-STD-BLU-B</t>
  </si>
  <si>
    <t>25 Ft Cat 6E Plenum Custom Patch Cable (568B Straight Thru , White, No Label, Booted)</t>
  </si>
  <si>
    <t>C6PLEN- 25-STD-WH-B</t>
  </si>
  <si>
    <t>10 Ft Cat 6E Plenum Custom Patch Cable (568B Straight Thru , Blue,No Label, Booted)</t>
  </si>
  <si>
    <t>C6PLEN- 10-STD-BLU-B</t>
  </si>
  <si>
    <t>25 Ft Cat 6E Plenum Custom Patch Cable (568B Straight Thru , Blue,No Label, Booted)</t>
  </si>
  <si>
    <t>C6PLEN-25-STD-BLU-B</t>
  </si>
  <si>
    <t>10 Ft Cat 6E Plenum Custom Patch Cable (568B Straight Thru ,White, No Label, Booted)</t>
  </si>
  <si>
    <t>C6PLEN- 10-STD-WH-B</t>
  </si>
  <si>
    <t>15 Ft Cat 6E Plenum Custom Patch Cable (568B Straight Thru ,White, No Label, Booted)</t>
  </si>
  <si>
    <t>C6PLEN-15-STD-WH-B</t>
  </si>
  <si>
    <t>1 Ft Cat 6E Plenum Custom Patch Cable (568B Straight Thru , White,No Label, Booted)</t>
  </si>
  <si>
    <t>C6PLEN-01-STD-WH-B</t>
  </si>
  <si>
    <t>15 Ft Cat 6E Plenum Custom Patch Cable (568B Straight Thru , Blue,No Label, Booted)</t>
  </si>
  <si>
    <t>C6PLEN-15-STD-BLU-B</t>
  </si>
  <si>
    <t xml:space="preserve">Vmware </t>
  </si>
  <si>
    <t>Vmware</t>
  </si>
  <si>
    <t>PR184093</t>
  </si>
  <si>
    <t>PO18-05032</t>
  </si>
  <si>
    <t>PR184091</t>
  </si>
  <si>
    <t>Brother P-Touch PT-D210 - labelmaker -monochrome - thermal transfer</t>
  </si>
  <si>
    <t>19x4 Crossbar Terminated RF Switch</t>
  </si>
  <si>
    <t>Splitter, L-Band</t>
  </si>
  <si>
    <t>Quote Number: 018035</t>
  </si>
  <si>
    <t>Splitter, S-Band</t>
  </si>
  <si>
    <t>Splitter, IF</t>
  </si>
  <si>
    <t>Quote # 135798</t>
  </si>
  <si>
    <t>S1 Antenna, S-Band Spectrum Analyzer</t>
  </si>
  <si>
    <t>Tevet</t>
  </si>
  <si>
    <r>
      <rPr>
        <b/>
        <sz val="10"/>
        <rFont val="Times New Roman"/>
        <family val="1"/>
      </rPr>
      <t xml:space="preserve">06/18/18: </t>
    </r>
    <r>
      <rPr>
        <sz val="10"/>
        <rFont val="Times New Roman"/>
        <family val="1"/>
      </rPr>
      <t xml:space="preserve">Check with Zwick on this if we will purchase now or later since this is S1 and S1 was deferred at one point in time. </t>
    </r>
  </si>
  <si>
    <t>Internet Quote</t>
  </si>
  <si>
    <t>Circuit Breaker</t>
  </si>
  <si>
    <t>Westinghouse</t>
  </si>
  <si>
    <t xml:space="preserve">EB3045-R </t>
  </si>
  <si>
    <t>Quote # Y18-1005DB</t>
  </si>
  <si>
    <t>New Cutler Hammer QBHW3045H molded case circuit breaker</t>
  </si>
  <si>
    <t>MIDWEST Switchgear Group</t>
  </si>
  <si>
    <t>QBHW3045H</t>
  </si>
  <si>
    <t>Quote: LNMQ9707-03</t>
  </si>
  <si>
    <t>S-Band Range Zero Set (RZS)</t>
  </si>
  <si>
    <t>Narda-Miteq</t>
  </si>
  <si>
    <t>ACU OS Upgrade</t>
  </si>
  <si>
    <t>Viasat</t>
  </si>
  <si>
    <t>Windows 7</t>
  </si>
  <si>
    <t>S1 Antenna, S-Band ACU OS Upgrade Site Install Support &amp; Testing</t>
  </si>
  <si>
    <t>QUOTE 16426</t>
  </si>
  <si>
    <t>S-Band Diplexer</t>
  </si>
  <si>
    <t>2742-0000</t>
  </si>
  <si>
    <t>S1 Antenna, S-Band LNA</t>
  </si>
  <si>
    <t>Quote # O6UJ9A0014Q0</t>
  </si>
  <si>
    <t>TDRS/STPSat Mission Select Switch</t>
  </si>
  <si>
    <t>Dowkey</t>
  </si>
  <si>
    <t xml:space="preserve">Waiting on the decision with Diplexer first. </t>
  </si>
  <si>
    <t>S1 RF Monitoring Switch Cables</t>
  </si>
  <si>
    <t>Select Switch, L/S-Band, 16 in, 8 out</t>
  </si>
  <si>
    <t>S1 Antenna, S-Band Waveguide Seals/Gaskets</t>
  </si>
  <si>
    <t>STGT, Hi Rate Modem Interface IF Splitter, 1 to 2</t>
  </si>
  <si>
    <t>STGT, Ka-Band Antenna Interface Splitter, L-Band, 1 to 2</t>
  </si>
  <si>
    <t>STGT, Lo Rate Modem Interface S-Band Splitter, 1 to 2</t>
  </si>
  <si>
    <t>STGT, S-Band Antenna Interface Splitter, S-Band, 1 to 2</t>
  </si>
  <si>
    <t>Environmental Distribution Center</t>
  </si>
  <si>
    <t>EDC-12P-NH</t>
  </si>
  <si>
    <t>Splice Trays</t>
  </si>
  <si>
    <t>M67-048</t>
  </si>
  <si>
    <t>PR1910841</t>
  </si>
  <si>
    <t>PO18-07773</t>
  </si>
  <si>
    <t>Newly added 01/07/19</t>
  </si>
  <si>
    <t xml:space="preserve">GDS-OFFICE-SUPPLIES </t>
  </si>
  <si>
    <t>PR188574</t>
  </si>
  <si>
    <t>PO18-06779</t>
  </si>
  <si>
    <t>Closet Connector Housing (CCH) Adapter Panels - LC/APC Connectors (6 LC Duplex)</t>
  </si>
  <si>
    <t>Fiber Optic Supply</t>
  </si>
  <si>
    <t>CCH10002</t>
  </si>
  <si>
    <t>PR1910843</t>
  </si>
  <si>
    <t>PO-0000007</t>
  </si>
  <si>
    <t>Newly added 01/15/19</t>
  </si>
  <si>
    <t xml:space="preserve">	PE2CP1102</t>
  </si>
  <si>
    <t>Pasternack</t>
  </si>
  <si>
    <t xml:space="preserve">PR1910825 </t>
  </si>
  <si>
    <t>PO-0000015</t>
  </si>
  <si>
    <t>RFDC5M2G10</t>
  </si>
  <si>
    <t>RFLamda</t>
  </si>
  <si>
    <t>PR1910834</t>
  </si>
  <si>
    <t>PO-0000026</t>
  </si>
  <si>
    <t>LC/APC splice on pig tails</t>
  </si>
  <si>
    <t>PR1910840</t>
  </si>
  <si>
    <t>PO18-07774</t>
  </si>
  <si>
    <t>LC/APC Cheetah Splice on Connectors</t>
  </si>
  <si>
    <t>F1LCAPCSOC10</t>
  </si>
  <si>
    <t>FIS 2RU Rack Mount Fiber enclosure</t>
  </si>
  <si>
    <t>F1RM2RU6XL</t>
  </si>
  <si>
    <t>LC Quad 3-pack APC Single Mode loaded</t>
  </si>
  <si>
    <t>Fusion Splice Sleves 40mm length</t>
  </si>
  <si>
    <t>F1S2540C50</t>
  </si>
  <si>
    <t>FC/APC to LC/APC patch cables 1m</t>
  </si>
  <si>
    <t>Y9YALAS1FISCU</t>
  </si>
  <si>
    <t>EzEntry 4mini/4</t>
  </si>
  <si>
    <t>Excel Automation LLC</t>
  </si>
  <si>
    <t>EZEntry4mini/4</t>
  </si>
  <si>
    <t>PR1910844</t>
  </si>
  <si>
    <t>PO-0000118</t>
  </si>
  <si>
    <t>Roxtec Lube</t>
  </si>
  <si>
    <t>LC/UPC to LC/APC  (270') (2 stranded) (MOVE from CDCN to ViaSat Rack)</t>
  </si>
  <si>
    <t>LANshack</t>
  </si>
  <si>
    <t>QT-MA-I-S-2-LCU-LCA-2P-270</t>
  </si>
  <si>
    <t>PR1910839</t>
  </si>
  <si>
    <t>PO18-07799</t>
  </si>
  <si>
    <t>LC/APC to ST/UPC outdoor rated(~230')(MOVE system to Hub)(pair)</t>
  </si>
  <si>
    <t>QT-MA-IO-S-2-STU-LCA-2P-230</t>
  </si>
  <si>
    <t>LC/APC to LC/UPC outdoor rated (~230' feet long) (Timing to Hub)(two pairs)</t>
  </si>
  <si>
    <t>QT-MA-IO-S-2-LCU-LCA-1P-230</t>
  </si>
  <si>
    <t>2 meter FC to LC Singlemode Duplex Patch Cables</t>
  </si>
  <si>
    <t>FA-DFC-DLC-S-02-FCA-LCA-YW</t>
  </si>
  <si>
    <t>Connectors</t>
  </si>
  <si>
    <t>Online Components</t>
  </si>
  <si>
    <t>PR1911175</t>
  </si>
  <si>
    <t>PO-0000310</t>
  </si>
  <si>
    <t>Requested a refresh quote 01-15-19</t>
  </si>
  <si>
    <t>SM, 120 ft, 12x Fiber, MTP-F to 12 x LC/APC, Indoor / Outdoor, Riser, w/ 12 in X 2mm Fanout,
Pull Eye (both ends), on Reel</t>
  </si>
  <si>
    <t>Microwave Photonic Systems</t>
  </si>
  <si>
    <t>1600-37-12-4-IOR-MTF-1-R-5A-.3-K</t>
  </si>
  <si>
    <t>PR1911171</t>
  </si>
  <si>
    <t>PO-0000062</t>
  </si>
  <si>
    <t>Linda will get refresh quote</t>
  </si>
  <si>
    <t>Duplex</t>
  </si>
  <si>
    <t>Patch Cable</t>
  </si>
  <si>
    <t>CustomLine</t>
  </si>
  <si>
    <t>This is a duplicate line item. We will keep for the purposes of budget. We only need one spare not quantity four</t>
  </si>
  <si>
    <t>(FC APC,</t>
  </si>
  <si>
    <t>LC APC,</t>
  </si>
  <si>
    <t>Quote No: SMV-0818-32979 - 0</t>
  </si>
  <si>
    <t>Yellow</t>
  </si>
  <si>
    <t>GD</t>
  </si>
  <si>
    <t xml:space="preserve"> LSC2S45</t>
  </si>
  <si>
    <t>(Standard))</t>
  </si>
  <si>
    <t>LRS1CxxXXXxxxx</t>
  </si>
  <si>
    <t>LNA S-Band 1:1 System Option C: Input Coax Coupler, -30dB</t>
  </si>
  <si>
    <t>LNA S-Band 1:1 System Option D: Output Coax Coupler, -20dB</t>
  </si>
  <si>
    <t>LRS1xxxxxxxDxx</t>
  </si>
  <si>
    <t>LNA S-Band 1:1 System Option E: Offline I/O Port, terminated, with isolator</t>
  </si>
  <si>
    <t>LRS1xxxxxxxxEx</t>
  </si>
  <si>
    <t>200 feet of cable (for LNAs)</t>
  </si>
  <si>
    <t>ACAB-10899A200</t>
  </si>
  <si>
    <t>Clients (Optiplex 5050 SFF)</t>
  </si>
  <si>
    <t>s012o5050sffusr</t>
  </si>
  <si>
    <t>PR1911715 </t>
  </si>
  <si>
    <t>PO-0001063</t>
  </si>
  <si>
    <t>08/16/18: For Omitron</t>
  </si>
  <si>
    <t>Dell 24 Monitor - P2417H</t>
  </si>
  <si>
    <t>p2417hsap</t>
  </si>
  <si>
    <t xml:space="preserve">PR1911715 </t>
  </si>
  <si>
    <t>Newly added 04/03/19</t>
  </si>
  <si>
    <t>Windows 10 Pro Download</t>
  </si>
  <si>
    <t>PR1912799</t>
  </si>
  <si>
    <t>PO-0000867</t>
  </si>
  <si>
    <t>Newly added 02/27/19</t>
  </si>
  <si>
    <t xml:space="preserve">LTO5-140 Tape label 1-200 Customer Kit	</t>
  </si>
  <si>
    <t>PR1912798</t>
  </si>
  <si>
    <t>PO-0000866</t>
  </si>
  <si>
    <t>Newly added 02/07/19</t>
  </si>
  <si>
    <t>PV-WAVE Foundation Standard Platform Deployment Standard Maintenance and Support
LIC-201404016857</t>
  </si>
  <si>
    <t>PV-WAVE</t>
  </si>
  <si>
    <t>PR1911824</t>
  </si>
  <si>
    <t>PO-0000366</t>
  </si>
  <si>
    <t>PV-WAVE Foundation Standard Platform Deployment Standard Maintenance and Support
LIC-201404191240</t>
  </si>
  <si>
    <t>Order complete</t>
  </si>
  <si>
    <t>Newly added 11/15/18</t>
  </si>
  <si>
    <t>PR188409</t>
  </si>
  <si>
    <t>PO18-06890</t>
  </si>
  <si>
    <t>P/N: 560003M GSA FreeFlyer Mission Node-Locked Maintenance	
P/N: MRDN03M Meridian Software Maintenance</t>
  </si>
  <si>
    <t>PR1912925</t>
  </si>
  <si>
    <t>PO-0001274</t>
  </si>
  <si>
    <t>PR188442</t>
  </si>
  <si>
    <t xml:space="preserve">
PO18-06756</t>
  </si>
  <si>
    <t>Newly added 12/13/18</t>
  </si>
  <si>
    <t>Renewal Red Hat Enterprise Linux</t>
  </si>
  <si>
    <t xml:space="preserve">Carasoft </t>
  </si>
  <si>
    <t>PR188725</t>
  </si>
  <si>
    <t>PO18-06947</t>
  </si>
  <si>
    <t>Newly added 12/19/18</t>
  </si>
  <si>
    <t>6Gb Mini-SAS HD to Mini-SAS cable, 2M, Customer Kit</t>
  </si>
  <si>
    <t>PR1910268</t>
  </si>
  <si>
    <t>PO18-07610</t>
  </si>
  <si>
    <t>VERITAS Backup Exec Server Edition - On-Premise competitive upgrade license + 1 Year Essential Support - 1 server - corporate - CLP - Win</t>
  </si>
  <si>
    <t>LINKSOURCEIT</t>
  </si>
  <si>
    <t>PR1910270</t>
  </si>
  <si>
    <t>PO-0000054</t>
  </si>
  <si>
    <t>Fileservers (Snapserver)</t>
  </si>
  <si>
    <t>PR1911720</t>
  </si>
  <si>
    <t>PO-0000572</t>
  </si>
  <si>
    <t xml:space="preserve">PR1911722 </t>
  </si>
  <si>
    <t>PO-0000786</t>
  </si>
  <si>
    <r>
      <rPr>
        <b/>
        <sz val="10"/>
        <rFont val="Times New Roman"/>
        <family val="1"/>
      </rPr>
      <t>02/06/18:</t>
    </r>
    <r>
      <rPr>
        <sz val="10"/>
        <rFont val="Times New Roman"/>
        <family val="1"/>
      </rPr>
      <t xml:space="preserve"> For Pete Gaffney</t>
    </r>
  </si>
  <si>
    <t xml:space="preserve">ETHERNET BRACE, CHASSIS, POWER AMP (REV C), ADAPTER, STRAIGHT SMA FEMALE/F </t>
  </si>
  <si>
    <t>PR186910</t>
  </si>
  <si>
    <t>PO18-06062</t>
  </si>
  <si>
    <t>Newly added 12/27/18</t>
  </si>
  <si>
    <t>P/N: RH00004RN Renewal Red Hat Enterprise Linux Server</t>
  </si>
  <si>
    <t>PR189486</t>
  </si>
  <si>
    <t>PO18-07301</t>
  </si>
  <si>
    <t>Dell 24 Monitor - E2417H</t>
  </si>
  <si>
    <t xml:space="preserve"> E2417H</t>
  </si>
  <si>
    <t>Status: Buyer Assigned</t>
  </si>
  <si>
    <t xml:space="preserve">
01/30/18: Already purchased on line 30: Duplicates</t>
  </si>
  <si>
    <t>PR1910560</t>
  </si>
  <si>
    <t>PO18-07823</t>
  </si>
  <si>
    <t>01/30/18: Already purchased on line 31: Duplicates</t>
  </si>
  <si>
    <t>Dell ProSupport Ent. Svc.</t>
  </si>
  <si>
    <r>
      <rPr>
        <b/>
        <sz val="10"/>
        <rFont val="Times New Roman"/>
        <family val="1"/>
      </rPr>
      <t>06/18/18:</t>
    </r>
    <r>
      <rPr>
        <sz val="10"/>
        <rFont val="Times New Roman"/>
        <family val="1"/>
      </rPr>
      <t xml:space="preserve"> For OMITRON</t>
    </r>
  </si>
  <si>
    <t>Spare RAM (VM host)</t>
  </si>
  <si>
    <t>Spare SD module (VM host)</t>
  </si>
  <si>
    <t>Spare fan (VM host)</t>
  </si>
  <si>
    <t>Spare drives (VM host)</t>
  </si>
  <si>
    <t>Spare SD card (VM host)</t>
  </si>
  <si>
    <t>Spare drives (SAN)</t>
  </si>
  <si>
    <t>Spare RAM (SCWA)</t>
  </si>
  <si>
    <t>Spare fan (SCWA)</t>
  </si>
  <si>
    <t>Spare drives (SCWA)</t>
  </si>
  <si>
    <t>Switches (SSOC)</t>
  </si>
  <si>
    <t>Monitors (24")</t>
  </si>
  <si>
    <t>Dell 730 Server</t>
  </si>
  <si>
    <t>Dell R440 Server</t>
  </si>
  <si>
    <t>Spare drives (fileservers)</t>
  </si>
  <si>
    <t>Overland</t>
  </si>
  <si>
    <t>Quote# KCMV910</t>
  </si>
  <si>
    <t>Computer Monitor</t>
  </si>
  <si>
    <t>PR187622</t>
  </si>
  <si>
    <t>PO18-06661</t>
  </si>
  <si>
    <t>Keyboard</t>
  </si>
  <si>
    <t>JK-A0100EU-2</t>
  </si>
  <si>
    <t>Mouse</t>
  </si>
  <si>
    <t>JM-0600-2</t>
  </si>
  <si>
    <t>PO18-06601</t>
  </si>
  <si>
    <t>48" x 96" White Board</t>
  </si>
  <si>
    <t>Cisco 1100W Hot Plug/Redundant Power Supply for Cisco 3850-12X48U</t>
  </si>
  <si>
    <t>Cisco Catalyst 2960X-24TS-L - switch - 24 ports - managed - rack-mountable</t>
  </si>
  <si>
    <t>Firewall - Cisco ASA 5525-X Firewall Edition Security Applicance</t>
  </si>
  <si>
    <t>Firewall - Cisco ASA 5525-X Interface Card Expansion Module</t>
  </si>
  <si>
    <t>Do not order</t>
  </si>
  <si>
    <t>Black Box 48 Port Serial over IP Gigabit Console Server, Cisco</t>
  </si>
  <si>
    <t>Ethernet Protector</t>
  </si>
  <si>
    <t>ShoreMicro</t>
  </si>
  <si>
    <t>SM-2501CA</t>
  </si>
  <si>
    <t>LG 65UH5C-B UH5C Series - 65" LED display - Cisco Certified</t>
  </si>
  <si>
    <t>65UH5C-B</t>
  </si>
  <si>
    <t>Kramer VS-161H 16x1 HDMI Matrix Switcher - video/audio
switch - rack-mounta</t>
  </si>
  <si>
    <t>VS-161H</t>
  </si>
  <si>
    <t>HON Volt 5700 Series H5701 - chair</t>
  </si>
  <si>
    <t>5701GA10T</t>
  </si>
  <si>
    <t>Polycom VoiceStation 300 Conference Room</t>
  </si>
  <si>
    <t>2200-17910-001</t>
  </si>
  <si>
    <t>Newly added 03/28/19</t>
  </si>
  <si>
    <t>Windows Server 2016 Standard &amp; Microsoft SQL Server 2017 Standard</t>
  </si>
  <si>
    <t>PCMG, Inc.</t>
  </si>
  <si>
    <t>PR199877</t>
  </si>
  <si>
    <t>PO18-07367</t>
  </si>
  <si>
    <t>Internet Quote
Request to place order 01/30/19</t>
  </si>
  <si>
    <t>Lavex Janitorial 7 Gallon Beige Wastebasket</t>
  </si>
  <si>
    <t>WebstaurantStore</t>
  </si>
  <si>
    <t>475WC28BG</t>
  </si>
  <si>
    <t>PR1912025</t>
  </si>
  <si>
    <t xml:space="preserve">
PO-0000476</t>
  </si>
  <si>
    <t>Rubbermaid Slim Jim Red 8 Gallon</t>
  </si>
  <si>
    <t>6901883564RD</t>
  </si>
  <si>
    <t>ID 12025</t>
  </si>
  <si>
    <t>Lanshack Quote #126957</t>
  </si>
  <si>
    <t>2 Strand CustomLine Indoor (Plenum) Singlemode "Fiber Whips"
Assembly (LC - UPC, LC - UPC, Pulling Eye One End, 150 Foot
(45.72 Meters))
Terms: Non-cancelable, non-returnable.</t>
  </si>
  <si>
    <t>PRO-769-S-DP-2-LCU-LCU-1P-150</t>
  </si>
  <si>
    <t>PR187640</t>
  </si>
  <si>
    <t>PO18-06354</t>
  </si>
  <si>
    <t>2 Strand CustomLine Indoor (Plenum) Singlemode "Fiber Whips"
Assembly (LC - UPC, LC - APC, Pulling Eye Both Ends, 30 Foot
(9.14 Meters))
Terms: Non-cancelable, non-returnable.</t>
  </si>
  <si>
    <t>PRO-769-S-DP-2-LCU-LCA-2P-30</t>
  </si>
  <si>
    <t>2 Strand CustomLine Indoor (Plenum) 10-GIG 50/125 OM3
Multimode "Fiber Whips" Assembly (LC to LC, Pulling Eye Both
Ends, 70 Foot (21.34 Meters))
Terms: Non-cancelable, non-returnable.</t>
  </si>
  <si>
    <t>PRO-769-M10G-DP-
2-LC-2P-70</t>
  </si>
  <si>
    <t>2 Strand CustomLine Indoor (Plenum) Singlemode "Fiber Whips"
Assembly (LC - UPC, LC - APC, Pulling Eye Both Ends, 270 Foot
(82.30 Meters))
Terms: Non-cancelable, non-returnable.</t>
  </si>
  <si>
    <t>PRO-769-S-DP-2-LCU-LCA-2P-270</t>
  </si>
  <si>
    <t>2 Strand CustomLine Indoor (Plenum) Singlemode "Fiber Whips"
Assembly (LC - UPC, LC - APC, Pulling Eye Both Ends, 140 Foot
(42.67 Meters))
Terms: Non-cancelable, non-returnable.</t>
  </si>
  <si>
    <t>PRO-769-S-DP-2-LCU-LCA-2P-140</t>
  </si>
  <si>
    <t>2 Strand CustomLine Indoor (Plenum) 10-GIG 50/125 OM3
Multimode "Fiber Whips" Assembly (LC to LC, Pulling Eye Both
Ends, 280 Foot (85.34 Meters))
Terms: Non-cancelable, non-returnable.</t>
  </si>
  <si>
    <t>PRO-769-M10G-DP-2-LC-2P-280</t>
  </si>
  <si>
    <t>2 Strand CustomLine Indoor (Plenum) 10-GIG 50/125 OM3
Multimode "Fiber Whips" Assembly (LC to LC, Pulling Eye Both
Ends, 200 Foot (60.96 Meters))
Terms: Non-cancelable, non-returnable.</t>
  </si>
  <si>
    <t>PRO-769-M10G-DP-2-LC-2P-200</t>
  </si>
  <si>
    <t>QuickTreX® 24 Port Keystone Blank Patch Panel (1 RU) (24
Couplers, Add plastic Mounting Brackets (1 Pair))</t>
  </si>
  <si>
    <t>QT-48-205-X2U-24C+Bracket</t>
  </si>
  <si>
    <t>StarTech.com 6 ft HDMI to DVI-D Cable - M/M</t>
  </si>
  <si>
    <t>HDMIDVIMM6</t>
  </si>
  <si>
    <t>C2G 2m HDMI to DVI Adapter Cable  Digital DVI-D (6ft)</t>
  </si>
  <si>
    <t>StarTech.com 50 ft DisplayPort Cable with Latches - M/M</t>
  </si>
  <si>
    <t>DISPLPORT50L</t>
  </si>
  <si>
    <t>Tripp Lite 50' High Speed HDMI Cable Digital Audio Video Gold</t>
  </si>
  <si>
    <t>P568-050</t>
  </si>
  <si>
    <t>M/M 50ft</t>
  </si>
  <si>
    <t>Cisco Compatible SFP Module - CWDM 1490nm - 10Gbps</t>
  </si>
  <si>
    <t>Quote #: 268116-1-10</t>
  </si>
  <si>
    <t>Aggregation Taps</t>
  </si>
  <si>
    <t>Aggregation Taps Mounts</t>
  </si>
  <si>
    <t>Utility Table With Bottom Storage Shelf</t>
  </si>
  <si>
    <t>OfficeDepot</t>
  </si>
  <si>
    <t>101662 </t>
  </si>
  <si>
    <t>PR1912032</t>
  </si>
  <si>
    <t>PO-0000752</t>
  </si>
  <si>
    <t>Realspace Conference Table</t>
  </si>
  <si>
    <t>Quote: 12806703</t>
  </si>
  <si>
    <t>LEGS FOR 24"D WORK SURFACE</t>
  </si>
  <si>
    <t>PR188474</t>
  </si>
  <si>
    <t>PO18-07038</t>
  </si>
  <si>
    <t>(A)LAMINATE W/COMF EDGE WS</t>
  </si>
  <si>
    <t>FREIGHT/HANDLING/INSURANCE</t>
  </si>
  <si>
    <t>Telephones</t>
  </si>
  <si>
    <t>MOVE Headsets</t>
  </si>
  <si>
    <t>Quote VMA092018RG-2
Request to place order 01/30/19</t>
  </si>
  <si>
    <t>FlexTiming Option for Timing I/O Module Uprade existing S650 Units. Serial Numbers : SCA171300040, SCA171300013, SCA171300036</t>
  </si>
  <si>
    <t>920-15201-009</t>
  </si>
  <si>
    <t>PR1912335</t>
  </si>
  <si>
    <t>PO-0000593</t>
  </si>
  <si>
    <t>Red Hat Enterprise Linux Server - standard subscription</t>
  </si>
  <si>
    <t>BNC Plug Connectors</t>
  </si>
  <si>
    <t>TE Connectivity</t>
  </si>
  <si>
    <t>2-331350-9</t>
  </si>
  <si>
    <t>PR1912036</t>
  </si>
  <si>
    <t>PO-0000503</t>
  </si>
  <si>
    <t>Quote Number: 488177
Request to place order 
01/30/19</t>
  </si>
  <si>
    <t>OP-106/R/SC/13L/ME Optimux 106 with redundant power, SC fiber connectors, 1310
laser, metal enclosure</t>
  </si>
  <si>
    <t>CutterNetworks</t>
  </si>
  <si>
    <t>OP106RSC13LME</t>
  </si>
  <si>
    <t>PR1912072</t>
  </si>
  <si>
    <t>PO-0000806</t>
  </si>
  <si>
    <t>Rack Mount Kit 1/2 19", 1 device per shelf</t>
  </si>
  <si>
    <t>RM-35/P1</t>
  </si>
  <si>
    <t>Q20180919 r1</t>
  </si>
  <si>
    <t>Type D - Desktop (L/R/VoIP) w/KPS</t>
  </si>
  <si>
    <t>PR189891</t>
  </si>
  <si>
    <t>PO-0000648</t>
  </si>
  <si>
    <t>United Communications</t>
  </si>
  <si>
    <t>PR1810229</t>
  </si>
  <si>
    <t>PO18-07550</t>
  </si>
  <si>
    <t>Round Lacing Bars With 1.5 Offset, 10 Pc. Pack</t>
  </si>
  <si>
    <t>Middle Atlantic Parts/Anixter</t>
  </si>
  <si>
    <t>PR1912045</t>
  </si>
  <si>
    <t>PO-0000505</t>
  </si>
  <si>
    <t>Lacer Bar, Horizontal, Round, 4" Offset, 2 Mounting
Point, 19" Width x 4" Depth x 0.4" Height, Steel,
Black Powder Coated</t>
  </si>
  <si>
    <t>Round Lacing Bars, 10 Pc. Pack</t>
  </si>
  <si>
    <t>Quote #709
Request to place order 01/30/19</t>
  </si>
  <si>
    <t>COMSEC Uni-Shelf 1U Assembly</t>
  </si>
  <si>
    <t>Information Assurance Specialist</t>
  </si>
  <si>
    <t>PR1912055</t>
  </si>
  <si>
    <t xml:space="preserve">	
PO-0000510</t>
  </si>
  <si>
    <t>IAS Quick Release Trays - Set of 2</t>
  </si>
  <si>
    <t>Information Assurance Specialists, Inc.</t>
  </si>
  <si>
    <t>Outbound Shipping charges on product sales</t>
  </si>
  <si>
    <t>PO-0000510</t>
  </si>
  <si>
    <t xml:space="preserve">StarTech.com Flat-Screen TV Wall Mount </t>
  </si>
  <si>
    <t>Quote ITSQ33193
Request to place order 01/30/19</t>
  </si>
  <si>
    <t>1000ft T1 - 24 awg - 2 Pair - Individually Shielded -
Red Plenum Jacket - Solid Core (MOVE cables)</t>
  </si>
  <si>
    <t>Infinit Technology Solutions</t>
  </si>
  <si>
    <t>PR1912115</t>
  </si>
  <si>
    <t>Quote 1045
Request to place order 01/30/19</t>
  </si>
  <si>
    <t>111S08080054C34 - Sentinel Connector RJ45 Plug (MOVE connectors)</t>
  </si>
  <si>
    <t>RJ45S.COM</t>
  </si>
  <si>
    <t>PR1912051</t>
  </si>
  <si>
    <t>PO-0000574</t>
  </si>
  <si>
    <t>Safco Scoot Desk-Side Printer Stand - printer cart</t>
  </si>
  <si>
    <t>PR188461</t>
  </si>
  <si>
    <t>PO18-06781</t>
  </si>
  <si>
    <t>basyx by HON HVL721 - chair</t>
  </si>
  <si>
    <t>Newly added 12/12/18</t>
  </si>
  <si>
    <t>ES017 Handheld USB Wired Barcode Scanner</t>
  </si>
  <si>
    <t>Esky</t>
  </si>
  <si>
    <t>EAM Purchase</t>
  </si>
  <si>
    <t>PR189385</t>
  </si>
  <si>
    <t>PO18-07446</t>
  </si>
  <si>
    <t>P/N: D0LG3LL: IBM Control Desk Authorized User License</t>
  </si>
  <si>
    <t>PR189372</t>
  </si>
  <si>
    <t>PO18-07407</t>
  </si>
  <si>
    <t>P/N:148-500-303 DataSplice Mobile Enterprise Named User</t>
  </si>
  <si>
    <t xml:space="preserve">DataSpice Mobile </t>
  </si>
  <si>
    <t>PR189359</t>
  </si>
  <si>
    <t>PO-0000300</t>
  </si>
  <si>
    <t>PowerEdge R430 Server (210-ADLO)</t>
  </si>
  <si>
    <t xml:space="preserve">Dell Federal Systems </t>
  </si>
  <si>
    <t>PR189353</t>
  </si>
  <si>
    <t>PO18-07209</t>
  </si>
  <si>
    <t>P/N: S535 Quartet Standard Whiteboard</t>
  </si>
  <si>
    <t>CDW LLC</t>
  </si>
  <si>
    <t>PR189352</t>
  </si>
  <si>
    <t>PO18-07307</t>
  </si>
  <si>
    <t>P/N: SM538 Quartet Standard Whiteboard</t>
  </si>
  <si>
    <t>P/N L30250F0600C151 UNIFY OPENSTAGE 40T (LAVA) (NEW)</t>
  </si>
  <si>
    <t>VOIPLINK</t>
  </si>
  <si>
    <t>PR189261</t>
  </si>
  <si>
    <t>PO18-07080</t>
  </si>
  <si>
    <t>PREPAY AND ADD - Shipping</t>
  </si>
  <si>
    <t>Newly added 01/30/19</t>
  </si>
  <si>
    <t>Plantronics EncorePro HW540 - headset</t>
  </si>
  <si>
    <t>PR1912022</t>
  </si>
  <si>
    <t>PO-0000426</t>
  </si>
  <si>
    <t>Plantronics A10-16 Direct Connect headset Cable</t>
  </si>
  <si>
    <t xml:space="preserve">Alien Vault Renewal </t>
  </si>
  <si>
    <t>PR1913754 </t>
  </si>
  <si>
    <t>PO-0001290</t>
  </si>
  <si>
    <t>Analog Phone</t>
  </si>
  <si>
    <t>PR1913789</t>
  </si>
  <si>
    <t>PO-0001410</t>
  </si>
  <si>
    <t>Cat 6E 1000x, UTP, Plenum rate (CMP), Solid Cond, Cable</t>
  </si>
  <si>
    <t>ATCOM SERVICES INC</t>
  </si>
  <si>
    <t>PR1912983</t>
  </si>
  <si>
    <t>PO-0000880</t>
  </si>
  <si>
    <t>Pan Head Machine Screws</t>
  </si>
  <si>
    <t>McMaster-Carr Supply Co.</t>
  </si>
  <si>
    <t>PR1912707</t>
  </si>
  <si>
    <t>PO-0000764</t>
  </si>
  <si>
    <t>P/N: HBS304A24A</t>
  </si>
  <si>
    <t>PROVANTAGE LLC</t>
  </si>
  <si>
    <t>PR1912982</t>
  </si>
  <si>
    <t>PO-0000881</t>
  </si>
  <si>
    <t>Newly added 01/31/19</t>
  </si>
  <si>
    <t xml:space="preserve">Windows Server 2016 Standard &amp; Microsoft SQL Server 2017 Standard)
P/N: 228-11155 SQL SVR STD 2017 ENG OLP NL GOVT
P/N: 359-06596 Microsoft - SQLCAL 2017 ENG OLP NL LclGov
P/N: 9EM-00678 WinSvrSTDCore 2019 ENG OLP 2016Lic NL		</t>
  </si>
  <si>
    <t xml:space="preserve">OPTIPLEX 7060 Mini Tower XCTO (210-AOKJ)	</t>
  </si>
  <si>
    <t>PR1912813</t>
  </si>
  <si>
    <t>PO-0000948</t>
  </si>
  <si>
    <t>CONN N Plug STR50 OHM CRIMP</t>
  </si>
  <si>
    <t>DigiKey</t>
  </si>
  <si>
    <t>PR1912703</t>
  </si>
  <si>
    <t>PO-0000774</t>
  </si>
  <si>
    <t xml:space="preserve">Cable Tie, Pan Ty® Locking, Nylon 6.6 (Polyamide 6.6)	</t>
  </si>
  <si>
    <t>Newark</t>
  </si>
  <si>
    <t>PR1912699</t>
  </si>
  <si>
    <t>PO-0000766</t>
  </si>
  <si>
    <t>Newly added 02/12/19</t>
  </si>
  <si>
    <t>RF / Coaxial Connector, BNC Coaxial, Straight Plug, Crimp, 50 ohm, RG142, RG142A, RG142B, Brass</t>
  </si>
  <si>
    <t>PR1912081</t>
  </si>
  <si>
    <t>PO-0000589</t>
  </si>
  <si>
    <t>Cables</t>
  </si>
  <si>
    <t>PR1912094</t>
  </si>
  <si>
    <t>PR1912061</t>
  </si>
  <si>
    <t>Digicert</t>
  </si>
  <si>
    <t>PR1912605</t>
  </si>
  <si>
    <t>PO-0000865</t>
  </si>
  <si>
    <t>Quote No: 207958
Request to place order 01/30/19</t>
  </si>
  <si>
    <t>225 Foot Fiber,10GB Multimode Duplex Fiber OM3, LC/LC, Plenum Rated</t>
  </si>
  <si>
    <t>Cables for Less</t>
  </si>
  <si>
    <t>PR1912057</t>
  </si>
  <si>
    <t>PO-0000451</t>
  </si>
  <si>
    <t>Wall-mount Time Zone Clock</t>
  </si>
  <si>
    <t xml:space="preserve">PowerEdge R630 Server (210-ACXS) </t>
  </si>
  <si>
    <t>Q36185</t>
  </si>
  <si>
    <t>Evaluation for Rotary Joints</t>
  </si>
  <si>
    <t>Diamond Antenna &amp; Microwave Corp.</t>
  </si>
  <si>
    <t>NEMA 4X Rated Enclosure</t>
  </si>
  <si>
    <t>Hammond Mfg./Kaman Industrial technologies</t>
  </si>
  <si>
    <t>1418N4ALE10</t>
  </si>
  <si>
    <t>Connector, N Male Straight Plug</t>
  </si>
  <si>
    <t>Times Microwave/Anixter</t>
  </si>
  <si>
    <t>TC-600-NMH-X</t>
  </si>
  <si>
    <t>Cable, LMR-600</t>
  </si>
  <si>
    <t>LMR-600-DB</t>
  </si>
  <si>
    <t>Connector, N Male Right Angle</t>
  </si>
  <si>
    <t>RF Parts</t>
  </si>
  <si>
    <t>F4NR-HC</t>
  </si>
  <si>
    <t>Cold Shrink Kit, ½ - 3/8</t>
  </si>
  <si>
    <t>Cold Shrink Kit, ½ - 7/8</t>
  </si>
  <si>
    <t>Connector, Bulkhead Adapter – Jack/Jack</t>
  </si>
  <si>
    <t>Amphenol/Digi-Key</t>
  </si>
  <si>
    <t>ARF1026-ND</t>
  </si>
  <si>
    <t>Connector, Bulkhead Adapter – F/M</t>
  </si>
  <si>
    <t>ITT Cannon, LLC/Digi-Key</t>
  </si>
  <si>
    <t>TBF22-14PSB-ND</t>
  </si>
  <si>
    <t>Waveguide to Coax Adapter</t>
  </si>
  <si>
    <t>TBD</t>
  </si>
  <si>
    <t>WR430 Bulkhead Feedthru</t>
  </si>
  <si>
    <t>L3-Narda-ATM</t>
  </si>
  <si>
    <t>430-130B-2-2</t>
  </si>
  <si>
    <t>WR430 Stainless Hardware Kit</t>
  </si>
  <si>
    <t>Mega Industries</t>
  </si>
  <si>
    <t>SM Fiber Simplex Patch Cables</t>
  </si>
  <si>
    <t>Rack Mount Chassis, Aluminum</t>
  </si>
  <si>
    <t>Bud Industries</t>
  </si>
  <si>
    <t>CH-14401</t>
  </si>
  <si>
    <t>Rack Mount Chassis Lid</t>
  </si>
  <si>
    <t>C-14441</t>
  </si>
  <si>
    <t>Custom Engraved I/O Panel</t>
  </si>
  <si>
    <t>Front Panel Express</t>
  </si>
  <si>
    <t>SMA Female Bulkhead Adapter</t>
  </si>
  <si>
    <t>PE91258</t>
  </si>
  <si>
    <t>10 dB Coupler</t>
  </si>
  <si>
    <t>PE2202-10</t>
  </si>
  <si>
    <t>Rotary Joint Refurb (PLACEHOLDER)</t>
  </si>
  <si>
    <t>Quote #112259</t>
  </si>
  <si>
    <t>S1 Antenna Waveguide Seals</t>
  </si>
  <si>
    <t xml:space="preserve">Mega Industries </t>
  </si>
  <si>
    <t>77843-701</t>
  </si>
  <si>
    <t xml:space="preserve">Quotation Q-425264 </t>
  </si>
  <si>
    <t xml:space="preserve">Parker Hannifin Corporation </t>
  </si>
  <si>
    <t>20-03-1560-1212</t>
  </si>
  <si>
    <t>CDW Quote</t>
  </si>
  <si>
    <t>Cable Tray (xxx ft) - ETGT</t>
  </si>
  <si>
    <t xml:space="preserve">Status Unknown PO </t>
  </si>
  <si>
    <t>WBS 3</t>
  </si>
  <si>
    <t>WBS 4</t>
  </si>
  <si>
    <t>WBS 5</t>
  </si>
  <si>
    <t>None</t>
  </si>
  <si>
    <t>Check</t>
  </si>
  <si>
    <t>Materials Planned</t>
  </si>
  <si>
    <t>MOD 0/ WBS 3.0</t>
  </si>
  <si>
    <t>MOD 0/ WBS 4.0</t>
  </si>
  <si>
    <t>MOD 0/ WBS 5.0</t>
  </si>
  <si>
    <t>MOD 1/ WBS 3.0</t>
  </si>
  <si>
    <t>MOD 1/ WBS 4.0</t>
  </si>
  <si>
    <t>MOD 1/ WBS 5.0</t>
  </si>
  <si>
    <t>MOD 2/ WBS 3.0</t>
  </si>
  <si>
    <t>MOD 2/ WBS 4.0</t>
  </si>
  <si>
    <t xml:space="preserve">MOD 2/ WBS 5.0 </t>
  </si>
  <si>
    <t>MOD 3/ WBS 3.0</t>
  </si>
  <si>
    <t>MOD 3/ WBS 4.0</t>
  </si>
  <si>
    <t>MOD 3/ WBS 5.0</t>
  </si>
  <si>
    <t>MOD 4/ WBS 3.0</t>
  </si>
  <si>
    <t>MOD 4/ WBS 4.0</t>
  </si>
  <si>
    <t>MOD 4/ WBS 5.0</t>
  </si>
  <si>
    <t>MOD 5/ WBS 3.0</t>
  </si>
  <si>
    <t>MOD 5/ WBS 4.0</t>
  </si>
  <si>
    <t>MOD 5/ WBS 5.0</t>
  </si>
  <si>
    <t>MOD 6/ WBS 3.0</t>
  </si>
  <si>
    <t>MOD 6/ WBS 4.0</t>
  </si>
  <si>
    <t>MOD 6/ WBS 5.0</t>
  </si>
  <si>
    <t>MOD 7/ WBS 3.0</t>
  </si>
  <si>
    <t>MOD 7/ WBS 4.0</t>
  </si>
  <si>
    <t>MOD 7/ WBS 5.0</t>
  </si>
  <si>
    <t>MOD 8/ WBS 3.0</t>
  </si>
  <si>
    <t>MOD 8/ WBS 4.0</t>
  </si>
  <si>
    <t>MOD 8/ WBS 5.0</t>
  </si>
  <si>
    <t>MOD 0/WBS 3.0</t>
  </si>
  <si>
    <t>MOD 0/WBS 4.0</t>
  </si>
  <si>
    <t>MOD 0/WBS 5.0</t>
  </si>
  <si>
    <t>MOD 1/WBS 3.0</t>
  </si>
  <si>
    <t>MOD 1/WBS 4.0</t>
  </si>
  <si>
    <t>MOD 1/WBS 5.0</t>
  </si>
  <si>
    <t>Oct</t>
  </si>
  <si>
    <t>Nov</t>
  </si>
  <si>
    <t>Dec</t>
  </si>
  <si>
    <t>Jan 18</t>
  </si>
  <si>
    <t>Feb 18</t>
  </si>
  <si>
    <t>Mar 18</t>
  </si>
  <si>
    <t>Apr 18</t>
  </si>
  <si>
    <t>May 18</t>
  </si>
  <si>
    <t>Jun 18</t>
  </si>
  <si>
    <t>Jul 18</t>
  </si>
  <si>
    <t>Aug 18</t>
  </si>
  <si>
    <t>Sep 18</t>
  </si>
  <si>
    <t>Oct 18</t>
  </si>
  <si>
    <t>Nov 18</t>
  </si>
  <si>
    <t>Dec 18</t>
  </si>
  <si>
    <t>Jan 19</t>
  </si>
  <si>
    <t>Feb 19</t>
  </si>
  <si>
    <t>Mar 19</t>
  </si>
  <si>
    <t xml:space="preserve">Q1 FY 18 </t>
  </si>
  <si>
    <t>Q2 FY 2018</t>
  </si>
  <si>
    <t>Q3 FY 2018</t>
  </si>
  <si>
    <t>Q4 FY 2018</t>
  </si>
  <si>
    <t>Q1 FY 2019</t>
  </si>
  <si>
    <t>Q2 FY 2019</t>
  </si>
  <si>
    <t>Q3 FY 2019</t>
  </si>
  <si>
    <t>Milestone Payments</t>
  </si>
  <si>
    <t>Milestone Dates</t>
  </si>
  <si>
    <t>MOD</t>
  </si>
  <si>
    <t xml:space="preserve">Payment Amounts </t>
  </si>
  <si>
    <t>DigiSat</t>
  </si>
  <si>
    <t>Descope</t>
  </si>
  <si>
    <t>9.1 M Antenna Milestone Payment #1</t>
  </si>
  <si>
    <t>ViaSat</t>
  </si>
  <si>
    <t>9.1 M Antenna Milestone Payment #2</t>
  </si>
  <si>
    <t>9.1 M Antenna Milestone Payment #3</t>
  </si>
  <si>
    <t>9.1 M Antenna Milestone Payment #4</t>
  </si>
  <si>
    <t>9.1 M Antenna Milestone Payment #5</t>
  </si>
  <si>
    <t>9.1 M Antenna Milestone Payment #6</t>
  </si>
  <si>
    <t>Antenna Pad Construction Payment #1</t>
  </si>
  <si>
    <t>C &amp; E Industrial Services Inc.</t>
  </si>
  <si>
    <t>Antenna Pad Construction Payment #2</t>
  </si>
  <si>
    <t>Antenna Pad Construction Payment #3</t>
  </si>
  <si>
    <t>Contract Award Payment #1</t>
  </si>
  <si>
    <t>BRPH</t>
  </si>
  <si>
    <t>60% Design Review Payment #2</t>
  </si>
  <si>
    <t>90% Construction Documents Payment #3</t>
  </si>
  <si>
    <t>Final Acceptance Payment #4</t>
  </si>
  <si>
    <t>Payment #1: Notice of Award
Payment #2: Notice to Proceed
Payment #3: Mobilization
Payment #4: Demolition and Temporary Barriers
Payment #5: Infrastructure Rough-In
Payment #6: SCWA Build</t>
  </si>
  <si>
    <t>Payment #7: SSOC Build</t>
  </si>
  <si>
    <t>Payment #8: LSR Build Materials</t>
  </si>
  <si>
    <t>Payment #9: SSOC / SCWA Build Completion</t>
  </si>
  <si>
    <t>Payment #10: LSR Infrastructure Rough-In</t>
  </si>
  <si>
    <t>Payment #11: LSR Build</t>
  </si>
  <si>
    <t>Payment #12: Commissioning &amp; Owner Training</t>
  </si>
  <si>
    <t>Payment #13: Project Close-Outs Complete &amp; Demobilization</t>
  </si>
  <si>
    <t xml:space="preserve">Sanity Check </t>
  </si>
  <si>
    <t>GFY19 Milestone Payments</t>
  </si>
  <si>
    <t>Forecast February 2018</t>
  </si>
  <si>
    <t>Forecast March 2018</t>
  </si>
  <si>
    <t>Forecast April 2018</t>
  </si>
  <si>
    <t>Forecast May 2018</t>
  </si>
  <si>
    <t>Forecast June 2018</t>
  </si>
  <si>
    <t>Forecast July 2018</t>
  </si>
  <si>
    <t>Forecast August 2018</t>
  </si>
  <si>
    <t>Forecast September 2018</t>
  </si>
  <si>
    <t>Forecast October 2018</t>
  </si>
  <si>
    <t>Forecast November 2018</t>
  </si>
  <si>
    <t>Forecast December 2018</t>
  </si>
  <si>
    <t>Forecast October 2019</t>
  </si>
  <si>
    <t>Forecast November 2019</t>
  </si>
  <si>
    <t>Forecast December 2019</t>
  </si>
  <si>
    <t>Forecast January 2020</t>
  </si>
  <si>
    <t>Forecast February 2020</t>
  </si>
  <si>
    <t>Forecast March 2020</t>
  </si>
  <si>
    <t>Forecast April 2020</t>
  </si>
  <si>
    <t>Forecast May 2020</t>
  </si>
  <si>
    <t>Forecast June 2020</t>
  </si>
  <si>
    <t>Forecast July 2020</t>
  </si>
  <si>
    <t>Forecast August 2020</t>
  </si>
  <si>
    <t>Forecast September 2020</t>
  </si>
  <si>
    <t>Forecast October 2020</t>
  </si>
  <si>
    <t>MOD 0 - 3.0</t>
  </si>
  <si>
    <t>MOD 1 - 3.0</t>
  </si>
  <si>
    <t>MOD 2 - 3.0</t>
  </si>
  <si>
    <t>MOD 3 - 3.0</t>
  </si>
  <si>
    <t>MOD 4 - 3.0</t>
  </si>
  <si>
    <t>MOD 5 - 3.0</t>
  </si>
  <si>
    <t>MOD 6 - 3.0</t>
  </si>
  <si>
    <t xml:space="preserve">WBS 3.0 Materials Total </t>
  </si>
  <si>
    <t>MOD 0 - 4.0</t>
  </si>
  <si>
    <t>MOD 1 - 4.0</t>
  </si>
  <si>
    <t>MOD 2 - 4.0</t>
  </si>
  <si>
    <t>MOD 3 - 4.0</t>
  </si>
  <si>
    <t>MOD 4 - 4.0</t>
  </si>
  <si>
    <t>MOD 5 - 4.0</t>
  </si>
  <si>
    <t>MOD 6 - 4.0</t>
  </si>
  <si>
    <t xml:space="preserve">WBS 4.0 Materials Total </t>
  </si>
  <si>
    <t>MOD 2 - 5.0</t>
  </si>
  <si>
    <t>MOD 3 - 5.0</t>
  </si>
  <si>
    <t>MOD 4 - 5.0</t>
  </si>
  <si>
    <t>MOD 5 - 5.0</t>
  </si>
  <si>
    <t>MOD 6 - 5.0</t>
  </si>
  <si>
    <t xml:space="preserve">WBS 5.0 Materials Total </t>
  </si>
  <si>
    <t xml:space="preserve">RTLogic </t>
  </si>
  <si>
    <t>WBS 3.0</t>
  </si>
  <si>
    <t>Foundation Construction Vendor (Not selected Yet)</t>
  </si>
  <si>
    <t>WBS 5.0</t>
  </si>
  <si>
    <t xml:space="preserve">Total </t>
  </si>
  <si>
    <t>Difference</t>
  </si>
  <si>
    <t>ETC Mod 1/WBS 3.0</t>
  </si>
  <si>
    <t>Mod  1 What we spent so far  (PO's)</t>
  </si>
  <si>
    <t>ETC Mod 1/ WBS 4.0</t>
  </si>
  <si>
    <t>WBS 4.0</t>
  </si>
  <si>
    <t>ETC Mod 1/ WBS 5.0</t>
  </si>
  <si>
    <t>ETC Mod 2/WBS 3.0</t>
  </si>
  <si>
    <t>Mod  2 What we spent so far (PR + PO's)</t>
  </si>
  <si>
    <t>ETC Mod 2/ WBS 4.0</t>
  </si>
  <si>
    <t>ETC Mod 2/ WBS 5.0</t>
  </si>
  <si>
    <t>ETC Mod 3/WBS 3.0</t>
  </si>
  <si>
    <t>Mod 3: (Current Basis of Estimate)</t>
  </si>
  <si>
    <t>ETC Mod 3/ WBS 4.0</t>
  </si>
  <si>
    <t>ETC Mod 3/ WBS 5.0</t>
  </si>
  <si>
    <t>ETC Mod 4/WBS 3.0</t>
  </si>
  <si>
    <t>Mod 4: (Current Basis of Estimate)</t>
  </si>
  <si>
    <t>ETC Mod 4/ WBS 4.0</t>
  </si>
  <si>
    <t>ETC Mod 4/ WBS 5.0</t>
  </si>
  <si>
    <t>Materials</t>
  </si>
  <si>
    <t>Milestones</t>
  </si>
  <si>
    <t>Totals for Materials and Milestone by Month</t>
  </si>
  <si>
    <t>Q4 FY 2019</t>
  </si>
  <si>
    <t>HDR Modem Milestone Payment #1</t>
  </si>
  <si>
    <t>HDR Modem Milestone Payment #2</t>
  </si>
  <si>
    <t>HDR Modem Milestone Payment #3</t>
  </si>
  <si>
    <t>HDR Modem Milestone Payment #4</t>
  </si>
  <si>
    <t>HDR Modem Milestone Payment #5</t>
  </si>
  <si>
    <t>HDR Modem Milestone Payment #6</t>
  </si>
  <si>
    <t>LDR Modem Milestone Payment #1</t>
  </si>
  <si>
    <t>LDR Modem Milestone Payment #2</t>
  </si>
  <si>
    <t>LDR Modem Milestone Payment #3</t>
  </si>
  <si>
    <t>LDR Modem Milestone Payment #4</t>
  </si>
  <si>
    <t>LDR Modem Milestone Payment #5</t>
  </si>
  <si>
    <t>LDR Modem Milestone Payment #6</t>
  </si>
  <si>
    <t>Extra Amount in Proposal</t>
  </si>
  <si>
    <t>9.1M Antenna Foundation Payment #1</t>
  </si>
  <si>
    <t>9.1M Antenna Foundation Payment #2</t>
  </si>
  <si>
    <t>9.1M Antenna Foundation Payment #3</t>
  </si>
  <si>
    <t>9.1M Antenna Foundation Payment #4</t>
  </si>
  <si>
    <t>Payment #1: Notice of Award</t>
  </si>
  <si>
    <t>Payment #2: Notice to Proceed</t>
  </si>
  <si>
    <t>Payment #3: Mobilization</t>
  </si>
  <si>
    <t>Payment #4: Demolition and Temporary Barriers</t>
  </si>
  <si>
    <t>Payment #5: Infrastructure Rough-In</t>
  </si>
  <si>
    <t>Payment #6: SCWA Build</t>
  </si>
  <si>
    <t>Mod 0,1,2 materials</t>
  </si>
  <si>
    <t>Awarded to Date through Mod 2</t>
  </si>
  <si>
    <t>Mod 0,1,2 milestone payments on contract to date</t>
  </si>
  <si>
    <t>Mod 3 materials</t>
  </si>
  <si>
    <t>Committed to date through Mod 2</t>
  </si>
  <si>
    <t>Mod 3 milestone payments</t>
  </si>
  <si>
    <t>Total of Mod 3 without De-Scope</t>
  </si>
  <si>
    <t>Total De-scope</t>
  </si>
  <si>
    <t>Expected cost for Mod 3</t>
  </si>
  <si>
    <t>Awarded amount for Mod 3</t>
  </si>
  <si>
    <t>Variance in quotes received</t>
  </si>
  <si>
    <t>Actuals to date of Mod 0,1,2 and Budgeted Estimated Cost for Mod 3</t>
  </si>
  <si>
    <t>RTL Total</t>
  </si>
  <si>
    <t>De-scope IEM Softbench Simulator</t>
  </si>
  <si>
    <t>RTL in May 8th file</t>
  </si>
  <si>
    <t>milestone payments in total</t>
  </si>
  <si>
    <t>De-Scope DigiSat</t>
  </si>
  <si>
    <t>Added May 22</t>
  </si>
  <si>
    <t>Total Materials for MOD 0-4</t>
  </si>
  <si>
    <t xml:space="preserve">De-scope SCWA Door Assembly </t>
  </si>
  <si>
    <t>Total ETC for 190</t>
  </si>
  <si>
    <t>Actuals to date including the De-scope</t>
  </si>
  <si>
    <t>Cross check</t>
  </si>
  <si>
    <t>Materials only plan value from May 8th file</t>
  </si>
  <si>
    <t>variance</t>
  </si>
  <si>
    <t>Mod 4 milestones currently not on contract to date</t>
  </si>
  <si>
    <t>Materials only from actuals used from May 22 update</t>
  </si>
  <si>
    <t>Mod 4 materials</t>
  </si>
  <si>
    <t xml:space="preserve">Difference </t>
  </si>
  <si>
    <t>Total Mod 4</t>
  </si>
  <si>
    <t>Total ETC for 190 on TO 190 Summary Page</t>
  </si>
  <si>
    <t>ETC</t>
  </si>
  <si>
    <t>Total ETC for 190 adding in Actuals</t>
  </si>
  <si>
    <t>ETC with De-scope</t>
  </si>
  <si>
    <t>Difference between ETC's</t>
  </si>
  <si>
    <t>Awarded to date</t>
  </si>
  <si>
    <t xml:space="preserve">Justification for Difference in Total ETC </t>
  </si>
  <si>
    <t xml:space="preserve">Actuals to date </t>
  </si>
  <si>
    <t>Mod 0, 1, 2</t>
  </si>
  <si>
    <t>Mod 3</t>
  </si>
  <si>
    <t>Mod 0 overrun</t>
  </si>
  <si>
    <t>Mod 4</t>
  </si>
  <si>
    <t>Mod 1 underrun</t>
  </si>
  <si>
    <t xml:space="preserve">Total ETC for 190 </t>
  </si>
  <si>
    <t>Mod 2 underrun</t>
  </si>
  <si>
    <t>Total ETC for 190 including De-Scope</t>
  </si>
  <si>
    <t>Mod 2 continue procurements</t>
  </si>
  <si>
    <t>Mod 3&amp;4 materials only</t>
  </si>
  <si>
    <t>ETC Updated May 22nd</t>
  </si>
  <si>
    <t>ETC Reported May 8th</t>
  </si>
  <si>
    <t>RT Logic Milestone Payment Added</t>
  </si>
  <si>
    <t>Mod's 0, 1, 2 variances</t>
  </si>
  <si>
    <t>Fibers (PN: 1600-37-12-4-IOR-MTF-1-R-5A-.3-K)</t>
  </si>
  <si>
    <t>Roxtec ALT0000003000 Assembly Gel,25 ml</t>
  </si>
  <si>
    <t>Fibers</t>
  </si>
  <si>
    <t>RF Lambda Coupler</t>
  </si>
  <si>
    <t>RF Couplers</t>
  </si>
  <si>
    <t>PR1910825</t>
  </si>
  <si>
    <t>Copper Wire, Screws, Nut Spring</t>
  </si>
  <si>
    <t>PR198565</t>
  </si>
  <si>
    <t>PO18-07129</t>
  </si>
  <si>
    <t>RACKMOUNT HW1032-100-CAGE 100PK 10-32 CAGE NUT HARDWARE KIT</t>
  </si>
  <si>
    <t>PR198574</t>
  </si>
  <si>
    <t>Fiber Materials</t>
  </si>
  <si>
    <t>PO-0001835</t>
  </si>
  <si>
    <t>PR1915045</t>
  </si>
  <si>
    <t>PR1915666</t>
  </si>
  <si>
    <t>Fiber Rack Termination</t>
  </si>
  <si>
    <t>PR1916264</t>
  </si>
  <si>
    <t>Red Hat Enterprise Linux Server</t>
  </si>
  <si>
    <t>PV-WAVE Renewal</t>
  </si>
  <si>
    <t>SAS adapter cable</t>
  </si>
  <si>
    <t>A.I. Solutions Renewal</t>
  </si>
  <si>
    <t>Red Hat Renewal</t>
  </si>
  <si>
    <t xml:space="preserve">VERITAS Backup Exec Server Edition	</t>
  </si>
  <si>
    <t>LTO5-140 Tape label 1-200 Customer Kit</t>
  </si>
  <si>
    <t>Windows License</t>
  </si>
  <si>
    <t>BACKUP EXEC AGENT FOR LINUX 1 SKU: 10929-M2953</t>
  </si>
  <si>
    <t>VMware Renewal</t>
  </si>
  <si>
    <t>RedHat Renewal</t>
  </si>
  <si>
    <t>PR199486</t>
  </si>
  <si>
    <t>PO-0001274 </t>
  </si>
  <si>
    <t>PR1915017</t>
  </si>
  <si>
    <t>PO-0002063</t>
  </si>
  <si>
    <t>PO18-06756</t>
  </si>
  <si>
    <t>PR198442</t>
  </si>
  <si>
    <t>PO-0002126</t>
  </si>
  <si>
    <t>PR1915596</t>
  </si>
  <si>
    <t>PR1915668</t>
  </si>
  <si>
    <t>PR1915672</t>
  </si>
  <si>
    <t>EAM Materials (Windows Server 2016 Standard &amp; Microsoft SQL Server 2017 Standard)</t>
  </si>
  <si>
    <t>EAM Materials (Vendor Esky for Wired Scanners Scanners)</t>
  </si>
  <si>
    <t>PR199385</t>
  </si>
  <si>
    <t>EAM Materials (IBM Control Desk Authorized User License)</t>
  </si>
  <si>
    <t>PO18-07405</t>
  </si>
  <si>
    <t>PR199372</t>
  </si>
  <si>
    <t>EAM Materials (DataSplice)</t>
  </si>
  <si>
    <t>PR199359</t>
  </si>
  <si>
    <t>EAM Materials (Dell Server)</t>
  </si>
  <si>
    <t>PR199353</t>
  </si>
  <si>
    <t>PO-0000588</t>
  </si>
  <si>
    <t>Alien Vault Renewal</t>
  </si>
  <si>
    <t>PR1913754</t>
  </si>
  <si>
    <t>LED Display</t>
  </si>
  <si>
    <t>PO-0000426 </t>
  </si>
  <si>
    <t xml:space="preserve">IAS Quick Release Trays - Set of 2, OMSEC Uni-Shelf 1U Assembly </t>
  </si>
  <si>
    <t>Sentinel Connector RJ45 Plug</t>
  </si>
  <si>
    <t>Round Lacing Bars</t>
  </si>
  <si>
    <t>DigiCert License</t>
  </si>
  <si>
    <t>PO-0000844</t>
  </si>
  <si>
    <t>CONN N PLUG STR 50 OHM CRIMP</t>
  </si>
  <si>
    <t>Cable Tie, Pan Ty® Locking, Nylon 6.6 (Polyamide 6.6)</t>
  </si>
  <si>
    <t>Screws</t>
  </si>
  <si>
    <t>OPTIPLEX 7060 Mini Tower XCTO (210-AOKJ)</t>
  </si>
  <si>
    <t>Cable</t>
  </si>
  <si>
    <t>USB Sharing Switch</t>
  </si>
  <si>
    <t>AT T 210 Black Trimline Memory Telephone</t>
  </si>
  <si>
    <t>PO-0001410 </t>
  </si>
  <si>
    <t>Red Hat License</t>
  </si>
  <si>
    <t>PO-0001847</t>
  </si>
  <si>
    <t>PR1915025</t>
  </si>
  <si>
    <t>Nessus License</t>
  </si>
  <si>
    <t>PO-0001845</t>
  </si>
  <si>
    <t>PR1915027</t>
  </si>
  <si>
    <t>Rack Mount Shelf Kit</t>
  </si>
  <si>
    <t>PR1916181</t>
  </si>
  <si>
    <t>Power Cable</t>
  </si>
  <si>
    <t>PR1916182</t>
  </si>
  <si>
    <t>V-Lock Power Cords</t>
  </si>
  <si>
    <t>PR1916183</t>
  </si>
  <si>
    <t>Graylog Enterprise - Unit Price per GB (5 GB/day) License</t>
  </si>
  <si>
    <t>PR1916267</t>
  </si>
  <si>
    <t>Newly added 05/20/19</t>
  </si>
  <si>
    <t>Newly added 05/21/19</t>
  </si>
  <si>
    <t>Newly added 01/24/19</t>
  </si>
  <si>
    <t>Not In the Plan</t>
  </si>
  <si>
    <t>Newly added 05/22/19</t>
  </si>
  <si>
    <t>LEOP Table Ports</t>
  </si>
  <si>
    <t>PR1916588</t>
  </si>
  <si>
    <t xml:space="preserve">PR1916590 </t>
  </si>
  <si>
    <t>PIV USB PATCHPANEL AND CABLES</t>
  </si>
  <si>
    <t>Q3 GFY 2019</t>
  </si>
  <si>
    <t>Q4 GFY 2019</t>
  </si>
  <si>
    <t xml:space="preserve">PO-0002687 </t>
  </si>
  <si>
    <t>PO-0002546</t>
  </si>
  <si>
    <t xml:space="preserve">
PO-0002550</t>
  </si>
  <si>
    <t>ICT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</si>
</sst>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6" formatCode="&quot;$&quot;#,##0_);[Red]\(&quot;$&quot;#,##0\)"/>
    <numFmt numFmtId="8" formatCode="&quot;$&quot;#,##0.00_);[Red]\(&quot;$&quot;#,##0.00\)"/>
    <numFmt numFmtId="44" formatCode="_(&quot;$&quot;* #,##0.00_);_(&quot;$&quot;* \(#,##0.00\);_(&quot;$&quot;* &quot;-&quot;??_);_(@_)"/>
    <numFmt numFmtId="43" formatCode="_(* #,##0.00_);_(* \(#,##0.00\);_(* &quot;-&quot;??_);_(@_)"/>
    <numFmt numFmtId="164" formatCode="&quot;$&quot;#,##0.00;[Red]&quot;$&quot;#,##0.00"/>
    <numFmt numFmtId="165" formatCode="mm/dd/yy;@"/>
    <numFmt numFmtId="166" formatCode="m/d/yy;@"/>
    <numFmt numFmtId="167" formatCode="0.0"/>
    <numFmt numFmtId="168" formatCode="_(&quot;$&quot;* #,##0.00_);_(&quot;$&quot;* \(#,##0.00\);_(&quot;$&quot;* &quot;-&quot;_);_(* @_)"/>
    <numFmt numFmtId="169" formatCode="&quot;$&quot;#,##0.00"/>
    <numFmt numFmtId="170" formatCode="&quot;$&quot;#,##0.0000;[Red]&quot;$&quot;#,##0.0000"/>
    <numFmt numFmtId="171" formatCode="0.000"/>
    <numFmt numFmtId="172" formatCode="&quot;$&quot;#,##0;[Red]&quot;$&quot;#,##0"/>
    <numFmt numFmtId="173" formatCode="&quot;$&quot;#,##0"/>
    <numFmt numFmtId="174" formatCode="#,##0.00;[Red]#,##0.00"/>
    <numFmt numFmtId="175" formatCode="[$-409]mmm\-yy;@"/>
    <numFmt numFmtId="176" formatCode="_(* #,##0_);_(* \(#,##0\);_(* &quot;-&quot;??_);_(@_)"/>
    <numFmt numFmtId="179" formatCode="_(&quot;$&quot;* #,##0_);_(&quot;$&quot;* \(#,##0\);_(&quot;$&quot;* &quot;-&quot;??_);_(@_)"/>
  </numFmts>
  <fonts count="6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1"/>
      <color rgb="FF006100"/>
      <name val="Calibri"/>
      <family val="2"/>
      <scheme val="minor"/>
    </font>
    <font>
      <sz val="11"/>
      <color rgb="FF9C0006"/>
      <name val="Calibri"/>
      <family val="2"/>
      <scheme val="minor"/>
    </font>
    <font>
      <sz val="10"/>
      <name val="Arial"/>
      <family val="2"/>
    </font>
    <font>
      <sz val="9"/>
      <color indexed="81"/>
      <name val="Tahoma"/>
      <family val="2"/>
    </font>
    <font>
      <b/>
      <sz val="9"/>
      <color indexed="81"/>
      <name val="Tahoma"/>
      <family val="2"/>
    </font>
    <font>
      <b/>
      <sz val="10"/>
      <name val="Arial"/>
      <family val="2"/>
    </font>
    <font>
      <sz val="10"/>
      <color theme="1"/>
      <name val="Times New Roman"/>
      <family val="1"/>
    </font>
    <font>
      <b/>
      <sz val="10"/>
      <name val="Times New Roman"/>
      <family val="1"/>
    </font>
    <font>
      <sz val="10"/>
      <name val="Times New Roman"/>
      <family val="1"/>
    </font>
    <font>
      <sz val="10"/>
      <color rgb="FF000000"/>
      <name val="Times New Roman"/>
      <family val="1"/>
    </font>
    <font>
      <sz val="10"/>
      <color rgb="FFFF0000"/>
      <name val="Times New Roman"/>
      <family val="1"/>
    </font>
    <font>
      <b/>
      <sz val="11"/>
      <color theme="1"/>
      <name val="Times New Roman"/>
      <family val="1"/>
    </font>
    <font>
      <sz val="11"/>
      <color theme="1"/>
      <name val="Times New Roman"/>
      <family val="1"/>
    </font>
    <font>
      <b/>
      <sz val="12"/>
      <color theme="1"/>
      <name val="Times New Roman"/>
      <family val="1"/>
    </font>
    <font>
      <b/>
      <sz val="10"/>
      <color rgb="FFFF0000"/>
      <name val="Times New Roman"/>
      <family val="1"/>
    </font>
    <font>
      <b/>
      <sz val="10"/>
      <color theme="1"/>
      <name val="Times New Roman"/>
      <family val="1"/>
    </font>
    <font>
      <sz val="10"/>
      <color rgb="FF000000"/>
      <name val="Segoe UI"/>
      <family val="2"/>
    </font>
    <font>
      <b/>
      <sz val="11"/>
      <name val="Times New Roman"/>
      <family val="1"/>
    </font>
    <font>
      <sz val="10"/>
      <color rgb="FF7030A0"/>
      <name val="Times New Roman"/>
      <family val="1"/>
    </font>
    <font>
      <sz val="9"/>
      <color rgb="FF000000"/>
      <name val="Calibri"/>
      <family val="2"/>
    </font>
    <font>
      <sz val="10"/>
      <name val="Arial"/>
      <family val="2"/>
    </font>
    <font>
      <sz val="11"/>
      <color rgb="FF000000"/>
      <name val="Times New Roman"/>
      <family val="1"/>
    </font>
    <font>
      <sz val="11"/>
      <color rgb="FF000000"/>
      <name val="Calibri"/>
      <family val="2"/>
      <scheme val="minor"/>
    </font>
    <font>
      <b/>
      <sz val="10"/>
      <color rgb="FFFF0000"/>
      <name val="Arial"/>
      <family val="2"/>
    </font>
    <font>
      <sz val="10"/>
      <color indexed="81"/>
      <name val="Arial"/>
      <family val="2"/>
    </font>
    <font>
      <sz val="10"/>
      <color rgb="FF9BBB59"/>
      <name val="Times New Roman"/>
      <family val="1"/>
    </font>
    <font>
      <sz val="9"/>
      <color indexed="81"/>
      <name val="Tahoma"/>
      <charset val="1"/>
    </font>
    <font>
      <b/>
      <sz val="9"/>
      <color indexed="81"/>
      <name val="Tahoma"/>
      <charset val="1"/>
    </font>
    <font>
      <sz val="10"/>
      <color theme="1"/>
      <name val="Arial Nova"/>
      <family val="2"/>
    </font>
  </fonts>
  <fills count="5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92D050"/>
        <bgColor indexed="64"/>
      </patternFill>
    </fill>
    <fill>
      <patternFill patternType="solid">
        <fgColor rgb="FF92D050"/>
        <bgColor indexed="0"/>
      </patternFill>
    </fill>
    <fill>
      <patternFill patternType="solid">
        <fgColor rgb="FFC6EFCE"/>
      </patternFill>
    </fill>
    <fill>
      <patternFill patternType="solid">
        <fgColor rgb="FFFFC7CE"/>
      </patternFill>
    </fill>
    <fill>
      <patternFill patternType="solid">
        <fgColor rgb="FFFFFFCC"/>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rgb="FFFFFF99"/>
        <bgColor indexed="64"/>
      </patternFill>
    </fill>
    <fill>
      <patternFill patternType="solid">
        <fgColor rgb="FFFFFF00"/>
        <bgColor indexed="64"/>
      </patternFill>
    </fill>
    <fill>
      <patternFill patternType="solid">
        <fgColor theme="6" tint="0.59999389629810485"/>
        <bgColor indexed="0"/>
      </patternFill>
    </fill>
    <fill>
      <patternFill patternType="solid">
        <fgColor theme="6" tint="0.59999389629810485"/>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FF9999"/>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FFCC"/>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bgColor indexed="64"/>
      </patternFill>
    </fill>
    <fill>
      <patternFill patternType="solid">
        <fgColor theme="9" tint="0.79998168889431442"/>
        <bgColor indexed="64"/>
      </patternFill>
    </fill>
    <fill>
      <patternFill patternType="solid">
        <fgColor theme="2" tint="-9.9978637043366805E-2"/>
        <bgColor indexed="64"/>
      </patternFill>
    </fill>
  </fills>
  <borders count="7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Dashed">
        <color indexed="64"/>
      </right>
      <top style="thin">
        <color indexed="64"/>
      </top>
      <bottom style="thin">
        <color indexed="64"/>
      </bottom>
      <diagonal/>
    </border>
    <border>
      <left/>
      <right style="mediumDashed">
        <color indexed="64"/>
      </right>
      <top style="thin">
        <color indexed="64"/>
      </top>
      <bottom style="thin">
        <color indexed="64"/>
      </bottom>
      <diagonal/>
    </border>
    <border>
      <left style="mediumDashed">
        <color indexed="64"/>
      </left>
      <right/>
      <top/>
      <bottom/>
      <diagonal/>
    </border>
    <border>
      <left style="mediumDashed">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Dashed">
        <color indexed="64"/>
      </right>
      <top/>
      <bottom/>
      <diagonal/>
    </border>
    <border>
      <left/>
      <right style="mediumDashed">
        <color indexed="64"/>
      </right>
      <top style="thin">
        <color indexed="64"/>
      </top>
      <bottom/>
      <diagonal/>
    </border>
    <border>
      <left/>
      <right style="mediumDashed">
        <color indexed="64"/>
      </right>
      <top/>
      <bottom/>
      <diagonal/>
    </border>
    <border>
      <left style="thin">
        <color indexed="64"/>
      </left>
      <right style="mediumDashed">
        <color indexed="64"/>
      </right>
      <top/>
      <bottom style="thin">
        <color indexed="64"/>
      </bottom>
      <diagonal/>
    </border>
    <border>
      <left/>
      <right/>
      <top style="thin">
        <color indexed="64"/>
      </top>
      <bottom/>
      <diagonal/>
    </border>
    <border>
      <left style="thin">
        <color indexed="64"/>
      </left>
      <right style="mediumDashed">
        <color indexed="64"/>
      </right>
      <top style="thin">
        <color indexed="64"/>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style="thin">
        <color theme="3"/>
      </left>
      <right style="thin">
        <color theme="3"/>
      </right>
      <top style="thin">
        <color theme="3"/>
      </top>
      <bottom/>
      <diagonal/>
    </border>
    <border>
      <left/>
      <right style="thin">
        <color indexed="64"/>
      </right>
      <top style="medium">
        <color indexed="64"/>
      </top>
      <bottom style="medium">
        <color indexed="64"/>
      </bottom>
      <diagonal/>
    </border>
    <border>
      <left style="thin">
        <color indexed="64"/>
      </left>
      <right style="mediumDashed">
        <color indexed="64"/>
      </right>
      <top style="medium">
        <color indexed="64"/>
      </top>
      <bottom style="medium">
        <color indexed="64"/>
      </bottom>
      <diagonal/>
    </border>
    <border>
      <left/>
      <right style="thin">
        <color theme="3"/>
      </right>
      <top style="thin">
        <color theme="3"/>
      </top>
      <bottom style="thin">
        <color theme="3"/>
      </bottom>
      <diagonal/>
    </border>
    <border>
      <left style="thin">
        <color theme="3"/>
      </left>
      <right style="thin">
        <color theme="3"/>
      </right>
      <top/>
      <bottom style="thin">
        <color theme="3"/>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Dashed">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Dashed">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style="dashed">
        <color indexed="64"/>
      </right>
      <top/>
      <bottom/>
      <diagonal/>
    </border>
    <border>
      <left style="thin">
        <color indexed="64"/>
      </left>
      <right style="dashed">
        <color indexed="64"/>
      </right>
      <top style="thin">
        <color indexed="64"/>
      </top>
      <bottom style="medium">
        <color indexed="64"/>
      </bottom>
      <diagonal/>
    </border>
    <border>
      <left style="thin">
        <color indexed="64"/>
      </left>
      <right style="dashed">
        <color indexed="64"/>
      </right>
      <top/>
      <bottom style="thin">
        <color indexed="64"/>
      </bottom>
      <diagonal/>
    </border>
    <border>
      <left style="thin">
        <color indexed="64"/>
      </left>
      <right style="dashed">
        <color indexed="64"/>
      </right>
      <top style="thin">
        <color indexed="64"/>
      </top>
      <bottom style="thin">
        <color indexed="64"/>
      </bottom>
      <diagonal/>
    </border>
    <border>
      <left style="thin">
        <color indexed="64"/>
      </left>
      <right style="dashed">
        <color indexed="64"/>
      </right>
      <top style="thin">
        <color indexed="64"/>
      </top>
      <bottom/>
      <diagonal/>
    </border>
    <border>
      <left style="thin">
        <color indexed="64"/>
      </left>
      <right style="thin">
        <color indexed="64"/>
      </right>
      <top/>
      <bottom/>
      <diagonal/>
    </border>
    <border>
      <left/>
      <right style="mediumDashed">
        <color indexed="64"/>
      </right>
      <top/>
      <bottom style="thin">
        <color indexed="64"/>
      </bottom>
      <diagonal/>
    </border>
    <border>
      <left style="mediumDashed">
        <color indexed="64"/>
      </left>
      <right/>
      <top style="thin">
        <color indexed="64"/>
      </top>
      <bottom style="thin">
        <color indexed="64"/>
      </bottom>
      <diagonal/>
    </border>
    <border>
      <left style="mediumDashed">
        <color indexed="64"/>
      </left>
      <right style="thin">
        <color indexed="64"/>
      </right>
      <top/>
      <bottom style="thin">
        <color indexed="64"/>
      </bottom>
      <diagonal/>
    </border>
  </borders>
  <cellStyleXfs count="94">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15" fillId="3" borderId="0" applyNumberFormat="0" applyBorder="0" applyAlignment="0" applyProtection="0"/>
    <xf numFmtId="0" fontId="16" fillId="20" borderId="1" applyNumberFormat="0" applyAlignment="0" applyProtection="0"/>
    <xf numFmtId="0" fontId="17" fillId="21" borderId="2" applyNumberFormat="0" applyAlignment="0" applyProtection="0"/>
    <xf numFmtId="43" fontId="10" fillId="0" borderId="0" applyFont="0" applyFill="0" applyBorder="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23" fillId="7" borderId="1" applyNumberFormat="0" applyAlignment="0" applyProtection="0"/>
    <xf numFmtId="0" fontId="24" fillId="0" borderId="6" applyNumberFormat="0" applyFill="0" applyAlignment="0" applyProtection="0"/>
    <xf numFmtId="0" fontId="25" fillId="22" borderId="0" applyNumberFormat="0" applyBorder="0" applyAlignment="0" applyProtection="0"/>
    <xf numFmtId="0" fontId="11" fillId="0" borderId="0"/>
    <xf numFmtId="0" fontId="12" fillId="23" borderId="7" applyNumberFormat="0" applyFont="0" applyAlignment="0" applyProtection="0"/>
    <xf numFmtId="0" fontId="26" fillId="20" borderId="8" applyNumberFormat="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30" fillId="0" borderId="0"/>
    <xf numFmtId="168" fontId="30" fillId="0" borderId="0" applyFont="0" applyFill="0" applyBorder="0" applyAlignment="0" applyProtection="0"/>
    <xf numFmtId="0" fontId="9" fillId="0" borderId="0"/>
    <xf numFmtId="0" fontId="31" fillId="27" borderId="0" applyNumberFormat="0" applyBorder="0" applyAlignment="0" applyProtection="0"/>
    <xf numFmtId="0" fontId="32" fillId="28" borderId="0" applyNumberFormat="0" applyBorder="0" applyAlignment="0" applyProtection="0"/>
    <xf numFmtId="0" fontId="9" fillId="29" borderId="12" applyNumberFormat="0" applyFont="0" applyAlignment="0" applyProtection="0"/>
    <xf numFmtId="44" fontId="33" fillId="0" borderId="0" applyFont="0" applyFill="0" applyBorder="0" applyAlignment="0" applyProtection="0"/>
    <xf numFmtId="0" fontId="10" fillId="0" borderId="0"/>
    <xf numFmtId="0" fontId="10" fillId="23" borderId="7" applyNumberFormat="0" applyFont="0" applyAlignment="0" applyProtection="0"/>
    <xf numFmtId="0" fontId="11" fillId="0" borderId="0"/>
    <xf numFmtId="168" fontId="11" fillId="0" borderId="0" applyFont="0" applyFill="0" applyBorder="0" applyAlignment="0" applyProtection="0"/>
    <xf numFmtId="0" fontId="8" fillId="0" borderId="0"/>
    <xf numFmtId="0" fontId="8" fillId="29" borderId="12" applyNumberFormat="0" applyFont="0" applyAlignment="0" applyProtection="0"/>
    <xf numFmtId="44" fontId="10" fillId="0" borderId="0" applyFont="0" applyFill="0" applyBorder="0" applyAlignment="0" applyProtection="0"/>
    <xf numFmtId="0" fontId="7" fillId="0" borderId="0"/>
    <xf numFmtId="0" fontId="7" fillId="29" borderId="12" applyNumberFormat="0" applyFont="0" applyAlignment="0" applyProtection="0"/>
    <xf numFmtId="0" fontId="7" fillId="0" borderId="0"/>
    <xf numFmtId="0" fontId="7" fillId="29" borderId="12" applyNumberFormat="0" applyFont="0" applyAlignment="0" applyProtection="0"/>
    <xf numFmtId="0" fontId="6" fillId="0" borderId="0"/>
    <xf numFmtId="44" fontId="6" fillId="0" borderId="0" applyFont="0" applyFill="0" applyBorder="0" applyAlignment="0" applyProtection="0"/>
    <xf numFmtId="0" fontId="5" fillId="0" borderId="0"/>
    <xf numFmtId="44" fontId="5" fillId="0" borderId="0" applyFont="0" applyFill="0" applyBorder="0" applyAlignment="0" applyProtection="0"/>
    <xf numFmtId="43" fontId="51" fillId="0" borderId="0" applyFont="0" applyFill="0" applyBorder="0" applyAlignment="0" applyProtection="0"/>
    <xf numFmtId="0" fontId="3" fillId="0" borderId="0"/>
    <xf numFmtId="0" fontId="2" fillId="0" borderId="0"/>
    <xf numFmtId="0" fontId="2" fillId="29" borderId="12" applyNumberFormat="0" applyFont="0" applyAlignment="0" applyProtection="0"/>
    <xf numFmtId="0" fontId="2" fillId="0" borderId="0"/>
    <xf numFmtId="0" fontId="2" fillId="29" borderId="12" applyNumberFormat="0" applyFont="0" applyAlignment="0" applyProtection="0"/>
    <xf numFmtId="0" fontId="2" fillId="0" borderId="0"/>
    <xf numFmtId="0" fontId="2" fillId="29" borderId="12" applyNumberFormat="0" applyFont="0" applyAlignment="0" applyProtection="0"/>
    <xf numFmtId="0" fontId="2" fillId="0" borderId="0"/>
    <xf numFmtId="0" fontId="2" fillId="29" borderId="12"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1" fillId="0" borderId="0"/>
    <xf numFmtId="0" fontId="1" fillId="29" borderId="12" applyNumberFormat="0" applyFont="0" applyAlignment="0" applyProtection="0"/>
    <xf numFmtId="0" fontId="1" fillId="0" borderId="0"/>
    <xf numFmtId="0" fontId="1" fillId="29" borderId="12" applyNumberFormat="0" applyFont="0" applyAlignment="0" applyProtection="0"/>
    <xf numFmtId="0" fontId="1" fillId="0" borderId="0"/>
    <xf numFmtId="0" fontId="1" fillId="29" borderId="12" applyNumberFormat="0" applyFont="0" applyAlignment="0" applyProtection="0"/>
    <xf numFmtId="0" fontId="1" fillId="0" borderId="0"/>
    <xf numFmtId="0" fontId="1" fillId="29" borderId="12" applyNumberFormat="0" applyFont="0" applyAlignment="0" applyProtection="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0" fontId="1" fillId="0" borderId="0"/>
  </cellStyleXfs>
  <cellXfs count="677">
    <xf numFmtId="0" fontId="0" fillId="0" borderId="0" xfId="0"/>
    <xf numFmtId="0" fontId="36" fillId="30" borderId="0" xfId="0" applyFont="1" applyFill="1" applyAlignment="1">
      <alignment wrapText="1"/>
    </xf>
    <xf numFmtId="173" fontId="10" fillId="0" borderId="10" xfId="50" applyNumberFormat="1" applyFont="1" applyBorder="1" applyAlignment="1">
      <alignment horizontal="center" vertical="center"/>
    </xf>
    <xf numFmtId="0" fontId="10" fillId="30" borderId="0" xfId="0" applyFont="1" applyFill="1"/>
    <xf numFmtId="0" fontId="10" fillId="0" borderId="0" xfId="0" applyFont="1"/>
    <xf numFmtId="169" fontId="10" fillId="30" borderId="0" xfId="0" applyNumberFormat="1" applyFont="1" applyFill="1"/>
    <xf numFmtId="0" fontId="36" fillId="30" borderId="0" xfId="0" applyFont="1" applyFill="1"/>
    <xf numFmtId="0" fontId="36" fillId="0" borderId="0" xfId="0" applyFont="1"/>
    <xf numFmtId="173" fontId="10" fillId="31" borderId="10" xfId="50" applyNumberFormat="1" applyFont="1" applyFill="1" applyBorder="1" applyAlignment="1">
      <alignment horizontal="center" vertical="center"/>
    </xf>
    <xf numFmtId="173" fontId="10" fillId="31" borderId="10" xfId="0" applyNumberFormat="1" applyFont="1" applyFill="1" applyBorder="1" applyAlignment="1">
      <alignment horizontal="center" vertical="center"/>
    </xf>
    <xf numFmtId="173" fontId="10" fillId="31" borderId="10" xfId="0" quotePrefix="1" applyNumberFormat="1" applyFont="1" applyFill="1" applyBorder="1" applyAlignment="1">
      <alignment horizontal="center" vertical="center"/>
    </xf>
    <xf numFmtId="167" fontId="10" fillId="31" borderId="10" xfId="0" applyNumberFormat="1" applyFont="1" applyFill="1" applyBorder="1" applyAlignment="1">
      <alignment horizontal="center" vertical="center"/>
    </xf>
    <xf numFmtId="0" fontId="10" fillId="0" borderId="23" xfId="0" applyFont="1" applyBorder="1"/>
    <xf numFmtId="167" fontId="10" fillId="0" borderId="19" xfId="0" applyNumberFormat="1" applyFont="1" applyBorder="1" applyAlignment="1">
      <alignment horizontal="center" vertical="center"/>
    </xf>
    <xf numFmtId="173" fontId="10" fillId="24" borderId="10" xfId="0" applyNumberFormat="1" applyFont="1" applyFill="1" applyBorder="1" applyAlignment="1">
      <alignment horizontal="center" vertical="center"/>
    </xf>
    <xf numFmtId="173" fontId="36" fillId="0" borderId="14" xfId="0" applyNumberFormat="1" applyFont="1" applyBorder="1" applyAlignment="1">
      <alignment horizontal="center" vertical="center"/>
    </xf>
    <xf numFmtId="0" fontId="36" fillId="0" borderId="15" xfId="0" applyFont="1" applyBorder="1"/>
    <xf numFmtId="0" fontId="36" fillId="31" borderId="13" xfId="0" applyFont="1" applyFill="1" applyBorder="1" applyAlignment="1">
      <alignment horizontal="center" vertical="center" wrapText="1"/>
    </xf>
    <xf numFmtId="0" fontId="10" fillId="24" borderId="0" xfId="0" applyFont="1" applyFill="1"/>
    <xf numFmtId="0" fontId="10" fillId="31" borderId="23" xfId="0" applyFont="1" applyFill="1" applyBorder="1"/>
    <xf numFmtId="167" fontId="0" fillId="0" borderId="0" xfId="0" applyNumberFormat="1"/>
    <xf numFmtId="0" fontId="39" fillId="0" borderId="0" xfId="0" applyFont="1" applyAlignment="1">
      <alignment horizontal="left" wrapText="1"/>
    </xf>
    <xf numFmtId="0" fontId="39" fillId="0" borderId="10" xfId="0" applyFont="1" applyBorder="1" applyAlignment="1">
      <alignment horizontal="left" wrapText="1"/>
    </xf>
    <xf numFmtId="167" fontId="39" fillId="0" borderId="10" xfId="0" applyNumberFormat="1" applyFont="1" applyBorder="1" applyAlignment="1">
      <alignment horizontal="left" wrapText="1"/>
    </xf>
    <xf numFmtId="0" fontId="39" fillId="0" borderId="10" xfId="0" applyFont="1" applyBorder="1" applyAlignment="1" applyProtection="1">
      <alignment horizontal="left" wrapText="1"/>
      <protection locked="0"/>
    </xf>
    <xf numFmtId="1" fontId="39" fillId="0" borderId="10" xfId="0" applyNumberFormat="1" applyFont="1" applyBorder="1" applyAlignment="1">
      <alignment horizontal="left" wrapText="1"/>
    </xf>
    <xf numFmtId="0" fontId="37" fillId="0" borderId="10" xfId="46" applyFont="1" applyBorder="1" applyAlignment="1">
      <alignment horizontal="left" wrapText="1"/>
    </xf>
    <xf numFmtId="8" fontId="39" fillId="0" borderId="10" xfId="0" applyNumberFormat="1" applyFont="1" applyBorder="1" applyAlignment="1" applyProtection="1">
      <alignment horizontal="left" wrapText="1"/>
      <protection locked="0"/>
    </xf>
    <xf numFmtId="8" fontId="39" fillId="0" borderId="10" xfId="0" applyNumberFormat="1" applyFont="1" applyBorder="1" applyAlignment="1">
      <alignment horizontal="left" wrapText="1"/>
    </xf>
    <xf numFmtId="165" fontId="39" fillId="0" borderId="10" xfId="0" applyNumberFormat="1" applyFont="1" applyBorder="1" applyAlignment="1">
      <alignment horizontal="left" wrapText="1"/>
    </xf>
    <xf numFmtId="165" fontId="40" fillId="0" borderId="10" xfId="0" applyNumberFormat="1" applyFont="1" applyBorder="1" applyAlignment="1">
      <alignment horizontal="left" wrapText="1"/>
    </xf>
    <xf numFmtId="0" fontId="40" fillId="0" borderId="10" xfId="0" applyFont="1" applyBorder="1" applyAlignment="1">
      <alignment horizontal="left" wrapText="1"/>
    </xf>
    <xf numFmtId="0" fontId="39" fillId="0" borderId="0" xfId="44" applyFont="1" applyAlignment="1">
      <alignment horizontal="left" wrapText="1"/>
    </xf>
    <xf numFmtId="0" fontId="37" fillId="0" borderId="10" xfId="0" applyFont="1" applyBorder="1" applyAlignment="1">
      <alignment wrapText="1"/>
    </xf>
    <xf numFmtId="166" fontId="39" fillId="0" borderId="10" xfId="0" applyNumberFormat="1" applyFont="1" applyBorder="1" applyAlignment="1">
      <alignment horizontal="left" wrapText="1"/>
    </xf>
    <xf numFmtId="169" fontId="39" fillId="0" borderId="10" xfId="0" applyNumberFormat="1" applyFont="1" applyBorder="1" applyAlignment="1">
      <alignment horizontal="left" wrapText="1"/>
    </xf>
    <xf numFmtId="14" fontId="39" fillId="0" borderId="10" xfId="0" applyNumberFormat="1" applyFont="1" applyBorder="1" applyAlignment="1">
      <alignment horizontal="left" wrapText="1"/>
    </xf>
    <xf numFmtId="8" fontId="39" fillId="0" borderId="0" xfId="50" applyNumberFormat="1" applyFont="1" applyFill="1" applyAlignment="1">
      <alignment horizontal="left" wrapText="1"/>
    </xf>
    <xf numFmtId="0" fontId="39" fillId="0" borderId="11" xfId="0" applyFont="1" applyBorder="1" applyAlignment="1">
      <alignment horizontal="left" wrapText="1"/>
    </xf>
    <xf numFmtId="1" fontId="39" fillId="0" borderId="11" xfId="0" applyNumberFormat="1" applyFont="1" applyBorder="1" applyAlignment="1">
      <alignment horizontal="left" wrapText="1"/>
    </xf>
    <xf numFmtId="8" fontId="39" fillId="0" borderId="11" xfId="0" applyNumberFormat="1" applyFont="1" applyBorder="1" applyAlignment="1">
      <alignment horizontal="left" wrapText="1"/>
    </xf>
    <xf numFmtId="165" fontId="39" fillId="0" borderId="11" xfId="0" applyNumberFormat="1" applyFont="1" applyBorder="1" applyAlignment="1">
      <alignment horizontal="left" wrapText="1"/>
    </xf>
    <xf numFmtId="0" fontId="39" fillId="0" borderId="10" xfId="0" applyFont="1" applyBorder="1" applyAlignment="1">
      <alignment wrapText="1"/>
    </xf>
    <xf numFmtId="1" fontId="41" fillId="0" borderId="10" xfId="0" applyNumberFormat="1" applyFont="1" applyBorder="1" applyAlignment="1">
      <alignment horizontal="left" wrapText="1"/>
    </xf>
    <xf numFmtId="8" fontId="40" fillId="0" borderId="10" xfId="0" applyNumberFormat="1" applyFont="1" applyBorder="1" applyAlignment="1">
      <alignment horizontal="left" wrapText="1"/>
    </xf>
    <xf numFmtId="169" fontId="40" fillId="0" borderId="10" xfId="0" applyNumberFormat="1" applyFont="1" applyBorder="1" applyAlignment="1">
      <alignment horizontal="left" wrapText="1"/>
    </xf>
    <xf numFmtId="169" fontId="39" fillId="0" borderId="10" xfId="0" applyNumberFormat="1" applyFont="1" applyBorder="1" applyAlignment="1" applyProtection="1">
      <alignment horizontal="left" wrapText="1"/>
      <protection locked="0"/>
    </xf>
    <xf numFmtId="4" fontId="39" fillId="0" borderId="10" xfId="0" applyNumberFormat="1" applyFont="1" applyBorder="1" applyAlignment="1">
      <alignment horizontal="left" wrapText="1"/>
    </xf>
    <xf numFmtId="0" fontId="39" fillId="0" borderId="10" xfId="51" applyFont="1" applyBorder="1" applyAlignment="1">
      <alignment horizontal="left" wrapText="1"/>
    </xf>
    <xf numFmtId="167" fontId="37" fillId="0" borderId="10" xfId="0" applyNumberFormat="1" applyFont="1" applyBorder="1" applyAlignment="1">
      <alignment horizontal="right"/>
    </xf>
    <xf numFmtId="0" fontId="39" fillId="0" borderId="10" xfId="0" applyFont="1" applyBorder="1" applyAlignment="1">
      <alignment horizontal="center" vertical="center"/>
    </xf>
    <xf numFmtId="44" fontId="37" fillId="0" borderId="10" xfId="50" applyFont="1" applyFill="1" applyBorder="1" applyAlignment="1">
      <alignment wrapText="1"/>
    </xf>
    <xf numFmtId="0" fontId="37" fillId="0" borderId="10" xfId="0" applyFont="1" applyBorder="1" applyAlignment="1">
      <alignment horizontal="center" vertical="center"/>
    </xf>
    <xf numFmtId="169" fontId="39" fillId="0" borderId="0" xfId="0" applyNumberFormat="1" applyFont="1" applyAlignment="1">
      <alignment horizontal="left" wrapText="1"/>
    </xf>
    <xf numFmtId="164" fontId="39" fillId="0" borderId="0" xfId="0" applyNumberFormat="1" applyFont="1" applyAlignment="1">
      <alignment horizontal="left" wrapText="1"/>
    </xf>
    <xf numFmtId="170" fontId="39" fillId="0" borderId="0" xfId="0" applyNumberFormat="1" applyFont="1" applyAlignment="1">
      <alignment horizontal="left" wrapText="1"/>
    </xf>
    <xf numFmtId="0" fontId="39" fillId="0" borderId="18" xfId="0" applyFont="1" applyBorder="1" applyAlignment="1">
      <alignment horizontal="left" wrapText="1"/>
    </xf>
    <xf numFmtId="0" fontId="39" fillId="0" borderId="18" xfId="0" applyFont="1" applyBorder="1" applyAlignment="1">
      <alignment horizontal="left"/>
    </xf>
    <xf numFmtId="167" fontId="39" fillId="0" borderId="18" xfId="0" applyNumberFormat="1" applyFont="1" applyBorder="1" applyAlignment="1">
      <alignment horizontal="left"/>
    </xf>
    <xf numFmtId="0" fontId="39" fillId="0" borderId="18" xfId="0" applyFont="1" applyBorder="1" applyAlignment="1" applyProtection="1">
      <alignment horizontal="left"/>
      <protection locked="0"/>
    </xf>
    <xf numFmtId="1" fontId="39" fillId="0" borderId="18" xfId="0" applyNumberFormat="1" applyFont="1" applyBorder="1" applyAlignment="1">
      <alignment horizontal="left"/>
    </xf>
    <xf numFmtId="8" fontId="39" fillId="0" borderId="10" xfId="0" applyNumberFormat="1" applyFont="1" applyBorder="1" applyAlignment="1">
      <alignment horizontal="left"/>
    </xf>
    <xf numFmtId="8" fontId="39" fillId="0" borderId="18" xfId="0" applyNumberFormat="1" applyFont="1" applyBorder="1" applyAlignment="1">
      <alignment horizontal="left"/>
    </xf>
    <xf numFmtId="165" fontId="39" fillId="0" borderId="18" xfId="0" applyNumberFormat="1" applyFont="1" applyBorder="1" applyAlignment="1">
      <alignment horizontal="left"/>
    </xf>
    <xf numFmtId="0" fontId="39" fillId="0" borderId="0" xfId="0" applyFont="1" applyAlignment="1">
      <alignment horizontal="left"/>
    </xf>
    <xf numFmtId="2" fontId="39" fillId="0" borderId="10" xfId="0" applyNumberFormat="1" applyFont="1" applyBorder="1" applyAlignment="1">
      <alignment horizontal="left" wrapText="1"/>
    </xf>
    <xf numFmtId="2" fontId="39" fillId="0" borderId="18" xfId="0" applyNumberFormat="1" applyFont="1" applyBorder="1" applyAlignment="1">
      <alignment horizontal="left"/>
    </xf>
    <xf numFmtId="2" fontId="39" fillId="0" borderId="11" xfId="0" applyNumberFormat="1" applyFont="1" applyBorder="1" applyAlignment="1">
      <alignment horizontal="left" wrapText="1"/>
    </xf>
    <xf numFmtId="0" fontId="39" fillId="0" borderId="10" xfId="0" applyFont="1" applyBorder="1" applyAlignment="1">
      <alignment horizontal="left"/>
    </xf>
    <xf numFmtId="0" fontId="10" fillId="31" borderId="25" xfId="0" applyFont="1" applyFill="1" applyBorder="1" applyAlignment="1">
      <alignment horizontal="left" vertical="top" wrapText="1"/>
    </xf>
    <xf numFmtId="167" fontId="10" fillId="31" borderId="18" xfId="38" applyNumberFormat="1" applyFont="1" applyFill="1" applyBorder="1" applyAlignment="1">
      <alignment horizontal="center" vertical="center" wrapText="1"/>
    </xf>
    <xf numFmtId="172" fontId="10" fillId="31" borderId="18" xfId="38" applyNumberFormat="1" applyFont="1" applyFill="1" applyBorder="1" applyAlignment="1">
      <alignment horizontal="center" vertical="center" wrapText="1"/>
    </xf>
    <xf numFmtId="169" fontId="36" fillId="31" borderId="18" xfId="38" applyNumberFormat="1" applyFont="1" applyFill="1" applyBorder="1" applyAlignment="1">
      <alignment horizontal="center" vertical="center" wrapText="1"/>
    </xf>
    <xf numFmtId="0" fontId="36" fillId="31" borderId="18" xfId="0" applyFont="1" applyFill="1" applyBorder="1" applyAlignment="1">
      <alignment horizontal="center" vertical="center"/>
    </xf>
    <xf numFmtId="0" fontId="36" fillId="31" borderId="26" xfId="0" applyFont="1" applyFill="1" applyBorder="1" applyAlignment="1">
      <alignment horizontal="center" vertical="center" wrapText="1"/>
    </xf>
    <xf numFmtId="0" fontId="36" fillId="25" borderId="27" xfId="0" applyFont="1" applyFill="1" applyBorder="1" applyAlignment="1">
      <alignment horizontal="center" vertical="center" wrapText="1"/>
    </xf>
    <xf numFmtId="164" fontId="36" fillId="25" borderId="28" xfId="38" applyNumberFormat="1" applyFont="1" applyFill="1" applyBorder="1" applyAlignment="1">
      <alignment horizontal="center" vertical="center" wrapText="1"/>
    </xf>
    <xf numFmtId="8" fontId="39" fillId="0" borderId="18" xfId="0" applyNumberFormat="1" applyFont="1" applyBorder="1" applyAlignment="1">
      <alignment horizontal="left" wrapText="1"/>
    </xf>
    <xf numFmtId="0" fontId="36" fillId="25" borderId="28" xfId="0" applyFont="1" applyFill="1" applyBorder="1" applyAlignment="1">
      <alignment horizontal="center" vertical="center" wrapText="1"/>
    </xf>
    <xf numFmtId="0" fontId="44" fillId="34" borderId="10" xfId="0" quotePrefix="1" applyFont="1" applyFill="1" applyBorder="1" applyAlignment="1">
      <alignment horizontal="center" vertical="center"/>
    </xf>
    <xf numFmtId="167" fontId="39" fillId="0" borderId="10" xfId="0" applyNumberFormat="1" applyFont="1" applyBorder="1" applyAlignment="1">
      <alignment horizontal="right"/>
    </xf>
    <xf numFmtId="44" fontId="39" fillId="0" borderId="10" xfId="50" applyFont="1" applyFill="1" applyBorder="1" applyAlignment="1">
      <alignment wrapText="1"/>
    </xf>
    <xf numFmtId="0" fontId="44" fillId="34" borderId="19" xfId="0" quotePrefix="1" applyFont="1" applyFill="1" applyBorder="1" applyAlignment="1">
      <alignment horizontal="center" vertical="center"/>
    </xf>
    <xf numFmtId="0" fontId="44" fillId="34" borderId="29" xfId="0" quotePrefix="1" applyFont="1" applyFill="1" applyBorder="1" applyAlignment="1">
      <alignment horizontal="center" vertical="center"/>
    </xf>
    <xf numFmtId="8" fontId="37" fillId="0" borderId="10" xfId="50" applyNumberFormat="1" applyFont="1" applyFill="1" applyBorder="1" applyAlignment="1">
      <alignment wrapText="1"/>
    </xf>
    <xf numFmtId="1" fontId="38" fillId="0" borderId="10" xfId="0" applyNumberFormat="1" applyFont="1" applyBorder="1" applyAlignment="1">
      <alignment horizontal="left" wrapText="1"/>
    </xf>
    <xf numFmtId="0" fontId="38" fillId="0" borderId="10" xfId="0" applyFont="1" applyBorder="1" applyAlignment="1">
      <alignment horizontal="left" wrapText="1"/>
    </xf>
    <xf numFmtId="0" fontId="39" fillId="35" borderId="10" xfId="0" applyFont="1" applyFill="1" applyBorder="1" applyAlignment="1">
      <alignment horizontal="left" wrapText="1"/>
    </xf>
    <xf numFmtId="1" fontId="36" fillId="37" borderId="14" xfId="38" applyNumberFormat="1" applyFont="1" applyFill="1" applyBorder="1" applyAlignment="1">
      <alignment horizontal="left" textRotation="90" wrapText="1"/>
    </xf>
    <xf numFmtId="169" fontId="36" fillId="37" borderId="14" xfId="0" applyNumberFormat="1" applyFont="1" applyFill="1" applyBorder="1" applyAlignment="1">
      <alignment horizontal="left" textRotation="90" wrapText="1"/>
    </xf>
    <xf numFmtId="165" fontId="45" fillId="0" borderId="10" xfId="0" applyNumberFormat="1" applyFont="1" applyBorder="1" applyAlignment="1">
      <alignment horizontal="left" wrapText="1"/>
    </xf>
    <xf numFmtId="171" fontId="39" fillId="0" borderId="10" xfId="0" applyNumberFormat="1" applyFont="1" applyBorder="1" applyAlignment="1">
      <alignment horizontal="left" wrapText="1"/>
    </xf>
    <xf numFmtId="0" fontId="41" fillId="0" borderId="10" xfId="0" applyFont="1" applyBorder="1" applyAlignment="1">
      <alignment horizontal="left" wrapText="1"/>
    </xf>
    <xf numFmtId="0" fontId="41" fillId="0" borderId="10" xfId="0" applyFont="1" applyBorder="1" applyAlignment="1">
      <alignment wrapText="1"/>
    </xf>
    <xf numFmtId="0" fontId="36" fillId="26" borderId="28" xfId="38" applyFont="1" applyFill="1" applyBorder="1" applyAlignment="1">
      <alignment horizontal="center" vertical="center" wrapText="1"/>
    </xf>
    <xf numFmtId="0" fontId="36" fillId="25" borderId="33" xfId="0" applyFont="1" applyFill="1" applyBorder="1" applyAlignment="1">
      <alignment horizontal="center" vertical="center" wrapText="1"/>
    </xf>
    <xf numFmtId="8" fontId="39" fillId="0" borderId="0" xfId="0" applyNumberFormat="1" applyFont="1" applyAlignment="1">
      <alignment horizontal="left" wrapText="1"/>
    </xf>
    <xf numFmtId="8" fontId="38" fillId="0" borderId="0" xfId="0" applyNumberFormat="1" applyFont="1" applyAlignment="1">
      <alignment horizontal="left" wrapText="1"/>
    </xf>
    <xf numFmtId="164" fontId="38" fillId="0" borderId="0" xfId="0" applyNumberFormat="1" applyFont="1" applyAlignment="1">
      <alignment horizontal="left" wrapText="1"/>
    </xf>
    <xf numFmtId="169" fontId="38" fillId="0" borderId="0" xfId="0" applyNumberFormat="1" applyFont="1" applyAlignment="1">
      <alignment horizontal="left" wrapText="1"/>
    </xf>
    <xf numFmtId="0" fontId="5" fillId="0" borderId="0" xfId="64"/>
    <xf numFmtId="44" fontId="5" fillId="0" borderId="0" xfId="64" applyNumberFormat="1"/>
    <xf numFmtId="44" fontId="42" fillId="0" borderId="0" xfId="64" applyNumberFormat="1" applyFont="1"/>
    <xf numFmtId="44" fontId="43" fillId="0" borderId="10" xfId="65" applyFont="1" applyBorder="1" applyAlignment="1">
      <alignment wrapText="1"/>
    </xf>
    <xf numFmtId="0" fontId="43" fillId="0" borderId="10" xfId="64" applyFont="1" applyBorder="1" applyAlignment="1">
      <alignment wrapText="1"/>
    </xf>
    <xf numFmtId="0" fontId="43" fillId="0" borderId="10" xfId="64" applyFont="1" applyBorder="1" applyAlignment="1">
      <alignment horizontal="right" wrapText="1"/>
    </xf>
    <xf numFmtId="14" fontId="43" fillId="0" borderId="10" xfId="64" applyNumberFormat="1" applyFont="1" applyBorder="1" applyAlignment="1">
      <alignment wrapText="1"/>
    </xf>
    <xf numFmtId="0" fontId="43" fillId="0" borderId="10" xfId="64" applyFont="1" applyBorder="1" applyAlignment="1">
      <alignment horizontal="right"/>
    </xf>
    <xf numFmtId="0" fontId="43" fillId="0" borderId="10" xfId="64" applyFont="1" applyBorder="1" applyAlignment="1">
      <alignment horizontal="center"/>
    </xf>
    <xf numFmtId="0" fontId="43" fillId="0" borderId="10" xfId="64" applyFont="1" applyBorder="1"/>
    <xf numFmtId="0" fontId="43" fillId="0" borderId="19" xfId="64" applyFont="1" applyBorder="1"/>
    <xf numFmtId="0" fontId="43" fillId="0" borderId="29" xfId="64" applyFont="1" applyBorder="1"/>
    <xf numFmtId="44" fontId="43" fillId="0" borderId="10" xfId="64" applyNumberFormat="1" applyFont="1" applyBorder="1"/>
    <xf numFmtId="44" fontId="43" fillId="0" borderId="19" xfId="64" applyNumberFormat="1" applyFont="1" applyBorder="1"/>
    <xf numFmtId="44" fontId="43" fillId="0" borderId="29" xfId="64" applyNumberFormat="1" applyFont="1" applyBorder="1"/>
    <xf numFmtId="0" fontId="5" fillId="0" borderId="10" xfId="64" applyBorder="1"/>
    <xf numFmtId="0" fontId="5" fillId="0" borderId="19" xfId="64" applyBorder="1"/>
    <xf numFmtId="0" fontId="5" fillId="0" borderId="29" xfId="64" applyBorder="1"/>
    <xf numFmtId="0" fontId="43" fillId="0" borderId="32" xfId="64" applyFont="1" applyBorder="1" applyAlignment="1">
      <alignment horizontal="center"/>
    </xf>
    <xf numFmtId="0" fontId="43" fillId="0" borderId="16" xfId="64" applyFont="1" applyBorder="1"/>
    <xf numFmtId="0" fontId="43" fillId="0" borderId="30" xfId="64" applyFont="1" applyBorder="1"/>
    <xf numFmtId="44" fontId="43" fillId="0" borderId="30" xfId="64" applyNumberFormat="1" applyFont="1" applyBorder="1"/>
    <xf numFmtId="44" fontId="43" fillId="0" borderId="10" xfId="64" applyNumberFormat="1" applyFont="1" applyBorder="1" applyAlignment="1">
      <alignment wrapText="1"/>
    </xf>
    <xf numFmtId="2" fontId="43" fillId="0" borderId="10" xfId="64" applyNumberFormat="1" applyFont="1" applyBorder="1" applyAlignment="1">
      <alignment wrapText="1"/>
    </xf>
    <xf numFmtId="2" fontId="43" fillId="0" borderId="19" xfId="64" applyNumberFormat="1" applyFont="1" applyBorder="1" applyAlignment="1">
      <alignment wrapText="1"/>
    </xf>
    <xf numFmtId="44" fontId="42" fillId="33" borderId="10" xfId="65" applyFont="1" applyFill="1" applyBorder="1" applyAlignment="1"/>
    <xf numFmtId="0" fontId="43" fillId="32" borderId="10" xfId="64" applyFont="1" applyFill="1" applyBorder="1" applyAlignment="1">
      <alignment wrapText="1"/>
    </xf>
    <xf numFmtId="0" fontId="42" fillId="33" borderId="10" xfId="64" applyFont="1" applyFill="1" applyBorder="1" applyAlignment="1">
      <alignment wrapText="1"/>
    </xf>
    <xf numFmtId="0" fontId="42" fillId="33" borderId="10" xfId="64" applyFont="1" applyFill="1" applyBorder="1"/>
    <xf numFmtId="0" fontId="43" fillId="32" borderId="10" xfId="64" applyFont="1" applyFill="1" applyBorder="1" applyAlignment="1">
      <alignment horizontal="right"/>
    </xf>
    <xf numFmtId="0" fontId="42" fillId="33" borderId="32" xfId="64" applyFont="1" applyFill="1" applyBorder="1" applyAlignment="1">
      <alignment horizontal="center"/>
    </xf>
    <xf numFmtId="0" fontId="42" fillId="33" borderId="16" xfId="64" applyFont="1" applyFill="1" applyBorder="1"/>
    <xf numFmtId="0" fontId="5" fillId="0" borderId="31" xfId="64" applyBorder="1"/>
    <xf numFmtId="40" fontId="39" fillId="0" borderId="10" xfId="0" applyNumberFormat="1" applyFont="1" applyBorder="1" applyAlignment="1">
      <alignment horizontal="left" wrapText="1"/>
    </xf>
    <xf numFmtId="40" fontId="40" fillId="0" borderId="10" xfId="0" applyNumberFormat="1" applyFont="1" applyBorder="1" applyAlignment="1">
      <alignment horizontal="left" wrapText="1"/>
    </xf>
    <xf numFmtId="40" fontId="39" fillId="0" borderId="18" xfId="0" applyNumberFormat="1" applyFont="1" applyBorder="1" applyAlignment="1">
      <alignment horizontal="left"/>
    </xf>
    <xf numFmtId="0" fontId="40" fillId="0" borderId="10" xfId="0" applyFont="1" applyBorder="1"/>
    <xf numFmtId="0" fontId="39" fillId="0" borderId="10" xfId="0" applyFont="1" applyBorder="1" applyAlignment="1">
      <alignment vertical="center" wrapText="1"/>
    </xf>
    <xf numFmtId="0" fontId="39" fillId="39" borderId="0" xfId="0" applyFont="1" applyFill="1" applyAlignment="1">
      <alignment horizontal="left" wrapText="1"/>
    </xf>
    <xf numFmtId="0" fontId="37" fillId="0" borderId="10" xfId="0" applyFont="1" applyBorder="1" applyAlignment="1">
      <alignment horizontal="left" wrapText="1"/>
    </xf>
    <xf numFmtId="8" fontId="37" fillId="0" borderId="10" xfId="0" applyNumberFormat="1" applyFont="1" applyBorder="1" applyAlignment="1">
      <alignment horizontal="left" wrapText="1"/>
    </xf>
    <xf numFmtId="0" fontId="39" fillId="0" borderId="10" xfId="0" applyFont="1" applyBorder="1"/>
    <xf numFmtId="0" fontId="37" fillId="0" borderId="10" xfId="0" applyFont="1" applyBorder="1"/>
    <xf numFmtId="44" fontId="39" fillId="0" borderId="10" xfId="0" applyNumberFormat="1" applyFont="1" applyBorder="1" applyAlignment="1">
      <alignment horizontal="left" wrapText="1"/>
    </xf>
    <xf numFmtId="0" fontId="39" fillId="0" borderId="19" xfId="0" applyFont="1" applyBorder="1" applyAlignment="1">
      <alignment horizontal="left" wrapText="1"/>
    </xf>
    <xf numFmtId="169" fontId="39" fillId="0" borderId="16" xfId="0" applyNumberFormat="1" applyFont="1" applyBorder="1" applyAlignment="1">
      <alignment horizontal="left" wrapText="1"/>
    </xf>
    <xf numFmtId="169" fontId="36" fillId="37" borderId="20" xfId="0" applyNumberFormat="1" applyFont="1" applyFill="1" applyBorder="1" applyAlignment="1">
      <alignment horizontal="left" textRotation="90" wrapText="1"/>
    </xf>
    <xf numFmtId="0" fontId="38" fillId="0" borderId="10" xfId="0" applyFont="1" applyBorder="1" applyAlignment="1" applyProtection="1">
      <alignment horizontal="left" wrapText="1"/>
      <protection locked="0"/>
    </xf>
    <xf numFmtId="0" fontId="39" fillId="0" borderId="10" xfId="46" applyFont="1" applyBorder="1" applyAlignment="1">
      <alignment horizontal="left" wrapText="1"/>
    </xf>
    <xf numFmtId="1" fontId="39" fillId="0" borderId="0" xfId="0" applyNumberFormat="1" applyFont="1" applyAlignment="1">
      <alignment horizontal="left" wrapText="1"/>
    </xf>
    <xf numFmtId="0" fontId="39" fillId="0" borderId="10" xfId="0" applyFont="1" applyBorder="1" applyAlignment="1">
      <alignment horizontal="center"/>
    </xf>
    <xf numFmtId="0" fontId="5" fillId="0" borderId="16" xfId="64" applyBorder="1"/>
    <xf numFmtId="0" fontId="49" fillId="0" borderId="10" xfId="0" applyFont="1" applyBorder="1" applyAlignment="1">
      <alignment horizontal="left" wrapText="1"/>
    </xf>
    <xf numFmtId="8" fontId="39" fillId="0" borderId="10" xfId="50" applyNumberFormat="1" applyFont="1" applyFill="1" applyBorder="1" applyAlignment="1">
      <alignment wrapText="1"/>
    </xf>
    <xf numFmtId="2" fontId="37" fillId="0" borderId="10" xfId="0" applyNumberFormat="1" applyFont="1" applyBorder="1" applyAlignment="1">
      <alignment horizontal="left" wrapText="1"/>
    </xf>
    <xf numFmtId="1" fontId="37" fillId="0" borderId="10" xfId="0" applyNumberFormat="1" applyFont="1" applyBorder="1" applyAlignment="1">
      <alignment horizontal="left" wrapText="1"/>
    </xf>
    <xf numFmtId="165" fontId="37" fillId="0" borderId="10" xfId="0" applyNumberFormat="1" applyFont="1" applyBorder="1" applyAlignment="1">
      <alignment horizontal="left" wrapText="1"/>
    </xf>
    <xf numFmtId="169" fontId="37" fillId="0" borderId="10" xfId="0" applyNumberFormat="1" applyFont="1" applyBorder="1" applyAlignment="1">
      <alignment horizontal="left" wrapText="1"/>
    </xf>
    <xf numFmtId="40" fontId="37" fillId="0" borderId="18" xfId="0" applyNumberFormat="1" applyFont="1" applyBorder="1" applyAlignment="1">
      <alignment horizontal="left"/>
    </xf>
    <xf numFmtId="14" fontId="37" fillId="0" borderId="10" xfId="0" applyNumberFormat="1" applyFont="1" applyBorder="1" applyAlignment="1">
      <alignment horizontal="left" wrapText="1"/>
    </xf>
    <xf numFmtId="0" fontId="37" fillId="0" borderId="0" xfId="0" applyFont="1" applyAlignment="1">
      <alignment horizontal="left" wrapText="1"/>
    </xf>
    <xf numFmtId="40" fontId="39" fillId="0" borderId="18" xfId="0" applyNumberFormat="1" applyFont="1" applyBorder="1" applyAlignment="1">
      <alignment horizontal="left" wrapText="1"/>
    </xf>
    <xf numFmtId="0" fontId="39" fillId="0" borderId="10" xfId="0" applyFont="1" applyBorder="1" applyAlignment="1">
      <alignment horizontal="center" wrapText="1"/>
    </xf>
    <xf numFmtId="0" fontId="39" fillId="0" borderId="18" xfId="0" applyFont="1" applyBorder="1"/>
    <xf numFmtId="0" fontId="39" fillId="0" borderId="18" xfId="46" applyFont="1" applyBorder="1" applyAlignment="1">
      <alignment horizontal="left"/>
    </xf>
    <xf numFmtId="14" fontId="39" fillId="0" borderId="0" xfId="0" applyNumberFormat="1" applyFont="1" applyAlignment="1">
      <alignment horizontal="left" wrapText="1"/>
    </xf>
    <xf numFmtId="167" fontId="39" fillId="0" borderId="10" xfId="0" applyNumberFormat="1" applyFont="1" applyBorder="1" applyAlignment="1">
      <alignment horizontal="right" wrapText="1"/>
    </xf>
    <xf numFmtId="1" fontId="39" fillId="0" borderId="10" xfId="0" applyNumberFormat="1" applyFont="1" applyBorder="1" applyAlignment="1">
      <alignment horizontal="center" vertical="center" wrapText="1"/>
    </xf>
    <xf numFmtId="8" fontId="39" fillId="0" borderId="10" xfId="0" applyNumberFormat="1" applyFont="1" applyBorder="1" applyAlignment="1">
      <alignment horizontal="right" wrapText="1"/>
    </xf>
    <xf numFmtId="0" fontId="39" fillId="40" borderId="10" xfId="0" applyFont="1" applyFill="1" applyBorder="1" applyAlignment="1">
      <alignment horizontal="left" wrapText="1"/>
    </xf>
    <xf numFmtId="8" fontId="36" fillId="37" borderId="14" xfId="0" applyNumberFormat="1" applyFont="1" applyFill="1" applyBorder="1" applyAlignment="1">
      <alignment horizontal="left" textRotation="90" wrapText="1"/>
    </xf>
    <xf numFmtId="167" fontId="38" fillId="0" borderId="10" xfId="0" applyNumberFormat="1" applyFont="1" applyBorder="1" applyAlignment="1">
      <alignment horizontal="left" wrapText="1"/>
    </xf>
    <xf numFmtId="169" fontId="38" fillId="0" borderId="10" xfId="0" applyNumberFormat="1" applyFont="1" applyBorder="1" applyAlignment="1" applyProtection="1">
      <alignment horizontal="left" wrapText="1"/>
      <protection locked="0"/>
    </xf>
    <xf numFmtId="165" fontId="38" fillId="0" borderId="10" xfId="0" applyNumberFormat="1" applyFont="1" applyBorder="1" applyAlignment="1">
      <alignment horizontal="left" wrapText="1"/>
    </xf>
    <xf numFmtId="8" fontId="36" fillId="37" borderId="17" xfId="0" applyNumberFormat="1" applyFont="1" applyFill="1" applyBorder="1" applyAlignment="1">
      <alignment horizontal="left" textRotation="90" wrapText="1"/>
    </xf>
    <xf numFmtId="1" fontId="39" fillId="0" borderId="19" xfId="0" applyNumberFormat="1" applyFont="1" applyBorder="1" applyAlignment="1">
      <alignment horizontal="left" wrapText="1"/>
    </xf>
    <xf numFmtId="40" fontId="40" fillId="0" borderId="18" xfId="0" applyNumberFormat="1" applyFont="1" applyBorder="1" applyAlignment="1">
      <alignment horizontal="left" wrapText="1"/>
    </xf>
    <xf numFmtId="2" fontId="39" fillId="0" borderId="0" xfId="0" applyNumberFormat="1" applyFont="1" applyAlignment="1">
      <alignment horizontal="left" wrapText="1"/>
    </xf>
    <xf numFmtId="165" fontId="39" fillId="0" borderId="0" xfId="0" applyNumberFormat="1" applyFont="1" applyAlignment="1">
      <alignment horizontal="left" wrapText="1"/>
    </xf>
    <xf numFmtId="44" fontId="38" fillId="0" borderId="0" xfId="0" applyNumberFormat="1" applyFont="1" applyAlignment="1">
      <alignment horizontal="left" wrapText="1"/>
    </xf>
    <xf numFmtId="169" fontId="38" fillId="0" borderId="10" xfId="0" applyNumberFormat="1" applyFont="1" applyBorder="1" applyAlignment="1">
      <alignment horizontal="left" wrapText="1"/>
    </xf>
    <xf numFmtId="173" fontId="10" fillId="30" borderId="0" xfId="0" applyNumberFormat="1" applyFont="1" applyFill="1"/>
    <xf numFmtId="44" fontId="43" fillId="35" borderId="19" xfId="64" applyNumberFormat="1" applyFont="1" applyFill="1" applyBorder="1"/>
    <xf numFmtId="44" fontId="43" fillId="35" borderId="10" xfId="64" applyNumberFormat="1" applyFont="1" applyFill="1" applyBorder="1"/>
    <xf numFmtId="0" fontId="5" fillId="0" borderId="37" xfId="64" applyBorder="1"/>
    <xf numFmtId="0" fontId="43" fillId="0" borderId="36" xfId="64" applyFont="1" applyBorder="1"/>
    <xf numFmtId="0" fontId="43" fillId="0" borderId="18" xfId="64" applyFont="1" applyBorder="1"/>
    <xf numFmtId="44" fontId="43" fillId="43" borderId="29" xfId="64" applyNumberFormat="1" applyFont="1" applyFill="1" applyBorder="1"/>
    <xf numFmtId="44" fontId="43" fillId="43" borderId="10" xfId="64" applyNumberFormat="1" applyFont="1" applyFill="1" applyBorder="1"/>
    <xf numFmtId="0" fontId="43" fillId="0" borderId="22" xfId="64" applyFont="1" applyBorder="1"/>
    <xf numFmtId="0" fontId="5" fillId="0" borderId="40" xfId="64" applyBorder="1"/>
    <xf numFmtId="0" fontId="5" fillId="0" borderId="39" xfId="64" applyBorder="1"/>
    <xf numFmtId="44" fontId="42" fillId="0" borderId="41" xfId="64" applyNumberFormat="1" applyFont="1" applyBorder="1"/>
    <xf numFmtId="0" fontId="43" fillId="0" borderId="42" xfId="64" applyFont="1" applyBorder="1"/>
    <xf numFmtId="0" fontId="5" fillId="0" borderId="22" xfId="64" applyBorder="1"/>
    <xf numFmtId="44" fontId="43" fillId="0" borderId="41" xfId="64" applyNumberFormat="1" applyFont="1" applyBorder="1"/>
    <xf numFmtId="0" fontId="5" fillId="0" borderId="30" xfId="64" applyBorder="1"/>
    <xf numFmtId="0" fontId="43" fillId="0" borderId="11" xfId="64" applyFont="1" applyBorder="1"/>
    <xf numFmtId="44" fontId="43" fillId="0" borderId="22" xfId="64" applyNumberFormat="1" applyFont="1" applyBorder="1"/>
    <xf numFmtId="0" fontId="43" fillId="0" borderId="34" xfId="64" applyFont="1" applyBorder="1"/>
    <xf numFmtId="44" fontId="43" fillId="43" borderId="19" xfId="64" applyNumberFormat="1" applyFont="1" applyFill="1" applyBorder="1"/>
    <xf numFmtId="0" fontId="5" fillId="0" borderId="38" xfId="64" applyBorder="1"/>
    <xf numFmtId="44" fontId="43" fillId="43" borderId="36" xfId="64" applyNumberFormat="1" applyFont="1" applyFill="1" applyBorder="1"/>
    <xf numFmtId="0" fontId="43" fillId="35" borderId="32" xfId="64" applyFont="1" applyFill="1" applyBorder="1" applyAlignment="1">
      <alignment horizontal="center"/>
    </xf>
    <xf numFmtId="0" fontId="43" fillId="35" borderId="10" xfId="64" applyFont="1" applyFill="1" applyBorder="1" applyAlignment="1">
      <alignment horizontal="right"/>
    </xf>
    <xf numFmtId="14" fontId="43" fillId="35" borderId="10" xfId="64" applyNumberFormat="1" applyFont="1" applyFill="1" applyBorder="1" applyAlignment="1">
      <alignment wrapText="1"/>
    </xf>
    <xf numFmtId="0" fontId="43" fillId="35" borderId="10" xfId="64" applyFont="1" applyFill="1" applyBorder="1" applyAlignment="1">
      <alignment wrapText="1"/>
    </xf>
    <xf numFmtId="44" fontId="43" fillId="35" borderId="10" xfId="65" applyFont="1" applyFill="1" applyBorder="1" applyAlignment="1">
      <alignment wrapText="1"/>
    </xf>
    <xf numFmtId="44" fontId="10" fillId="0" borderId="0" xfId="0" applyNumberFormat="1" applyFont="1"/>
    <xf numFmtId="169" fontId="10" fillId="0" borderId="0" xfId="0" applyNumberFormat="1" applyFont="1"/>
    <xf numFmtId="174" fontId="36" fillId="37" borderId="14" xfId="38" applyNumberFormat="1" applyFont="1" applyFill="1" applyBorder="1" applyAlignment="1">
      <alignment horizontal="left" textRotation="90" wrapText="1"/>
    </xf>
    <xf numFmtId="174" fontId="39" fillId="0" borderId="0" xfId="0" applyNumberFormat="1" applyFont="1" applyAlignment="1">
      <alignment horizontal="left" wrapText="1"/>
    </xf>
    <xf numFmtId="0" fontId="36" fillId="37" borderId="14" xfId="50" applyNumberFormat="1" applyFont="1" applyFill="1" applyBorder="1" applyAlignment="1">
      <alignment horizontal="left" textRotation="90" wrapText="1"/>
    </xf>
    <xf numFmtId="0" fontId="39" fillId="0" borderId="10" xfId="50" applyNumberFormat="1" applyFont="1" applyFill="1" applyBorder="1" applyAlignment="1">
      <alignment horizontal="left" wrapText="1"/>
    </xf>
    <xf numFmtId="0" fontId="36" fillId="37" borderId="14" xfId="0" applyFont="1" applyFill="1" applyBorder="1" applyAlignment="1">
      <alignment horizontal="left" textRotation="90" wrapText="1"/>
    </xf>
    <xf numFmtId="0" fontId="40" fillId="0" borderId="0" xfId="0" applyFont="1"/>
    <xf numFmtId="0" fontId="39" fillId="24" borderId="10" xfId="0" applyFont="1" applyFill="1" applyBorder="1" applyAlignment="1">
      <alignment horizontal="left" wrapText="1"/>
    </xf>
    <xf numFmtId="1" fontId="39" fillId="41" borderId="16" xfId="0" applyNumberFormat="1" applyFont="1" applyFill="1" applyBorder="1" applyAlignment="1">
      <alignment horizontal="left" wrapText="1"/>
    </xf>
    <xf numFmtId="1" fontId="39" fillId="0" borderId="22" xfId="0" applyNumberFormat="1" applyFont="1" applyBorder="1" applyAlignment="1">
      <alignment horizontal="left" wrapText="1"/>
    </xf>
    <xf numFmtId="8" fontId="39" fillId="0" borderId="22" xfId="0" applyNumberFormat="1" applyFont="1" applyBorder="1" applyAlignment="1">
      <alignment horizontal="left" wrapText="1"/>
    </xf>
    <xf numFmtId="167" fontId="39" fillId="0" borderId="11" xfId="0" applyNumberFormat="1" applyFont="1" applyBorder="1" applyAlignment="1">
      <alignment horizontal="right"/>
    </xf>
    <xf numFmtId="0" fontId="39" fillId="0" borderId="11" xfId="0" applyFont="1" applyBorder="1" applyAlignment="1">
      <alignment wrapText="1"/>
    </xf>
    <xf numFmtId="0" fontId="39" fillId="0" borderId="11" xfId="0" applyFont="1" applyBorder="1" applyAlignment="1">
      <alignment horizontal="center" vertical="center"/>
    </xf>
    <xf numFmtId="44" fontId="39" fillId="0" borderId="11" xfId="50" applyFont="1" applyFill="1" applyBorder="1" applyAlignment="1">
      <alignment wrapText="1"/>
    </xf>
    <xf numFmtId="169" fontId="39" fillId="0" borderId="11" xfId="0" applyNumberFormat="1" applyFont="1" applyBorder="1" applyAlignment="1">
      <alignment horizontal="left" wrapText="1"/>
    </xf>
    <xf numFmtId="167" fontId="39" fillId="0" borderId="18" xfId="0" applyNumberFormat="1" applyFont="1" applyBorder="1" applyAlignment="1">
      <alignment horizontal="right"/>
    </xf>
    <xf numFmtId="2" fontId="39" fillId="0" borderId="18" xfId="0" applyNumberFormat="1" applyFont="1" applyBorder="1" applyAlignment="1">
      <alignment horizontal="left" wrapText="1"/>
    </xf>
    <xf numFmtId="0" fontId="39" fillId="0" borderId="18" xfId="0" applyFont="1" applyBorder="1" applyAlignment="1">
      <alignment wrapText="1"/>
    </xf>
    <xf numFmtId="1" fontId="39" fillId="0" borderId="18" xfId="0" applyNumberFormat="1" applyFont="1" applyBorder="1" applyAlignment="1">
      <alignment horizontal="left" wrapText="1"/>
    </xf>
    <xf numFmtId="0" fontId="39" fillId="0" borderId="18" xfId="0" applyFont="1" applyBorder="1" applyAlignment="1">
      <alignment horizontal="center" vertical="center"/>
    </xf>
    <xf numFmtId="44" fontId="39" fillId="0" borderId="18" xfId="50" applyFont="1" applyFill="1" applyBorder="1" applyAlignment="1">
      <alignment wrapText="1"/>
    </xf>
    <xf numFmtId="169" fontId="39" fillId="0" borderId="18" xfId="0" applyNumberFormat="1" applyFont="1" applyBorder="1" applyAlignment="1">
      <alignment horizontal="left" wrapText="1"/>
    </xf>
    <xf numFmtId="165" fontId="39" fillId="0" borderId="18" xfId="0" applyNumberFormat="1" applyFont="1" applyBorder="1" applyAlignment="1">
      <alignment horizontal="left" wrapText="1"/>
    </xf>
    <xf numFmtId="169" fontId="36" fillId="0" borderId="0" xfId="0" applyNumberFormat="1" applyFont="1"/>
    <xf numFmtId="169" fontId="0" fillId="0" borderId="43" xfId="0" applyNumberFormat="1" applyBorder="1"/>
    <xf numFmtId="169" fontId="36" fillId="24" borderId="43" xfId="0" applyNumberFormat="1" applyFont="1" applyFill="1" applyBorder="1"/>
    <xf numFmtId="169" fontId="10" fillId="0" borderId="43" xfId="0" applyNumberFormat="1" applyFont="1" applyBorder="1"/>
    <xf numFmtId="169" fontId="36" fillId="0" borderId="43" xfId="0" applyNumberFormat="1" applyFont="1" applyBorder="1"/>
    <xf numFmtId="169" fontId="10" fillId="24" borderId="43" xfId="0" applyNumberFormat="1" applyFont="1" applyFill="1" applyBorder="1"/>
    <xf numFmtId="0" fontId="36" fillId="44" borderId="43" xfId="0" applyFont="1" applyFill="1" applyBorder="1"/>
    <xf numFmtId="169" fontId="36" fillId="44" borderId="43" xfId="0" applyNumberFormat="1" applyFont="1" applyFill="1" applyBorder="1" applyAlignment="1">
      <alignment horizontal="left" textRotation="90" wrapText="1"/>
    </xf>
    <xf numFmtId="8" fontId="36" fillId="44" borderId="43" xfId="0" applyNumberFormat="1" applyFont="1" applyFill="1" applyBorder="1" applyAlignment="1">
      <alignment horizontal="left" textRotation="90" wrapText="1"/>
    </xf>
    <xf numFmtId="0" fontId="36" fillId="44" borderId="43" xfId="0" applyFont="1" applyFill="1" applyBorder="1" applyAlignment="1">
      <alignment horizontal="left" textRotation="90" wrapText="1"/>
    </xf>
    <xf numFmtId="169" fontId="36" fillId="45" borderId="0" xfId="0" applyNumberFormat="1" applyFont="1" applyFill="1"/>
    <xf numFmtId="169" fontId="39" fillId="46" borderId="0" xfId="0" applyNumberFormat="1" applyFont="1" applyFill="1" applyAlignment="1">
      <alignment horizontal="left" wrapText="1"/>
    </xf>
    <xf numFmtId="169" fontId="36" fillId="46" borderId="43" xfId="0" applyNumberFormat="1" applyFont="1" applyFill="1" applyBorder="1"/>
    <xf numFmtId="0" fontId="39" fillId="0" borderId="16" xfId="0" applyFont="1" applyBorder="1" applyAlignment="1">
      <alignment horizontal="left" wrapText="1"/>
    </xf>
    <xf numFmtId="169" fontId="0" fillId="0" borderId="44" xfId="0" applyNumberFormat="1" applyBorder="1"/>
    <xf numFmtId="169" fontId="36" fillId="24" borderId="44" xfId="0" applyNumberFormat="1" applyFont="1" applyFill="1" applyBorder="1"/>
    <xf numFmtId="169" fontId="36" fillId="0" borderId="44" xfId="0" applyNumberFormat="1" applyFont="1" applyBorder="1"/>
    <xf numFmtId="169" fontId="36" fillId="46" borderId="44" xfId="0" applyNumberFormat="1" applyFont="1" applyFill="1" applyBorder="1"/>
    <xf numFmtId="169" fontId="38" fillId="0" borderId="43" xfId="0" applyNumberFormat="1" applyFont="1" applyBorder="1" applyAlignment="1">
      <alignment horizontal="left" wrapText="1"/>
    </xf>
    <xf numFmtId="0" fontId="0" fillId="0" borderId="43" xfId="0" applyBorder="1"/>
    <xf numFmtId="0" fontId="36" fillId="44" borderId="43" xfId="0" applyFont="1" applyFill="1" applyBorder="1" applyAlignment="1">
      <alignment horizontal="left" wrapText="1"/>
    </xf>
    <xf numFmtId="169" fontId="0" fillId="46" borderId="0" xfId="0" applyNumberFormat="1" applyFill="1"/>
    <xf numFmtId="0" fontId="0" fillId="46" borderId="0" xfId="0" applyFill="1"/>
    <xf numFmtId="0" fontId="36" fillId="25" borderId="0" xfId="0" applyFont="1" applyFill="1"/>
    <xf numFmtId="169" fontId="0" fillId="25" borderId="0" xfId="0" applyNumberFormat="1" applyFill="1"/>
    <xf numFmtId="0" fontId="0" fillId="25" borderId="0" xfId="0" applyFill="1"/>
    <xf numFmtId="169" fontId="36" fillId="45" borderId="43" xfId="0" applyNumberFormat="1" applyFont="1" applyFill="1" applyBorder="1"/>
    <xf numFmtId="0" fontId="36" fillId="44" borderId="45" xfId="0" applyFont="1" applyFill="1" applyBorder="1"/>
    <xf numFmtId="169" fontId="36" fillId="44" borderId="45" xfId="0" applyNumberFormat="1" applyFont="1" applyFill="1" applyBorder="1" applyAlignment="1">
      <alignment horizontal="left" textRotation="90" wrapText="1"/>
    </xf>
    <xf numFmtId="8" fontId="36" fillId="44" borderId="45" xfId="0" applyNumberFormat="1" applyFont="1" applyFill="1" applyBorder="1" applyAlignment="1">
      <alignment horizontal="left" textRotation="90" wrapText="1"/>
    </xf>
    <xf numFmtId="0" fontId="36" fillId="44" borderId="45" xfId="0" applyFont="1" applyFill="1" applyBorder="1" applyAlignment="1">
      <alignment horizontal="left" textRotation="90" wrapText="1"/>
    </xf>
    <xf numFmtId="0" fontId="36" fillId="44" borderId="43" xfId="0" applyFont="1" applyFill="1" applyBorder="1" applyAlignment="1">
      <alignment wrapText="1"/>
    </xf>
    <xf numFmtId="0" fontId="39" fillId="43" borderId="10" xfId="0" applyFont="1" applyFill="1" applyBorder="1" applyAlignment="1">
      <alignment horizontal="left" wrapText="1"/>
    </xf>
    <xf numFmtId="0" fontId="41" fillId="43" borderId="10" xfId="0" applyFont="1" applyFill="1" applyBorder="1" applyAlignment="1">
      <alignment horizontal="left" wrapText="1"/>
    </xf>
    <xf numFmtId="44" fontId="5" fillId="0" borderId="0" xfId="50" applyFont="1" applyAlignment="1">
      <alignment horizontal="right"/>
    </xf>
    <xf numFmtId="44" fontId="42" fillId="33" borderId="10" xfId="50" applyFont="1" applyFill="1" applyBorder="1" applyAlignment="1">
      <alignment horizontal="right"/>
    </xf>
    <xf numFmtId="44" fontId="43" fillId="0" borderId="10" xfId="50" applyFont="1" applyFill="1" applyBorder="1" applyAlignment="1">
      <alignment horizontal="right" wrapText="1"/>
    </xf>
    <xf numFmtId="44" fontId="43" fillId="0" borderId="10" xfId="50" applyFont="1" applyBorder="1" applyAlignment="1">
      <alignment horizontal="right" wrapText="1"/>
    </xf>
    <xf numFmtId="44" fontId="42" fillId="0" borderId="0" xfId="50" applyFont="1" applyAlignment="1">
      <alignment horizontal="right"/>
    </xf>
    <xf numFmtId="173" fontId="10" fillId="24" borderId="16" xfId="0" applyNumberFormat="1" applyFont="1" applyFill="1" applyBorder="1" applyAlignment="1">
      <alignment horizontal="center" vertical="center"/>
    </xf>
    <xf numFmtId="174" fontId="39" fillId="0" borderId="10" xfId="0" applyNumberFormat="1" applyFont="1" applyBorder="1" applyAlignment="1">
      <alignment horizontal="left" wrapText="1"/>
    </xf>
    <xf numFmtId="2" fontId="39" fillId="0" borderId="19" xfId="0" applyNumberFormat="1" applyFont="1" applyBorder="1" applyAlignment="1">
      <alignment horizontal="left" wrapText="1"/>
    </xf>
    <xf numFmtId="169" fontId="36" fillId="26" borderId="46" xfId="38" applyNumberFormat="1" applyFont="1" applyFill="1" applyBorder="1" applyAlignment="1">
      <alignment horizontal="center" vertical="center" wrapText="1"/>
    </xf>
    <xf numFmtId="169" fontId="36" fillId="31" borderId="36" xfId="38" applyNumberFormat="1" applyFont="1" applyFill="1" applyBorder="1" applyAlignment="1">
      <alignment horizontal="center" vertical="center" wrapText="1"/>
    </xf>
    <xf numFmtId="173" fontId="10" fillId="31" borderId="19" xfId="0" applyNumberFormat="1" applyFont="1" applyFill="1" applyBorder="1" applyAlignment="1">
      <alignment horizontal="center" vertical="center"/>
    </xf>
    <xf numFmtId="173" fontId="10" fillId="24" borderId="19" xfId="0" applyNumberFormat="1" applyFont="1" applyFill="1" applyBorder="1" applyAlignment="1">
      <alignment horizontal="center" vertical="center"/>
    </xf>
    <xf numFmtId="0" fontId="36" fillId="25" borderId="47" xfId="0" applyFont="1" applyFill="1" applyBorder="1" applyAlignment="1">
      <alignment horizontal="center" vertical="center" wrapText="1"/>
    </xf>
    <xf numFmtId="0" fontId="36" fillId="31" borderId="40" xfId="0" applyFont="1" applyFill="1" applyBorder="1" applyAlignment="1">
      <alignment horizontal="center" vertical="center"/>
    </xf>
    <xf numFmtId="173" fontId="10" fillId="31" borderId="29" xfId="50" applyNumberFormat="1" applyFont="1" applyFill="1" applyBorder="1" applyAlignment="1">
      <alignment horizontal="center" vertical="center"/>
    </xf>
    <xf numFmtId="173" fontId="10" fillId="0" borderId="29" xfId="50" applyNumberFormat="1" applyFont="1" applyBorder="1" applyAlignment="1">
      <alignment horizontal="center" vertical="center"/>
    </xf>
    <xf numFmtId="173" fontId="36" fillId="0" borderId="20" xfId="0" applyNumberFormat="1" applyFont="1" applyBorder="1" applyAlignment="1">
      <alignment horizontal="center" vertical="center"/>
    </xf>
    <xf numFmtId="165" fontId="36" fillId="37" borderId="14" xfId="38" applyNumberFormat="1" applyFont="1" applyFill="1" applyBorder="1" applyAlignment="1">
      <alignment horizontal="left" textRotation="90" wrapText="1"/>
    </xf>
    <xf numFmtId="169" fontId="0" fillId="0" borderId="48" xfId="0" applyNumberFormat="1" applyBorder="1"/>
    <xf numFmtId="169" fontId="0" fillId="0" borderId="49" xfId="0" applyNumberFormat="1" applyBorder="1"/>
    <xf numFmtId="169" fontId="0" fillId="0" borderId="10" xfId="0" applyNumberFormat="1" applyBorder="1"/>
    <xf numFmtId="0" fontId="38" fillId="0" borderId="10" xfId="51" applyFont="1" applyBorder="1" applyAlignment="1">
      <alignment horizontal="left" wrapText="1"/>
    </xf>
    <xf numFmtId="167" fontId="37" fillId="0" borderId="19" xfId="0" applyNumberFormat="1" applyFont="1" applyBorder="1" applyAlignment="1">
      <alignment horizontal="right"/>
    </xf>
    <xf numFmtId="0" fontId="37" fillId="0" borderId="10" xfId="0" applyFont="1" applyBorder="1" applyAlignment="1">
      <alignment horizontal="left"/>
    </xf>
    <xf numFmtId="174" fontId="37" fillId="0" borderId="10" xfId="50" applyNumberFormat="1" applyFont="1" applyFill="1" applyBorder="1" applyAlignment="1">
      <alignment horizontal="left" wrapText="1"/>
    </xf>
    <xf numFmtId="8" fontId="39" fillId="0" borderId="19" xfId="0" applyNumberFormat="1" applyFont="1" applyBorder="1" applyAlignment="1">
      <alignment horizontal="left" wrapText="1"/>
    </xf>
    <xf numFmtId="167" fontId="37" fillId="0" borderId="36" xfId="0" applyNumberFormat="1" applyFont="1" applyBorder="1" applyAlignment="1">
      <alignment horizontal="right"/>
    </xf>
    <xf numFmtId="174" fontId="39" fillId="0" borderId="18" xfId="0" applyNumberFormat="1" applyFont="1" applyBorder="1" applyAlignment="1">
      <alignment horizontal="left" wrapText="1"/>
    </xf>
    <xf numFmtId="167" fontId="37" fillId="0" borderId="10" xfId="0" applyNumberFormat="1" applyFont="1" applyBorder="1" applyAlignment="1">
      <alignment horizontal="right" wrapText="1"/>
    </xf>
    <xf numFmtId="0" fontId="37" fillId="0" borderId="16" xfId="0" applyFont="1" applyBorder="1" applyAlignment="1">
      <alignment wrapText="1"/>
    </xf>
    <xf numFmtId="0" fontId="37" fillId="0" borderId="19" xfId="0" applyFont="1" applyBorder="1" applyAlignment="1">
      <alignment wrapText="1"/>
    </xf>
    <xf numFmtId="0" fontId="40" fillId="0" borderId="10" xfId="0" applyFont="1" applyBorder="1" applyAlignment="1">
      <alignment horizontal="left"/>
    </xf>
    <xf numFmtId="174" fontId="37" fillId="0" borderId="10" xfId="0" applyNumberFormat="1" applyFont="1" applyBorder="1" applyAlignment="1">
      <alignment horizontal="left" wrapText="1"/>
    </xf>
    <xf numFmtId="174" fontId="40" fillId="0" borderId="10" xfId="0" applyNumberFormat="1" applyFont="1" applyBorder="1" applyAlignment="1">
      <alignment horizontal="left"/>
    </xf>
    <xf numFmtId="174" fontId="47" fillId="0" borderId="10" xfId="0" applyNumberFormat="1" applyFont="1" applyBorder="1" applyAlignment="1">
      <alignment horizontal="left"/>
    </xf>
    <xf numFmtId="0" fontId="37" fillId="0" borderId="19" xfId="0" applyFont="1" applyBorder="1" applyAlignment="1">
      <alignment horizontal="left" wrapText="1"/>
    </xf>
    <xf numFmtId="167" fontId="39" fillId="0" borderId="19" xfId="0" applyNumberFormat="1" applyFont="1" applyBorder="1" applyAlignment="1">
      <alignment horizontal="right"/>
    </xf>
    <xf numFmtId="167" fontId="39" fillId="0" borderId="34" xfId="0" applyNumberFormat="1" applyFont="1" applyBorder="1" applyAlignment="1">
      <alignment horizontal="right"/>
    </xf>
    <xf numFmtId="167" fontId="37" fillId="0" borderId="34" xfId="0" applyNumberFormat="1" applyFont="1" applyBorder="1" applyAlignment="1">
      <alignment horizontal="right"/>
    </xf>
    <xf numFmtId="0" fontId="37" fillId="0" borderId="11" xfId="0" applyFont="1" applyBorder="1" applyAlignment="1">
      <alignment wrapText="1"/>
    </xf>
    <xf numFmtId="0" fontId="37" fillId="0" borderId="11" xfId="0" applyFont="1" applyBorder="1" applyAlignment="1">
      <alignment horizontal="left" wrapText="1"/>
    </xf>
    <xf numFmtId="0" fontId="37" fillId="0" borderId="11" xfId="0" applyFont="1" applyBorder="1" applyAlignment="1">
      <alignment horizontal="left"/>
    </xf>
    <xf numFmtId="174" fontId="37" fillId="0" borderId="11" xfId="50" applyNumberFormat="1" applyFont="1" applyFill="1" applyBorder="1" applyAlignment="1">
      <alignment horizontal="left" wrapText="1"/>
    </xf>
    <xf numFmtId="174" fontId="39" fillId="0" borderId="11" xfId="0" applyNumberFormat="1" applyFont="1" applyBorder="1" applyAlignment="1">
      <alignment horizontal="left" wrapText="1"/>
    </xf>
    <xf numFmtId="0" fontId="41" fillId="0" borderId="0" xfId="0" applyFont="1" applyAlignment="1">
      <alignment horizontal="left" wrapText="1"/>
    </xf>
    <xf numFmtId="0" fontId="38" fillId="0" borderId="19" xfId="0" applyFont="1" applyBorder="1" applyAlignment="1">
      <alignment horizontal="left" wrapText="1"/>
    </xf>
    <xf numFmtId="44" fontId="37" fillId="0" borderId="10" xfId="57" applyFont="1" applyFill="1" applyBorder="1" applyAlignment="1">
      <alignment wrapText="1"/>
    </xf>
    <xf numFmtId="44" fontId="43" fillId="0" borderId="40" xfId="64" applyNumberFormat="1" applyFont="1" applyBorder="1"/>
    <xf numFmtId="44" fontId="43" fillId="0" borderId="10" xfId="64" applyNumberFormat="1" applyFont="1" applyBorder="1" applyAlignment="1">
      <alignment horizontal="right"/>
    </xf>
    <xf numFmtId="44" fontId="43" fillId="0" borderId="0" xfId="64" applyNumberFormat="1" applyFont="1"/>
    <xf numFmtId="44" fontId="42" fillId="0" borderId="10" xfId="64" applyNumberFormat="1" applyFont="1" applyBorder="1" applyAlignment="1">
      <alignment horizontal="right" wrapText="1"/>
    </xf>
    <xf numFmtId="6" fontId="10" fillId="0" borderId="0" xfId="0" applyNumberFormat="1" applyFont="1"/>
    <xf numFmtId="0" fontId="36" fillId="0" borderId="0" xfId="0" applyFont="1" applyAlignment="1">
      <alignment horizontal="left" wrapText="1"/>
    </xf>
    <xf numFmtId="0" fontId="37" fillId="0" borderId="24" xfId="0" applyFont="1" applyBorder="1" applyAlignment="1">
      <alignment horizontal="center" vertical="center"/>
    </xf>
    <xf numFmtId="44" fontId="37" fillId="0" borderId="11" xfId="50" applyFont="1" applyFill="1" applyBorder="1" applyAlignment="1">
      <alignment wrapText="1"/>
    </xf>
    <xf numFmtId="173" fontId="10" fillId="24" borderId="35" xfId="0" applyNumberFormat="1" applyFont="1" applyFill="1" applyBorder="1" applyAlignment="1">
      <alignment horizontal="center" vertical="center"/>
    </xf>
    <xf numFmtId="0" fontId="10" fillId="0" borderId="50" xfId="0" applyFont="1" applyBorder="1"/>
    <xf numFmtId="167" fontId="10" fillId="0" borderId="51" xfId="0" applyNumberFormat="1" applyFont="1" applyBorder="1" applyAlignment="1">
      <alignment horizontal="center" vertical="center"/>
    </xf>
    <xf numFmtId="173" fontId="10" fillId="24" borderId="52" xfId="0" applyNumberFormat="1" applyFont="1" applyFill="1" applyBorder="1" applyAlignment="1">
      <alignment horizontal="center" vertical="center"/>
    </xf>
    <xf numFmtId="173" fontId="10" fillId="0" borderId="52" xfId="50" applyNumberFormat="1" applyFont="1" applyBorder="1" applyAlignment="1">
      <alignment horizontal="center" vertical="center"/>
    </xf>
    <xf numFmtId="173" fontId="10" fillId="0" borderId="53" xfId="50" applyNumberFormat="1" applyFont="1" applyBorder="1" applyAlignment="1">
      <alignment horizontal="center" vertical="center"/>
    </xf>
    <xf numFmtId="173" fontId="10" fillId="24" borderId="51" xfId="0" applyNumberFormat="1" applyFont="1" applyFill="1" applyBorder="1" applyAlignment="1">
      <alignment horizontal="center" vertical="center"/>
    </xf>
    <xf numFmtId="173" fontId="10" fillId="24" borderId="54" xfId="0" applyNumberFormat="1" applyFont="1" applyFill="1" applyBorder="1" applyAlignment="1">
      <alignment horizontal="center" vertical="center"/>
    </xf>
    <xf numFmtId="0" fontId="10" fillId="0" borderId="55" xfId="0" applyFont="1" applyBorder="1"/>
    <xf numFmtId="0" fontId="10" fillId="0" borderId="56" xfId="0" applyFont="1" applyBorder="1"/>
    <xf numFmtId="167" fontId="10" fillId="0" borderId="57" xfId="0" applyNumberFormat="1" applyFont="1" applyBorder="1" applyAlignment="1">
      <alignment horizontal="center" vertical="center"/>
    </xf>
    <xf numFmtId="173" fontId="10" fillId="24" borderId="58" xfId="0" applyNumberFormat="1" applyFont="1" applyFill="1" applyBorder="1" applyAlignment="1">
      <alignment horizontal="center" vertical="center"/>
    </xf>
    <xf numFmtId="173" fontId="10" fillId="0" borderId="58" xfId="50" applyNumberFormat="1" applyFont="1" applyBorder="1" applyAlignment="1">
      <alignment horizontal="center" vertical="center"/>
    </xf>
    <xf numFmtId="173" fontId="10" fillId="0" borderId="59" xfId="50" applyNumberFormat="1" applyFont="1" applyBorder="1" applyAlignment="1">
      <alignment horizontal="center" vertical="center"/>
    </xf>
    <xf numFmtId="173" fontId="10" fillId="24" borderId="57" xfId="0" applyNumberFormat="1" applyFont="1" applyFill="1" applyBorder="1" applyAlignment="1">
      <alignment horizontal="center" vertical="center"/>
    </xf>
    <xf numFmtId="0" fontId="10" fillId="0" borderId="60" xfId="0" applyFont="1" applyBorder="1" applyAlignment="1">
      <alignment wrapText="1"/>
    </xf>
    <xf numFmtId="0" fontId="10" fillId="0" borderId="55" xfId="0" applyFont="1" applyBorder="1" applyAlignment="1">
      <alignment wrapText="1"/>
    </xf>
    <xf numFmtId="167" fontId="10" fillId="24" borderId="58" xfId="0" applyNumberFormat="1" applyFont="1" applyFill="1" applyBorder="1" applyAlignment="1">
      <alignment horizontal="center" vertical="center"/>
    </xf>
    <xf numFmtId="167" fontId="10" fillId="24" borderId="52" xfId="0" applyNumberFormat="1" applyFont="1" applyFill="1" applyBorder="1" applyAlignment="1">
      <alignment horizontal="center" vertical="center"/>
    </xf>
    <xf numFmtId="167" fontId="37" fillId="0" borderId="19" xfId="0" applyNumberFormat="1" applyFont="1" applyBorder="1" applyAlignment="1">
      <alignment horizontal="right" wrapText="1"/>
    </xf>
    <xf numFmtId="173" fontId="10" fillId="24" borderId="59" xfId="0" applyNumberFormat="1" applyFont="1" applyFill="1" applyBorder="1" applyAlignment="1">
      <alignment horizontal="center" vertical="center"/>
    </xf>
    <xf numFmtId="173" fontId="10" fillId="24" borderId="53" xfId="0" applyNumberFormat="1" applyFont="1" applyFill="1" applyBorder="1" applyAlignment="1">
      <alignment horizontal="center" vertical="center"/>
    </xf>
    <xf numFmtId="173" fontId="10" fillId="0" borderId="51" xfId="0" applyNumberFormat="1" applyFont="1" applyBorder="1" applyAlignment="1">
      <alignment horizontal="center" vertical="center"/>
    </xf>
    <xf numFmtId="173" fontId="10" fillId="0" borderId="52" xfId="0" applyNumberFormat="1" applyFont="1" applyBorder="1" applyAlignment="1">
      <alignment horizontal="center" vertical="center"/>
    </xf>
    <xf numFmtId="173" fontId="10" fillId="0" borderId="54" xfId="0" applyNumberFormat="1" applyFont="1" applyBorder="1" applyAlignment="1">
      <alignment horizontal="center" vertical="center"/>
    </xf>
    <xf numFmtId="44" fontId="10" fillId="0" borderId="52" xfId="0" applyNumberFormat="1" applyFont="1" applyBorder="1" applyAlignment="1">
      <alignment horizontal="center" vertical="center"/>
    </xf>
    <xf numFmtId="43" fontId="10" fillId="0" borderId="13" xfId="66" applyFont="1" applyBorder="1"/>
    <xf numFmtId="169" fontId="10" fillId="24" borderId="58" xfId="0" applyNumberFormat="1" applyFont="1" applyFill="1" applyBorder="1"/>
    <xf numFmtId="173" fontId="10" fillId="0" borderId="10" xfId="0" applyNumberFormat="1" applyFont="1" applyBorder="1" applyAlignment="1">
      <alignment horizontal="center" vertical="center"/>
    </xf>
    <xf numFmtId="0" fontId="39" fillId="0" borderId="18" xfId="0" applyFont="1" applyBorder="1" applyAlignment="1">
      <alignment horizontal="left" vertical="top"/>
    </xf>
    <xf numFmtId="0" fontId="39" fillId="0" borderId="10" xfId="0" applyFont="1" applyBorder="1" applyAlignment="1">
      <alignment horizontal="left" vertical="top" wrapText="1"/>
    </xf>
    <xf numFmtId="0" fontId="39" fillId="0" borderId="18" xfId="0" applyFont="1" applyBorder="1" applyAlignment="1">
      <alignment horizontal="left" vertical="top" wrapText="1"/>
    </xf>
    <xf numFmtId="0" fontId="37" fillId="0" borderId="10" xfId="0" applyFont="1" applyBorder="1" applyAlignment="1">
      <alignment horizontal="left" vertical="top" wrapText="1"/>
    </xf>
    <xf numFmtId="0" fontId="39" fillId="0" borderId="11" xfId="0" applyFont="1" applyBorder="1" applyAlignment="1">
      <alignment horizontal="left" vertical="top" wrapText="1"/>
    </xf>
    <xf numFmtId="1" fontId="39" fillId="0" borderId="10" xfId="0" applyNumberFormat="1" applyFont="1" applyBorder="1" applyAlignment="1">
      <alignment horizontal="left" vertical="top" wrapText="1"/>
    </xf>
    <xf numFmtId="0" fontId="39" fillId="0" borderId="0" xfId="0" applyFont="1" applyAlignment="1">
      <alignment horizontal="left" vertical="top"/>
    </xf>
    <xf numFmtId="0" fontId="39" fillId="0" borderId="0" xfId="0" applyFont="1" applyAlignment="1">
      <alignment horizontal="left" vertical="top" wrapText="1"/>
    </xf>
    <xf numFmtId="0" fontId="39" fillId="39" borderId="10" xfId="0" applyFont="1" applyFill="1" applyBorder="1" applyAlignment="1">
      <alignment horizontal="left" wrapText="1"/>
    </xf>
    <xf numFmtId="0" fontId="36" fillId="31" borderId="35" xfId="0" applyFont="1" applyFill="1" applyBorder="1" applyAlignment="1">
      <alignment horizontal="center" vertical="center"/>
    </xf>
    <xf numFmtId="173" fontId="10" fillId="31" borderId="16" xfId="50" applyNumberFormat="1" applyFont="1" applyFill="1" applyBorder="1" applyAlignment="1">
      <alignment horizontal="center" vertical="center"/>
    </xf>
    <xf numFmtId="173" fontId="10" fillId="0" borderId="16" xfId="50" applyNumberFormat="1" applyFont="1" applyBorder="1" applyAlignment="1">
      <alignment horizontal="center" vertical="center"/>
    </xf>
    <xf numFmtId="173" fontId="10" fillId="0" borderId="54" xfId="50" applyNumberFormat="1" applyFont="1" applyBorder="1" applyAlignment="1">
      <alignment horizontal="center" vertical="center"/>
    </xf>
    <xf numFmtId="173" fontId="10" fillId="0" borderId="66" xfId="50" applyNumberFormat="1" applyFont="1" applyBorder="1" applyAlignment="1">
      <alignment horizontal="center" vertical="center"/>
    </xf>
    <xf numFmtId="173" fontId="10" fillId="24" borderId="66" xfId="0" applyNumberFormat="1" applyFont="1" applyFill="1" applyBorder="1" applyAlignment="1">
      <alignment horizontal="center" vertical="center"/>
    </xf>
    <xf numFmtId="172" fontId="10" fillId="0" borderId="0" xfId="0" applyNumberFormat="1" applyFont="1"/>
    <xf numFmtId="169" fontId="36" fillId="31" borderId="35" xfId="38" applyNumberFormat="1" applyFont="1" applyFill="1" applyBorder="1" applyAlignment="1">
      <alignment horizontal="center" vertical="center" wrapText="1"/>
    </xf>
    <xf numFmtId="173" fontId="10" fillId="31" borderId="16" xfId="0" applyNumberFormat="1" applyFont="1" applyFill="1" applyBorder="1" applyAlignment="1">
      <alignment horizontal="center" vertical="center"/>
    </xf>
    <xf numFmtId="173" fontId="10" fillId="35" borderId="0" xfId="0" applyNumberFormat="1" applyFont="1" applyFill="1"/>
    <xf numFmtId="0" fontId="10" fillId="0" borderId="0" xfId="0" applyFont="1" applyAlignment="1">
      <alignment horizontal="right"/>
    </xf>
    <xf numFmtId="173" fontId="36" fillId="41" borderId="14" xfId="0" applyNumberFormat="1" applyFont="1" applyFill="1" applyBorder="1" applyAlignment="1">
      <alignment horizontal="center" vertical="center"/>
    </xf>
    <xf numFmtId="173" fontId="36" fillId="0" borderId="0" xfId="0" applyNumberFormat="1" applyFont="1"/>
    <xf numFmtId="0" fontId="10" fillId="41" borderId="0" xfId="0" applyFont="1" applyFill="1"/>
    <xf numFmtId="0" fontId="36" fillId="41" borderId="0" xfId="0" applyFont="1" applyFill="1" applyAlignment="1">
      <alignment horizontal="right"/>
    </xf>
    <xf numFmtId="0" fontId="36" fillId="47" borderId="0" xfId="0" applyFont="1" applyFill="1" applyAlignment="1">
      <alignment horizontal="right"/>
    </xf>
    <xf numFmtId="0" fontId="36" fillId="42" borderId="0" xfId="0" applyFont="1" applyFill="1" applyAlignment="1">
      <alignment horizontal="right"/>
    </xf>
    <xf numFmtId="0" fontId="10" fillId="42" borderId="0" xfId="0" applyFont="1" applyFill="1"/>
    <xf numFmtId="0" fontId="10" fillId="47" borderId="0" xfId="0" applyFont="1" applyFill="1"/>
    <xf numFmtId="173" fontId="36" fillId="41" borderId="0" xfId="0" applyNumberFormat="1" applyFont="1" applyFill="1"/>
    <xf numFmtId="173" fontId="36" fillId="47" borderId="0" xfId="0" applyNumberFormat="1" applyFont="1" applyFill="1"/>
    <xf numFmtId="0" fontId="39" fillId="49" borderId="10" xfId="0" applyFont="1" applyFill="1" applyBorder="1" applyAlignment="1">
      <alignment horizontal="left" wrapText="1"/>
    </xf>
    <xf numFmtId="167" fontId="39" fillId="0" borderId="18" xfId="0" applyNumberFormat="1" applyFont="1" applyBorder="1"/>
    <xf numFmtId="173" fontId="36" fillId="42" borderId="0" xfId="0" applyNumberFormat="1" applyFont="1" applyFill="1"/>
    <xf numFmtId="44" fontId="52" fillId="0" borderId="10" xfId="64" applyNumberFormat="1" applyFont="1" applyBorder="1"/>
    <xf numFmtId="44" fontId="52" fillId="0" borderId="29" xfId="64" applyNumberFormat="1" applyFont="1" applyBorder="1"/>
    <xf numFmtId="44" fontId="44" fillId="34" borderId="10" xfId="0" quotePrefix="1" applyNumberFormat="1" applyFont="1" applyFill="1" applyBorder="1" applyAlignment="1">
      <alignment horizontal="center" vertical="center"/>
    </xf>
    <xf numFmtId="44" fontId="44" fillId="34" borderId="29" xfId="0" quotePrefix="1" applyNumberFormat="1" applyFont="1" applyFill="1" applyBorder="1" applyAlignment="1">
      <alignment horizontal="center" vertical="center"/>
    </xf>
    <xf numFmtId="44" fontId="44" fillId="34" borderId="19" xfId="0" quotePrefix="1" applyNumberFormat="1" applyFont="1" applyFill="1" applyBorder="1" applyAlignment="1">
      <alignment horizontal="center" vertical="center"/>
    </xf>
    <xf numFmtId="44" fontId="5" fillId="0" borderId="31" xfId="64" applyNumberFormat="1" applyBorder="1"/>
    <xf numFmtId="44" fontId="42" fillId="33" borderId="32" xfId="64" applyNumberFormat="1" applyFont="1" applyFill="1" applyBorder="1" applyAlignment="1">
      <alignment horizontal="center"/>
    </xf>
    <xf numFmtId="44" fontId="43" fillId="32" borderId="10" xfId="64" applyNumberFormat="1" applyFont="1" applyFill="1" applyBorder="1" applyAlignment="1">
      <alignment horizontal="right"/>
    </xf>
    <xf numFmtId="44" fontId="42" fillId="33" borderId="10" xfId="64" applyNumberFormat="1" applyFont="1" applyFill="1" applyBorder="1"/>
    <xf numFmtId="44" fontId="42" fillId="33" borderId="10" xfId="64" applyNumberFormat="1" applyFont="1" applyFill="1" applyBorder="1" applyAlignment="1">
      <alignment wrapText="1"/>
    </xf>
    <xf numFmtId="44" fontId="42" fillId="33" borderId="10" xfId="64" applyNumberFormat="1" applyFont="1" applyFill="1" applyBorder="1" applyAlignment="1">
      <alignment horizontal="center" wrapText="1"/>
    </xf>
    <xf numFmtId="44" fontId="48" fillId="33" borderId="10" xfId="64" applyNumberFormat="1" applyFont="1" applyFill="1" applyBorder="1" applyAlignment="1">
      <alignment horizontal="center" wrapText="1"/>
    </xf>
    <xf numFmtId="44" fontId="5" fillId="0" borderId="10" xfId="64" applyNumberFormat="1" applyBorder="1"/>
    <xf numFmtId="44" fontId="43" fillId="0" borderId="32" xfId="64" applyNumberFormat="1" applyFont="1" applyBorder="1" applyAlignment="1">
      <alignment horizontal="center"/>
    </xf>
    <xf numFmtId="44" fontId="4" fillId="0" borderId="0" xfId="64" applyNumberFormat="1" applyFont="1"/>
    <xf numFmtId="44" fontId="5" fillId="0" borderId="29" xfId="64" applyNumberFormat="1" applyBorder="1"/>
    <xf numFmtId="44" fontId="5" fillId="0" borderId="22" xfId="64" applyNumberFormat="1" applyBorder="1"/>
    <xf numFmtId="44" fontId="43" fillId="0" borderId="36" xfId="64" applyNumberFormat="1" applyFont="1" applyBorder="1"/>
    <xf numFmtId="44" fontId="53" fillId="0" borderId="0" xfId="64" applyNumberFormat="1" applyFont="1"/>
    <xf numFmtId="44" fontId="43" fillId="0" borderId="16" xfId="64" applyNumberFormat="1" applyFont="1" applyBorder="1"/>
    <xf numFmtId="44" fontId="43" fillId="0" borderId="19" xfId="64" applyNumberFormat="1" applyFont="1" applyBorder="1" applyAlignment="1">
      <alignment horizontal="center"/>
    </xf>
    <xf numFmtId="44" fontId="5" fillId="0" borderId="19" xfId="64" applyNumberFormat="1" applyBorder="1"/>
    <xf numFmtId="44" fontId="43" fillId="0" borderId="19" xfId="64" applyNumberFormat="1" applyFont="1" applyBorder="1" applyAlignment="1">
      <alignment horizontal="center" wrapText="1"/>
    </xf>
    <xf numFmtId="44" fontId="43" fillId="0" borderId="10" xfId="64" applyNumberFormat="1" applyFont="1" applyBorder="1" applyAlignment="1">
      <alignment horizontal="right" wrapText="1"/>
    </xf>
    <xf numFmtId="44" fontId="43" fillId="0" borderId="0" xfId="64" applyNumberFormat="1" applyFont="1" applyAlignment="1">
      <alignment horizontal="center"/>
    </xf>
    <xf numFmtId="44" fontId="43" fillId="0" borderId="0" xfId="64" applyNumberFormat="1" applyFont="1" applyAlignment="1">
      <alignment horizontal="right"/>
    </xf>
    <xf numFmtId="44" fontId="43" fillId="0" borderId="0" xfId="64" applyNumberFormat="1" applyFont="1" applyAlignment="1">
      <alignment wrapText="1"/>
    </xf>
    <xf numFmtId="44" fontId="43" fillId="0" borderId="0" xfId="64" applyNumberFormat="1" applyFont="1" applyAlignment="1">
      <alignment horizontal="right" wrapText="1"/>
    </xf>
    <xf numFmtId="44" fontId="52" fillId="0" borderId="10" xfId="64" applyNumberFormat="1" applyFont="1" applyBorder="1" applyAlignment="1">
      <alignment horizontal="right"/>
    </xf>
    <xf numFmtId="175" fontId="44" fillId="34" borderId="19" xfId="0" quotePrefix="1" applyNumberFormat="1" applyFont="1" applyFill="1" applyBorder="1" applyAlignment="1">
      <alignment horizontal="center" vertical="center"/>
    </xf>
    <xf numFmtId="175" fontId="44" fillId="34" borderId="10" xfId="0" quotePrefix="1" applyNumberFormat="1" applyFont="1" applyFill="1" applyBorder="1" applyAlignment="1">
      <alignment horizontal="center" vertical="center"/>
    </xf>
    <xf numFmtId="175" fontId="44" fillId="34" borderId="0" xfId="0" quotePrefix="1" applyNumberFormat="1" applyFont="1" applyFill="1" applyAlignment="1">
      <alignment horizontal="center" vertical="center"/>
    </xf>
    <xf numFmtId="176" fontId="43" fillId="0" borderId="10" xfId="66" applyNumberFormat="1" applyFont="1" applyFill="1" applyBorder="1" applyAlignment="1">
      <alignment wrapText="1"/>
    </xf>
    <xf numFmtId="165" fontId="43" fillId="0" borderId="10" xfId="64" applyNumberFormat="1" applyFont="1" applyBorder="1" applyAlignment="1">
      <alignment wrapText="1"/>
    </xf>
    <xf numFmtId="173" fontId="10" fillId="0" borderId="0" xfId="0" applyNumberFormat="1" applyFont="1"/>
    <xf numFmtId="173" fontId="36" fillId="35" borderId="14" xfId="0" applyNumberFormat="1" applyFont="1" applyFill="1" applyBorder="1" applyAlignment="1">
      <alignment horizontal="center" vertical="center"/>
    </xf>
    <xf numFmtId="173" fontId="36" fillId="38" borderId="14" xfId="0" applyNumberFormat="1" applyFont="1" applyFill="1" applyBorder="1" applyAlignment="1">
      <alignment horizontal="center" vertical="center"/>
    </xf>
    <xf numFmtId="173" fontId="36" fillId="47" borderId="14" xfId="0" applyNumberFormat="1" applyFont="1" applyFill="1" applyBorder="1" applyAlignment="1">
      <alignment horizontal="center" vertical="center"/>
    </xf>
    <xf numFmtId="173" fontId="36" fillId="48" borderId="14" xfId="0" applyNumberFormat="1" applyFont="1" applyFill="1" applyBorder="1" applyAlignment="1">
      <alignment horizontal="center" vertical="center"/>
    </xf>
    <xf numFmtId="0" fontId="36" fillId="0" borderId="0" xfId="0" applyFont="1" applyAlignment="1">
      <alignment horizontal="right"/>
    </xf>
    <xf numFmtId="167" fontId="39" fillId="0" borderId="10" xfId="0" applyNumberFormat="1" applyFont="1" applyBorder="1" applyAlignment="1">
      <alignment wrapText="1"/>
    </xf>
    <xf numFmtId="0" fontId="36" fillId="36" borderId="10" xfId="38" applyFont="1" applyFill="1" applyBorder="1" applyAlignment="1">
      <alignment horizontal="left" wrapText="1"/>
    </xf>
    <xf numFmtId="44" fontId="1" fillId="0" borderId="0" xfId="50" applyFont="1" applyAlignment="1">
      <alignment horizontal="right"/>
    </xf>
    <xf numFmtId="44" fontId="1" fillId="0" borderId="10" xfId="64" applyNumberFormat="1" applyFont="1" applyBorder="1"/>
    <xf numFmtId="44" fontId="1" fillId="0" borderId="29" xfId="64" applyNumberFormat="1" applyFont="1" applyBorder="1"/>
    <xf numFmtId="44" fontId="1" fillId="0" borderId="0" xfId="64" applyNumberFormat="1" applyFont="1"/>
    <xf numFmtId="44" fontId="1" fillId="0" borderId="0" xfId="50" applyFont="1"/>
    <xf numFmtId="44" fontId="1" fillId="0" borderId="0" xfId="64" applyNumberFormat="1" applyFont="1" applyAlignment="1">
      <alignment wrapText="1"/>
    </xf>
    <xf numFmtId="0" fontId="1" fillId="0" borderId="0" xfId="64" applyFont="1"/>
    <xf numFmtId="0" fontId="1" fillId="0" borderId="0" xfId="64" applyFont="1" applyAlignment="1">
      <alignment wrapText="1"/>
    </xf>
    <xf numFmtId="0" fontId="56" fillId="0" borderId="10" xfId="0" applyFont="1" applyBorder="1" applyAlignment="1">
      <alignment horizontal="left" wrapText="1"/>
    </xf>
    <xf numFmtId="0" fontId="37" fillId="0" borderId="18" xfId="0" applyFont="1" applyBorder="1" applyAlignment="1">
      <alignment horizontal="center" vertical="center"/>
    </xf>
    <xf numFmtId="44" fontId="37" fillId="0" borderId="18" xfId="50" applyFont="1" applyFill="1" applyBorder="1" applyAlignment="1">
      <alignment wrapText="1"/>
    </xf>
    <xf numFmtId="44" fontId="37" fillId="0" borderId="10" xfId="50" applyFont="1" applyFill="1" applyBorder="1"/>
    <xf numFmtId="44" fontId="39" fillId="0" borderId="10" xfId="0" applyNumberFormat="1" applyFont="1" applyBorder="1" applyAlignment="1">
      <alignment wrapText="1"/>
    </xf>
    <xf numFmtId="174" fontId="39" fillId="0" borderId="0" xfId="0" applyNumberFormat="1" applyFont="1" applyAlignment="1">
      <alignment horizontal="left"/>
    </xf>
    <xf numFmtId="169" fontId="37" fillId="0" borderId="10" xfId="50" applyNumberFormat="1" applyFont="1" applyFill="1" applyBorder="1" applyAlignment="1">
      <alignment wrapText="1"/>
    </xf>
    <xf numFmtId="44" fontId="39" fillId="0" borderId="10" xfId="57" applyFont="1" applyFill="1" applyBorder="1" applyAlignment="1">
      <alignment wrapText="1"/>
    </xf>
    <xf numFmtId="3" fontId="39" fillId="0" borderId="10" xfId="0" applyNumberFormat="1" applyFont="1" applyBorder="1" applyAlignment="1">
      <alignment horizontal="center" vertical="center"/>
    </xf>
    <xf numFmtId="0" fontId="39" fillId="0" borderId="36" xfId="0" applyFont="1" applyBorder="1"/>
    <xf numFmtId="44" fontId="39" fillId="0" borderId="18" xfId="50" applyFont="1" applyFill="1" applyBorder="1" applyAlignment="1"/>
    <xf numFmtId="8" fontId="39" fillId="0" borderId="10" xfId="0" applyNumberFormat="1" applyFont="1" applyBorder="1" applyAlignment="1">
      <alignment wrapText="1"/>
    </xf>
    <xf numFmtId="0" fontId="39" fillId="0" borderId="0" xfId="0" applyFont="1" applyAlignment="1">
      <alignment wrapText="1"/>
    </xf>
    <xf numFmtId="0" fontId="50" fillId="0" borderId="0" xfId="0" applyFont="1"/>
    <xf numFmtId="0" fontId="45" fillId="0" borderId="10" xfId="0" applyFont="1" applyBorder="1" applyAlignment="1">
      <alignment horizontal="left" wrapText="1"/>
    </xf>
    <xf numFmtId="1" fontId="39" fillId="0" borderId="16" xfId="0" applyNumberFormat="1" applyFont="1" applyBorder="1" applyAlignment="1">
      <alignment horizontal="left" wrapText="1"/>
    </xf>
    <xf numFmtId="0" fontId="38" fillId="0" borderId="16" xfId="51" applyFont="1" applyBorder="1" applyAlignment="1">
      <alignment horizontal="left" wrapText="1"/>
    </xf>
    <xf numFmtId="0" fontId="48" fillId="0" borderId="10" xfId="0" applyFont="1" applyBorder="1" applyAlignment="1">
      <alignment horizontal="left" wrapText="1"/>
    </xf>
    <xf numFmtId="165" fontId="39" fillId="0" borderId="19" xfId="0" applyNumberFormat="1" applyFont="1" applyBorder="1" applyAlignment="1">
      <alignment horizontal="left" wrapText="1"/>
    </xf>
    <xf numFmtId="0" fontId="38" fillId="0" borderId="11" xfId="0" applyFont="1" applyBorder="1" applyAlignment="1">
      <alignment horizontal="left" wrapText="1"/>
    </xf>
    <xf numFmtId="0" fontId="46" fillId="0" borderId="10" xfId="0" applyFont="1" applyBorder="1" applyAlignment="1">
      <alignment horizontal="left" wrapText="1"/>
    </xf>
    <xf numFmtId="0" fontId="46" fillId="0" borderId="19" xfId="0" applyFont="1" applyBorder="1" applyAlignment="1">
      <alignment horizontal="left" wrapText="1"/>
    </xf>
    <xf numFmtId="0" fontId="37" fillId="0" borderId="18" xfId="0" applyFont="1" applyBorder="1" applyAlignment="1">
      <alignment wrapText="1"/>
    </xf>
    <xf numFmtId="167" fontId="39" fillId="0" borderId="18" xfId="0" applyNumberFormat="1" applyFont="1" applyBorder="1" applyAlignment="1">
      <alignment wrapText="1"/>
    </xf>
    <xf numFmtId="173" fontId="39" fillId="0" borderId="0" xfId="0" applyNumberFormat="1" applyFont="1" applyAlignment="1">
      <alignment horizontal="left" wrapText="1"/>
    </xf>
    <xf numFmtId="167" fontId="37" fillId="0" borderId="0" xfId="0" applyNumberFormat="1" applyFont="1" applyAlignment="1">
      <alignment horizontal="right"/>
    </xf>
    <xf numFmtId="164" fontId="39" fillId="0" borderId="0" xfId="0" applyNumberFormat="1" applyFont="1" applyAlignment="1">
      <alignment horizontal="left"/>
    </xf>
    <xf numFmtId="44" fontId="39" fillId="0" borderId="0" xfId="0" applyNumberFormat="1" applyFont="1" applyAlignment="1">
      <alignment horizontal="left" wrapText="1"/>
    </xf>
    <xf numFmtId="167" fontId="39" fillId="0" borderId="0" xfId="0" applyNumberFormat="1" applyFont="1" applyAlignment="1">
      <alignment horizontal="right" wrapText="1"/>
    </xf>
    <xf numFmtId="0" fontId="39" fillId="0" borderId="0" xfId="50" applyNumberFormat="1" applyFont="1" applyFill="1" applyAlignment="1">
      <alignment horizontal="left" wrapText="1"/>
    </xf>
    <xf numFmtId="44" fontId="39" fillId="0" borderId="0" xfId="50" applyFont="1" applyFill="1" applyAlignment="1">
      <alignment horizontal="left" wrapText="1"/>
    </xf>
    <xf numFmtId="167" fontId="36" fillId="37" borderId="11" xfId="38" applyNumberFormat="1" applyFont="1" applyFill="1" applyBorder="1" applyAlignment="1">
      <alignment horizontal="center" vertical="center" textRotation="90" wrapText="1"/>
    </xf>
    <xf numFmtId="167" fontId="36" fillId="37" borderId="11" xfId="38" applyNumberFormat="1" applyFont="1" applyFill="1" applyBorder="1" applyAlignment="1">
      <alignment horizontal="right" textRotation="90" wrapText="1"/>
    </xf>
    <xf numFmtId="167" fontId="36" fillId="37" borderId="11" xfId="38" applyNumberFormat="1" applyFont="1" applyFill="1" applyBorder="1" applyAlignment="1">
      <alignment horizontal="center" wrapText="1"/>
    </xf>
    <xf numFmtId="2" fontId="36" fillId="37" borderId="14" xfId="38" applyNumberFormat="1" applyFont="1" applyFill="1" applyBorder="1" applyAlignment="1">
      <alignment horizontal="left" textRotation="90" wrapText="1"/>
    </xf>
    <xf numFmtId="167" fontId="36" fillId="37" borderId="14" xfId="38" applyNumberFormat="1" applyFont="1" applyFill="1" applyBorder="1" applyAlignment="1">
      <alignment horizontal="left" textRotation="90" wrapText="1"/>
    </xf>
    <xf numFmtId="0" fontId="36" fillId="37" borderId="14" xfId="38" applyFont="1" applyFill="1" applyBorder="1" applyAlignment="1">
      <alignment horizontal="left" textRotation="90" wrapText="1"/>
    </xf>
    <xf numFmtId="169" fontId="36" fillId="37" borderId="14" xfId="38" applyNumberFormat="1" applyFont="1" applyFill="1" applyBorder="1" applyAlignment="1">
      <alignment horizontal="left" textRotation="90" wrapText="1"/>
    </xf>
    <xf numFmtId="0" fontId="39" fillId="45" borderId="10" xfId="0" applyFont="1" applyFill="1" applyBorder="1" applyAlignment="1">
      <alignment horizontal="left" wrapText="1"/>
    </xf>
    <xf numFmtId="165" fontId="39" fillId="45" borderId="10" xfId="0" applyNumberFormat="1" applyFont="1" applyFill="1" applyBorder="1" applyAlignment="1">
      <alignment horizontal="left" wrapText="1"/>
    </xf>
    <xf numFmtId="165" fontId="39" fillId="43" borderId="10" xfId="0" applyNumberFormat="1" applyFont="1" applyFill="1" applyBorder="1" applyAlignment="1">
      <alignment horizontal="left" wrapText="1"/>
    </xf>
    <xf numFmtId="169" fontId="39" fillId="43" borderId="10" xfId="0" applyNumberFormat="1" applyFont="1" applyFill="1" applyBorder="1" applyAlignment="1">
      <alignment horizontal="left" wrapText="1"/>
    </xf>
    <xf numFmtId="0" fontId="39" fillId="50" borderId="10" xfId="0" applyFont="1" applyFill="1" applyBorder="1" applyAlignment="1">
      <alignment horizontal="left" wrapText="1"/>
    </xf>
    <xf numFmtId="0" fontId="39" fillId="50" borderId="18" xfId="0" applyFont="1" applyFill="1" applyBorder="1" applyAlignment="1">
      <alignment horizontal="left" vertical="top"/>
    </xf>
    <xf numFmtId="167" fontId="39" fillId="50" borderId="10" xfId="0" applyNumberFormat="1" applyFont="1" applyFill="1" applyBorder="1" applyAlignment="1">
      <alignment horizontal="right"/>
    </xf>
    <xf numFmtId="167" fontId="39" fillId="50" borderId="18" xfId="0" applyNumberFormat="1" applyFont="1" applyFill="1" applyBorder="1"/>
    <xf numFmtId="0" fontId="39" fillId="50" borderId="10" xfId="0" applyFont="1" applyFill="1" applyBorder="1" applyAlignment="1">
      <alignment wrapText="1"/>
    </xf>
    <xf numFmtId="165" fontId="39" fillId="50" borderId="10" xfId="0" applyNumberFormat="1" applyFont="1" applyFill="1" applyBorder="1" applyAlignment="1">
      <alignment horizontal="left" wrapText="1"/>
    </xf>
    <xf numFmtId="0" fontId="39" fillId="50" borderId="19" xfId="0" applyFont="1" applyFill="1" applyBorder="1" applyAlignment="1">
      <alignment horizontal="left" wrapText="1"/>
    </xf>
    <xf numFmtId="8" fontId="39" fillId="50" borderId="10" xfId="0" applyNumberFormat="1" applyFont="1" applyFill="1" applyBorder="1" applyAlignment="1">
      <alignment horizontal="left" wrapText="1"/>
    </xf>
    <xf numFmtId="0" fontId="39" fillId="50" borderId="0" xfId="0" applyFont="1" applyFill="1" applyAlignment="1">
      <alignment horizontal="left" wrapText="1"/>
    </xf>
    <xf numFmtId="0" fontId="39" fillId="50" borderId="10" xfId="0" applyFont="1" applyFill="1" applyBorder="1" applyAlignment="1">
      <alignment horizontal="left" vertical="top" wrapText="1"/>
    </xf>
    <xf numFmtId="1" fontId="39" fillId="50" borderId="10" xfId="0" applyNumberFormat="1" applyFont="1" applyFill="1" applyBorder="1" applyAlignment="1">
      <alignment horizontal="left" wrapText="1"/>
    </xf>
    <xf numFmtId="0" fontId="39" fillId="50" borderId="10" xfId="0" applyFont="1" applyFill="1" applyBorder="1" applyAlignment="1">
      <alignment horizontal="center" vertical="center"/>
    </xf>
    <xf numFmtId="44" fontId="39" fillId="50" borderId="10" xfId="50" applyFont="1" applyFill="1" applyBorder="1" applyAlignment="1">
      <alignment wrapText="1"/>
    </xf>
    <xf numFmtId="0" fontId="39" fillId="50" borderId="0" xfId="0" applyFont="1" applyFill="1" applyAlignment="1">
      <alignment wrapText="1"/>
    </xf>
    <xf numFmtId="0" fontId="39" fillId="50" borderId="0" xfId="44" applyFont="1" applyFill="1" applyAlignment="1">
      <alignment horizontal="left" wrapText="1"/>
    </xf>
    <xf numFmtId="0" fontId="39" fillId="50" borderId="10" xfId="44" applyFont="1" applyFill="1" applyBorder="1" applyAlignment="1">
      <alignment horizontal="left" wrapText="1"/>
    </xf>
    <xf numFmtId="166" fontId="39" fillId="50" borderId="10" xfId="0" applyNumberFormat="1" applyFont="1" applyFill="1" applyBorder="1" applyAlignment="1">
      <alignment horizontal="left" wrapText="1"/>
    </xf>
    <xf numFmtId="0" fontId="39" fillId="50" borderId="10" xfId="0" applyFont="1" applyFill="1" applyBorder="1" applyAlignment="1" applyProtection="1">
      <alignment horizontal="left" wrapText="1"/>
      <protection locked="0"/>
    </xf>
    <xf numFmtId="0" fontId="39" fillId="50" borderId="10" xfId="46" applyFont="1" applyFill="1" applyBorder="1" applyAlignment="1">
      <alignment horizontal="left" wrapText="1"/>
    </xf>
    <xf numFmtId="8" fontId="39" fillId="50" borderId="10" xfId="0" applyNumberFormat="1" applyFont="1" applyFill="1" applyBorder="1" applyAlignment="1" applyProtection="1">
      <alignment horizontal="left" wrapText="1"/>
      <protection locked="0"/>
    </xf>
    <xf numFmtId="8" fontId="39" fillId="50" borderId="18" xfId="0" applyNumberFormat="1" applyFont="1" applyFill="1" applyBorder="1" applyAlignment="1">
      <alignment horizontal="left"/>
    </xf>
    <xf numFmtId="0" fontId="39" fillId="50" borderId="11" xfId="0" applyFont="1" applyFill="1" applyBorder="1" applyAlignment="1">
      <alignment horizontal="left" wrapText="1"/>
    </xf>
    <xf numFmtId="0" fontId="39" fillId="50" borderId="11" xfId="0" applyFont="1" applyFill="1" applyBorder="1" applyAlignment="1">
      <alignment wrapText="1"/>
    </xf>
    <xf numFmtId="1" fontId="39" fillId="50" borderId="11" xfId="0" applyNumberFormat="1" applyFont="1" applyFill="1" applyBorder="1" applyAlignment="1">
      <alignment horizontal="left" wrapText="1"/>
    </xf>
    <xf numFmtId="8" fontId="39" fillId="50" borderId="11" xfId="0" applyNumberFormat="1" applyFont="1" applyFill="1" applyBorder="1" applyAlignment="1">
      <alignment horizontal="left" wrapText="1"/>
    </xf>
    <xf numFmtId="8" fontId="39" fillId="50" borderId="10" xfId="0" applyNumberFormat="1" applyFont="1" applyFill="1" applyBorder="1" applyAlignment="1">
      <alignment horizontal="left"/>
    </xf>
    <xf numFmtId="165" fontId="39" fillId="50" borderId="11" xfId="0" applyNumberFormat="1" applyFont="1" applyFill="1" applyBorder="1" applyAlignment="1">
      <alignment horizontal="left" wrapText="1"/>
    </xf>
    <xf numFmtId="44" fontId="39" fillId="0" borderId="18" xfId="0" applyNumberFormat="1" applyFont="1" applyBorder="1"/>
    <xf numFmtId="44" fontId="39" fillId="0" borderId="11" xfId="0" applyNumberFormat="1" applyFont="1" applyBorder="1" applyAlignment="1">
      <alignment horizontal="left" wrapText="1"/>
    </xf>
    <xf numFmtId="44" fontId="39" fillId="0" borderId="18" xfId="0" applyNumberFormat="1" applyFont="1" applyBorder="1" applyAlignment="1">
      <alignment horizontal="left" wrapText="1"/>
    </xf>
    <xf numFmtId="44" fontId="37" fillId="0" borderId="10" xfId="0" applyNumberFormat="1" applyFont="1" applyBorder="1" applyAlignment="1">
      <alignment horizontal="left" wrapText="1"/>
    </xf>
    <xf numFmtId="0" fontId="39" fillId="0" borderId="19" xfId="0" applyFont="1" applyBorder="1" applyAlignment="1">
      <alignment horizontal="left"/>
    </xf>
    <xf numFmtId="0" fontId="39" fillId="0" borderId="34" xfId="0" applyFont="1" applyBorder="1" applyAlignment="1">
      <alignment horizontal="left" wrapText="1"/>
    </xf>
    <xf numFmtId="0" fontId="39" fillId="0" borderId="36" xfId="0" applyFont="1" applyBorder="1" applyAlignment="1">
      <alignment horizontal="left" wrapText="1"/>
    </xf>
    <xf numFmtId="0" fontId="0" fillId="0" borderId="19" xfId="0" applyBorder="1"/>
    <xf numFmtId="0" fontId="10" fillId="0" borderId="19" xfId="0" applyFont="1" applyBorder="1"/>
    <xf numFmtId="44" fontId="36" fillId="37" borderId="68" xfId="0" applyNumberFormat="1" applyFont="1" applyFill="1" applyBorder="1" applyAlignment="1">
      <alignment horizontal="left" textRotation="90" wrapText="1"/>
    </xf>
    <xf numFmtId="44" fontId="39" fillId="0" borderId="69" xfId="0" applyNumberFormat="1" applyFont="1" applyBorder="1"/>
    <xf numFmtId="44" fontId="39" fillId="0" borderId="69" xfId="50" applyFont="1" applyFill="1" applyBorder="1" applyAlignment="1">
      <alignment horizontal="left"/>
    </xf>
    <xf numFmtId="44" fontId="39" fillId="50" borderId="70" xfId="50" applyFont="1" applyFill="1" applyBorder="1" applyAlignment="1">
      <alignment horizontal="left" wrapText="1"/>
    </xf>
    <xf numFmtId="44" fontId="39" fillId="0" borderId="70" xfId="50" applyFont="1" applyFill="1" applyBorder="1" applyAlignment="1">
      <alignment horizontal="left" wrapText="1"/>
    </xf>
    <xf numFmtId="44" fontId="39" fillId="0" borderId="70" xfId="57" applyFont="1" applyFill="1" applyBorder="1" applyAlignment="1">
      <alignment horizontal="left" wrapText="1"/>
    </xf>
    <xf numFmtId="44" fontId="37" fillId="0" borderId="70" xfId="57" applyFont="1" applyFill="1" applyBorder="1" applyAlignment="1">
      <alignment horizontal="left" wrapText="1"/>
    </xf>
    <xf numFmtId="44" fontId="39" fillId="0" borderId="70" xfId="0" applyNumberFormat="1" applyFont="1" applyBorder="1" applyAlignment="1">
      <alignment horizontal="left" wrapText="1"/>
    </xf>
    <xf numFmtId="44" fontId="37" fillId="0" borderId="70" xfId="0" applyNumberFormat="1" applyFont="1" applyBorder="1" applyAlignment="1">
      <alignment horizontal="left"/>
    </xf>
    <xf numFmtId="44" fontId="39" fillId="0" borderId="71" xfId="0" applyNumberFormat="1" applyFont="1" applyBorder="1" applyAlignment="1">
      <alignment horizontal="left" wrapText="1"/>
    </xf>
    <xf numFmtId="44" fontId="39" fillId="0" borderId="69" xfId="0" applyNumberFormat="1" applyFont="1" applyBorder="1" applyAlignment="1">
      <alignment horizontal="left" wrapText="1"/>
    </xf>
    <xf numFmtId="44" fontId="37" fillId="0" borderId="70" xfId="0" applyNumberFormat="1" applyFont="1" applyBorder="1" applyAlignment="1">
      <alignment horizontal="left" wrapText="1"/>
    </xf>
    <xf numFmtId="44" fontId="39" fillId="0" borderId="67" xfId="0" applyNumberFormat="1" applyFont="1" applyBorder="1" applyAlignment="1">
      <alignment horizontal="left" wrapText="1"/>
    </xf>
    <xf numFmtId="0" fontId="37" fillId="50" borderId="10" xfId="0" applyFont="1" applyFill="1" applyBorder="1" applyAlignment="1">
      <alignment wrapText="1"/>
    </xf>
    <xf numFmtId="169" fontId="39" fillId="50" borderId="10" xfId="0" applyNumberFormat="1" applyFont="1" applyFill="1" applyBorder="1" applyAlignment="1">
      <alignment wrapText="1"/>
    </xf>
    <xf numFmtId="8" fontId="39" fillId="50" borderId="18" xfId="0" applyNumberFormat="1" applyFont="1" applyFill="1" applyBorder="1" applyAlignment="1">
      <alignment horizontal="left" wrapText="1"/>
    </xf>
    <xf numFmtId="4" fontId="39" fillId="50" borderId="10" xfId="0" applyNumberFormat="1" applyFont="1" applyFill="1" applyBorder="1" applyAlignment="1">
      <alignment horizontal="center" vertical="center"/>
    </xf>
    <xf numFmtId="44" fontId="38" fillId="0" borderId="67" xfId="0" applyNumberFormat="1" applyFont="1" applyBorder="1" applyAlignment="1">
      <alignment horizontal="left" wrapText="1"/>
    </xf>
    <xf numFmtId="0" fontId="41" fillId="0" borderId="10" xfId="0" applyFont="1" applyBorder="1"/>
    <xf numFmtId="44" fontId="36" fillId="37" borderId="14" xfId="0" applyNumberFormat="1" applyFont="1" applyFill="1" applyBorder="1" applyAlignment="1">
      <alignment horizontal="left" textRotation="90" wrapText="1"/>
    </xf>
    <xf numFmtId="44" fontId="39" fillId="0" borderId="10" xfId="0" applyNumberFormat="1" applyFont="1" applyBorder="1" applyAlignment="1">
      <alignment horizontal="left"/>
    </xf>
    <xf numFmtId="44" fontId="39" fillId="50" borderId="10" xfId="0" applyNumberFormat="1" applyFont="1" applyFill="1" applyBorder="1" applyAlignment="1">
      <alignment horizontal="left" wrapText="1"/>
    </xf>
    <xf numFmtId="44" fontId="39" fillId="0" borderId="19" xfId="0" applyNumberFormat="1" applyFont="1" applyBorder="1" applyAlignment="1">
      <alignment horizontal="left" wrapText="1"/>
    </xf>
    <xf numFmtId="44" fontId="41" fillId="0" borderId="10" xfId="0" applyNumberFormat="1" applyFont="1" applyBorder="1" applyAlignment="1">
      <alignment horizontal="left" wrapText="1"/>
    </xf>
    <xf numFmtId="44" fontId="39" fillId="0" borderId="10" xfId="57" applyFont="1" applyFill="1" applyBorder="1" applyAlignment="1">
      <alignment horizontal="right" wrapText="1"/>
    </xf>
    <xf numFmtId="44" fontId="38" fillId="0" borderId="22" xfId="57" applyFont="1" applyFill="1" applyBorder="1" applyAlignment="1">
      <alignment horizontal="right" wrapText="1"/>
    </xf>
    <xf numFmtId="44" fontId="38" fillId="0" borderId="22" xfId="0" applyNumberFormat="1" applyFont="1" applyBorder="1" applyAlignment="1">
      <alignment horizontal="left" vertical="center" wrapText="1"/>
    </xf>
    <xf numFmtId="44" fontId="39" fillId="0" borderId="67" xfId="0" applyNumberFormat="1" applyFont="1" applyBorder="1" applyAlignment="1">
      <alignment horizontal="right" wrapText="1"/>
    </xf>
    <xf numFmtId="169" fontId="39" fillId="0" borderId="70" xfId="0" applyNumberFormat="1" applyFont="1" applyBorder="1" applyAlignment="1">
      <alignment horizontal="left" wrapText="1"/>
    </xf>
    <xf numFmtId="0" fontId="37" fillId="0" borderId="16" xfId="0" applyFont="1" applyBorder="1"/>
    <xf numFmtId="0" fontId="37" fillId="0" borderId="16" xfId="0" applyFont="1" applyBorder="1" applyAlignment="1">
      <alignment horizontal="left" wrapText="1"/>
    </xf>
    <xf numFmtId="0" fontId="46" fillId="0" borderId="16" xfId="0" applyFont="1" applyBorder="1" applyAlignment="1">
      <alignment horizontal="left" wrapText="1"/>
    </xf>
    <xf numFmtId="0" fontId="37" fillId="0" borderId="22" xfId="0" applyFont="1" applyBorder="1" applyAlignment="1">
      <alignment horizontal="left" wrapText="1"/>
    </xf>
    <xf numFmtId="0" fontId="37" fillId="0" borderId="11" xfId="0" applyFont="1" applyBorder="1" applyAlignment="1">
      <alignment horizontal="left" vertical="top" wrapText="1"/>
    </xf>
    <xf numFmtId="167" fontId="39" fillId="0" borderId="72" xfId="0" applyNumberFormat="1" applyFont="1" applyBorder="1"/>
    <xf numFmtId="174" fontId="37" fillId="0" borderId="11" xfId="0" applyNumberFormat="1" applyFont="1" applyBorder="1" applyAlignment="1">
      <alignment horizontal="left" wrapText="1"/>
    </xf>
    <xf numFmtId="165" fontId="37" fillId="0" borderId="11" xfId="0" applyNumberFormat="1" applyFont="1" applyBorder="1" applyAlignment="1">
      <alignment horizontal="left" wrapText="1"/>
    </xf>
    <xf numFmtId="44" fontId="37" fillId="0" borderId="71" xfId="0" applyNumberFormat="1" applyFont="1" applyBorder="1" applyAlignment="1">
      <alignment horizontal="left" wrapText="1"/>
    </xf>
    <xf numFmtId="0" fontId="37" fillId="0" borderId="34" xfId="0" applyFont="1" applyBorder="1" applyAlignment="1">
      <alignment horizontal="left" wrapText="1"/>
    </xf>
    <xf numFmtId="44" fontId="37" fillId="0" borderId="11" xfId="0" applyNumberFormat="1" applyFont="1" applyBorder="1" applyAlignment="1">
      <alignment horizontal="left" wrapText="1"/>
    </xf>
    <xf numFmtId="0" fontId="37" fillId="0" borderId="18" xfId="0" applyFont="1" applyBorder="1" applyAlignment="1">
      <alignment horizontal="left" vertical="top" wrapText="1"/>
    </xf>
    <xf numFmtId="167" fontId="37" fillId="0" borderId="36" xfId="0" applyNumberFormat="1" applyFont="1" applyBorder="1" applyAlignment="1">
      <alignment horizontal="right" wrapText="1"/>
    </xf>
    <xf numFmtId="0" fontId="37" fillId="0" borderId="18" xfId="0" applyFont="1" applyBorder="1" applyAlignment="1">
      <alignment horizontal="left" wrapText="1"/>
    </xf>
    <xf numFmtId="174" fontId="37" fillId="0" borderId="18" xfId="0" applyNumberFormat="1" applyFont="1" applyBorder="1" applyAlignment="1">
      <alignment horizontal="left" wrapText="1"/>
    </xf>
    <xf numFmtId="165" fontId="37" fillId="0" borderId="18" xfId="0" applyNumberFormat="1" applyFont="1" applyBorder="1" applyAlignment="1">
      <alignment horizontal="left" wrapText="1"/>
    </xf>
    <xf numFmtId="14" fontId="37" fillId="0" borderId="18" xfId="0" applyNumberFormat="1" applyFont="1" applyBorder="1" applyAlignment="1">
      <alignment horizontal="left" wrapText="1"/>
    </xf>
    <xf numFmtId="44" fontId="37" fillId="0" borderId="69" xfId="0" applyNumberFormat="1" applyFont="1" applyBorder="1" applyAlignment="1">
      <alignment horizontal="left" wrapText="1"/>
    </xf>
    <xf numFmtId="0" fontId="46" fillId="0" borderId="36" xfId="0" applyFont="1" applyBorder="1" applyAlignment="1">
      <alignment horizontal="left" wrapText="1"/>
    </xf>
    <xf numFmtId="44" fontId="37" fillId="0" borderId="18" xfId="0" applyNumberFormat="1" applyFont="1" applyBorder="1" applyAlignment="1">
      <alignment horizontal="left" wrapText="1"/>
    </xf>
    <xf numFmtId="167" fontId="39" fillId="0" borderId="10" xfId="0" applyNumberFormat="1" applyFont="1" applyBorder="1"/>
    <xf numFmtId="2" fontId="39" fillId="42" borderId="16" xfId="0" applyNumberFormat="1" applyFont="1" applyFill="1" applyBorder="1" applyAlignment="1">
      <alignment horizontal="left" wrapText="1"/>
    </xf>
    <xf numFmtId="2" fontId="39" fillId="0" borderId="16" xfId="0" applyNumberFormat="1" applyFont="1" applyBorder="1" applyAlignment="1">
      <alignment horizontal="left" wrapText="1"/>
    </xf>
    <xf numFmtId="2" fontId="39" fillId="0" borderId="22" xfId="0" applyNumberFormat="1" applyFont="1" applyBorder="1" applyAlignment="1">
      <alignment horizontal="left" wrapText="1"/>
    </xf>
    <xf numFmtId="40" fontId="39" fillId="0" borderId="11" xfId="0" applyNumberFormat="1" applyFont="1" applyBorder="1" applyAlignment="1">
      <alignment horizontal="left" wrapText="1"/>
    </xf>
    <xf numFmtId="0" fontId="38" fillId="0" borderId="34" xfId="0" applyFont="1" applyBorder="1" applyAlignment="1">
      <alignment horizontal="left" wrapText="1"/>
    </xf>
    <xf numFmtId="167" fontId="39" fillId="0" borderId="36" xfId="0" applyNumberFormat="1" applyFont="1" applyBorder="1" applyAlignment="1">
      <alignment horizontal="right"/>
    </xf>
    <xf numFmtId="0" fontId="37" fillId="0" borderId="18" xfId="0" applyFont="1" applyBorder="1" applyAlignment="1">
      <alignment horizontal="left"/>
    </xf>
    <xf numFmtId="174" fontId="37" fillId="0" borderId="18" xfId="50" applyNumberFormat="1" applyFont="1" applyFill="1" applyBorder="1" applyAlignment="1">
      <alignment horizontal="left" wrapText="1"/>
    </xf>
    <xf numFmtId="0" fontId="38" fillId="0" borderId="36" xfId="0" applyFont="1" applyBorder="1" applyAlignment="1">
      <alignment horizontal="left" wrapText="1"/>
    </xf>
    <xf numFmtId="0" fontId="39" fillId="0" borderId="11" xfId="50" applyNumberFormat="1" applyFont="1" applyFill="1" applyBorder="1" applyAlignment="1">
      <alignment horizontal="left" wrapText="1"/>
    </xf>
    <xf numFmtId="0" fontId="10" fillId="0" borderId="34" xfId="0" applyFont="1" applyBorder="1"/>
    <xf numFmtId="167" fontId="39" fillId="0" borderId="36" xfId="0" applyNumberFormat="1" applyFont="1" applyBorder="1" applyAlignment="1">
      <alignment horizontal="right" wrapText="1"/>
    </xf>
    <xf numFmtId="2" fontId="39" fillId="0" borderId="36" xfId="0" applyNumberFormat="1" applyFont="1" applyBorder="1" applyAlignment="1">
      <alignment horizontal="left" wrapText="1"/>
    </xf>
    <xf numFmtId="2" fontId="39" fillId="50" borderId="10" xfId="0" applyNumberFormat="1" applyFont="1" applyFill="1" applyBorder="1" applyAlignment="1">
      <alignment horizontal="left" wrapText="1"/>
    </xf>
    <xf numFmtId="2" fontId="39" fillId="50" borderId="11" xfId="0" applyNumberFormat="1" applyFont="1" applyFill="1" applyBorder="1" applyAlignment="1">
      <alignment horizontal="left" wrapText="1"/>
    </xf>
    <xf numFmtId="167" fontId="39" fillId="50" borderId="10" xfId="0" applyNumberFormat="1" applyFont="1" applyFill="1" applyBorder="1" applyAlignment="1">
      <alignment horizontal="left" wrapText="1"/>
    </xf>
    <xf numFmtId="0" fontId="39" fillId="51" borderId="10" xfId="0" applyFont="1" applyFill="1" applyBorder="1" applyAlignment="1">
      <alignment horizontal="left" vertical="top" wrapText="1"/>
    </xf>
    <xf numFmtId="167" fontId="39" fillId="51" borderId="10" xfId="0" applyNumberFormat="1" applyFont="1" applyFill="1" applyBorder="1" applyAlignment="1">
      <alignment horizontal="right"/>
    </xf>
    <xf numFmtId="167" fontId="39" fillId="51" borderId="18" xfId="0" applyNumberFormat="1" applyFont="1" applyFill="1" applyBorder="1"/>
    <xf numFmtId="2" fontId="39" fillId="51" borderId="10" xfId="0" applyNumberFormat="1" applyFont="1" applyFill="1" applyBorder="1" applyAlignment="1">
      <alignment horizontal="left" wrapText="1"/>
    </xf>
    <xf numFmtId="0" fontId="39" fillId="51" borderId="10" xfId="0" applyFont="1" applyFill="1" applyBorder="1" applyAlignment="1">
      <alignment horizontal="left" wrapText="1"/>
    </xf>
    <xf numFmtId="0" fontId="39" fillId="51" borderId="10" xfId="0" applyFont="1" applyFill="1" applyBorder="1" applyAlignment="1">
      <alignment wrapText="1"/>
    </xf>
    <xf numFmtId="1" fontId="39" fillId="51" borderId="10" xfId="0" applyNumberFormat="1" applyFont="1" applyFill="1" applyBorder="1" applyAlignment="1">
      <alignment horizontal="left" wrapText="1"/>
    </xf>
    <xf numFmtId="1" fontId="41" fillId="51" borderId="10" xfId="0" applyNumberFormat="1" applyFont="1" applyFill="1" applyBorder="1" applyAlignment="1">
      <alignment horizontal="left" wrapText="1"/>
    </xf>
    <xf numFmtId="0" fontId="39" fillId="51" borderId="10" xfId="0" applyFont="1" applyFill="1" applyBorder="1" applyAlignment="1">
      <alignment horizontal="center" vertical="center"/>
    </xf>
    <xf numFmtId="44" fontId="39" fillId="51" borderId="10" xfId="50" applyFont="1" applyFill="1" applyBorder="1" applyAlignment="1">
      <alignment wrapText="1"/>
    </xf>
    <xf numFmtId="8" fontId="39" fillId="51" borderId="10" xfId="0" applyNumberFormat="1" applyFont="1" applyFill="1" applyBorder="1" applyAlignment="1">
      <alignment horizontal="left" wrapText="1"/>
    </xf>
    <xf numFmtId="40" fontId="39" fillId="51" borderId="10" xfId="0" applyNumberFormat="1" applyFont="1" applyFill="1" applyBorder="1" applyAlignment="1">
      <alignment horizontal="left" wrapText="1"/>
    </xf>
    <xf numFmtId="0" fontId="40" fillId="51" borderId="10" xfId="0" applyFont="1" applyFill="1" applyBorder="1" applyAlignment="1">
      <alignment horizontal="left" wrapText="1"/>
    </xf>
    <xf numFmtId="165" fontId="39" fillId="51" borderId="10" xfId="0" applyNumberFormat="1" applyFont="1" applyFill="1" applyBorder="1" applyAlignment="1">
      <alignment horizontal="left" wrapText="1"/>
    </xf>
    <xf numFmtId="0" fontId="39" fillId="51" borderId="10" xfId="50" applyNumberFormat="1" applyFont="1" applyFill="1" applyBorder="1" applyAlignment="1">
      <alignment horizontal="left" wrapText="1"/>
    </xf>
    <xf numFmtId="44" fontId="39" fillId="51" borderId="70" xfId="50" applyFont="1" applyFill="1" applyBorder="1" applyAlignment="1">
      <alignment horizontal="left" wrapText="1"/>
    </xf>
    <xf numFmtId="0" fontId="39" fillId="51" borderId="19" xfId="0" applyFont="1" applyFill="1" applyBorder="1" applyAlignment="1">
      <alignment horizontal="left" wrapText="1"/>
    </xf>
    <xf numFmtId="44" fontId="39" fillId="51" borderId="10" xfId="0" applyNumberFormat="1" applyFont="1" applyFill="1" applyBorder="1" applyAlignment="1">
      <alignment horizontal="left" wrapText="1"/>
    </xf>
    <xf numFmtId="0" fontId="39" fillId="51" borderId="0" xfId="0" applyFont="1" applyFill="1" applyAlignment="1">
      <alignment horizontal="left" wrapText="1"/>
    </xf>
    <xf numFmtId="6" fontId="10" fillId="0" borderId="16" xfId="50" applyNumberFormat="1" applyFont="1" applyBorder="1" applyAlignment="1">
      <alignment horizontal="center" vertical="center"/>
    </xf>
    <xf numFmtId="0" fontId="59" fillId="0" borderId="10" xfId="0" applyFont="1" applyBorder="1"/>
    <xf numFmtId="167" fontId="39" fillId="0" borderId="0" xfId="0" applyNumberFormat="1" applyFont="1" applyAlignment="1">
      <alignment horizontal="left" wrapText="1"/>
    </xf>
    <xf numFmtId="0" fontId="59" fillId="0" borderId="0" xfId="0" applyFont="1"/>
    <xf numFmtId="169" fontId="59" fillId="0" borderId="0" xfId="0" applyNumberFormat="1" applyFont="1"/>
    <xf numFmtId="0" fontId="56" fillId="0" borderId="11" xfId="0" applyFont="1" applyBorder="1" applyAlignment="1">
      <alignment horizontal="left" wrapText="1"/>
    </xf>
    <xf numFmtId="0" fontId="56" fillId="0" borderId="18" xfId="0" applyFont="1" applyBorder="1" applyAlignment="1">
      <alignment horizontal="left" wrapText="1"/>
    </xf>
    <xf numFmtId="0" fontId="41" fillId="0" borderId="18" xfId="0" applyFont="1" applyBorder="1" applyAlignment="1">
      <alignment horizontal="left" wrapText="1"/>
    </xf>
    <xf numFmtId="44" fontId="43" fillId="0" borderId="62" xfId="64" applyNumberFormat="1" applyFont="1" applyBorder="1"/>
    <xf numFmtId="44" fontId="5" fillId="0" borderId="62" xfId="64" applyNumberFormat="1" applyBorder="1"/>
    <xf numFmtId="44" fontId="5" fillId="0" borderId="73" xfId="64" applyNumberFormat="1" applyBorder="1"/>
    <xf numFmtId="44" fontId="5" fillId="0" borderId="41" xfId="64" applyNumberFormat="1" applyBorder="1"/>
    <xf numFmtId="44" fontId="53" fillId="0" borderId="22" xfId="64" applyNumberFormat="1" applyFont="1" applyBorder="1"/>
    <xf numFmtId="44" fontId="52" fillId="0" borderId="22" xfId="64" applyNumberFormat="1" applyFont="1" applyBorder="1"/>
    <xf numFmtId="44" fontId="5" fillId="0" borderId="18" xfId="64" applyNumberFormat="1" applyBorder="1"/>
    <xf numFmtId="44" fontId="43" fillId="0" borderId="18" xfId="64" applyNumberFormat="1" applyFont="1" applyBorder="1"/>
    <xf numFmtId="44" fontId="5" fillId="0" borderId="40" xfId="64" applyNumberFormat="1" applyBorder="1"/>
    <xf numFmtId="44" fontId="52" fillId="0" borderId="18" xfId="64" applyNumberFormat="1" applyFont="1" applyBorder="1"/>
    <xf numFmtId="44" fontId="52" fillId="0" borderId="40" xfId="64" applyNumberFormat="1" applyFont="1" applyBorder="1"/>
    <xf numFmtId="44" fontId="43" fillId="0" borderId="39" xfId="64" applyNumberFormat="1" applyFont="1" applyBorder="1"/>
    <xf numFmtId="44" fontId="43" fillId="0" borderId="75" xfId="64" applyNumberFormat="1" applyFont="1" applyBorder="1" applyAlignment="1">
      <alignment horizontal="center"/>
    </xf>
    <xf numFmtId="44" fontId="43" fillId="0" borderId="18" xfId="64" applyNumberFormat="1" applyFont="1" applyBorder="1" applyAlignment="1">
      <alignment horizontal="right"/>
    </xf>
    <xf numFmtId="165" fontId="43" fillId="0" borderId="18" xfId="64" applyNumberFormat="1" applyFont="1" applyBorder="1" applyAlignment="1">
      <alignment wrapText="1"/>
    </xf>
    <xf numFmtId="44" fontId="43" fillId="0" borderId="18" xfId="64" applyNumberFormat="1" applyFont="1" applyBorder="1" applyAlignment="1">
      <alignment horizontal="right" wrapText="1"/>
    </xf>
    <xf numFmtId="176" fontId="43" fillId="0" borderId="18" xfId="66" applyNumberFormat="1" applyFont="1" applyFill="1" applyBorder="1" applyAlignment="1">
      <alignment wrapText="1"/>
    </xf>
    <xf numFmtId="44" fontId="52" fillId="0" borderId="18" xfId="64" applyNumberFormat="1" applyFont="1" applyBorder="1" applyAlignment="1">
      <alignment horizontal="right"/>
    </xf>
    <xf numFmtId="44" fontId="43" fillId="0" borderId="74" xfId="64" applyNumberFormat="1" applyFont="1" applyBorder="1"/>
    <xf numFmtId="0" fontId="39" fillId="35" borderId="18" xfId="0" applyFont="1" applyFill="1" applyBorder="1" applyAlignment="1">
      <alignment horizontal="left" vertical="top"/>
    </xf>
    <xf numFmtId="167" fontId="39" fillId="35" borderId="18" xfId="0" applyNumberFormat="1" applyFont="1" applyFill="1" applyBorder="1" applyAlignment="1">
      <alignment horizontal="right"/>
    </xf>
    <xf numFmtId="167" fontId="39" fillId="35" borderId="18" xfId="0" applyNumberFormat="1" applyFont="1" applyFill="1" applyBorder="1"/>
    <xf numFmtId="2" fontId="39" fillId="35" borderId="10" xfId="0" applyNumberFormat="1" applyFont="1" applyFill="1" applyBorder="1" applyAlignment="1">
      <alignment horizontal="left" wrapText="1"/>
    </xf>
    <xf numFmtId="167" fontId="39" fillId="35" borderId="10" xfId="0" applyNumberFormat="1" applyFont="1" applyFill="1" applyBorder="1" applyAlignment="1">
      <alignment horizontal="left" wrapText="1"/>
    </xf>
    <xf numFmtId="0" fontId="37" fillId="35" borderId="11" xfId="0" applyFont="1" applyFill="1" applyBorder="1" applyAlignment="1">
      <alignment wrapText="1"/>
    </xf>
    <xf numFmtId="0" fontId="37" fillId="35" borderId="11" xfId="0" applyFont="1" applyFill="1" applyBorder="1" applyAlignment="1">
      <alignment horizontal="left" wrapText="1"/>
    </xf>
    <xf numFmtId="1" fontId="39" fillId="35" borderId="10" xfId="0" applyNumberFormat="1" applyFont="1" applyFill="1" applyBorder="1" applyAlignment="1">
      <alignment horizontal="left" wrapText="1"/>
    </xf>
    <xf numFmtId="0" fontId="37" fillId="35" borderId="24" xfId="0" applyFont="1" applyFill="1" applyBorder="1" applyAlignment="1">
      <alignment horizontal="center" vertical="center"/>
    </xf>
    <xf numFmtId="44" fontId="37" fillId="35" borderId="11" xfId="50" applyFont="1" applyFill="1" applyBorder="1" applyAlignment="1">
      <alignment wrapText="1"/>
    </xf>
    <xf numFmtId="8" fontId="39" fillId="35" borderId="10" xfId="0" applyNumberFormat="1" applyFont="1" applyFill="1" applyBorder="1" applyAlignment="1">
      <alignment horizontal="left" wrapText="1"/>
    </xf>
    <xf numFmtId="0" fontId="39" fillId="35" borderId="0" xfId="0" applyFont="1" applyFill="1" applyAlignment="1">
      <alignment horizontal="left" wrapText="1"/>
    </xf>
    <xf numFmtId="165" fontId="39" fillId="35" borderId="10" xfId="0" applyNumberFormat="1" applyFont="1" applyFill="1" applyBorder="1" applyAlignment="1">
      <alignment horizontal="left" wrapText="1"/>
    </xf>
    <xf numFmtId="165" fontId="40" fillId="35" borderId="10" xfId="0" applyNumberFormat="1" applyFont="1" applyFill="1" applyBorder="1" applyAlignment="1">
      <alignment horizontal="left" wrapText="1"/>
    </xf>
    <xf numFmtId="8" fontId="39" fillId="35" borderId="70" xfId="50" applyNumberFormat="1" applyFont="1" applyFill="1" applyBorder="1" applyAlignment="1">
      <alignment horizontal="left" wrapText="1"/>
    </xf>
    <xf numFmtId="0" fontId="39" fillId="35" borderId="19" xfId="0" applyFont="1" applyFill="1" applyBorder="1" applyAlignment="1">
      <alignment horizontal="left" wrapText="1"/>
    </xf>
    <xf numFmtId="44" fontId="39" fillId="35" borderId="10" xfId="0" applyNumberFormat="1" applyFont="1" applyFill="1" applyBorder="1" applyAlignment="1">
      <alignment horizontal="left" wrapText="1"/>
    </xf>
    <xf numFmtId="4" fontId="39" fillId="35" borderId="0" xfId="0" applyNumberFormat="1" applyFont="1" applyFill="1" applyAlignment="1">
      <alignment horizontal="left" wrapText="1"/>
    </xf>
    <xf numFmtId="6" fontId="10" fillId="0" borderId="65" xfId="0" applyNumberFormat="1" applyFont="1" applyBorder="1" applyAlignment="1">
      <alignment horizontal="center" vertical="center"/>
    </xf>
    <xf numFmtId="6" fontId="10" fillId="0" borderId="64" xfId="0" applyNumberFormat="1" applyFont="1" applyBorder="1" applyAlignment="1">
      <alignment horizontal="center" vertical="center"/>
    </xf>
    <xf numFmtId="0" fontId="10" fillId="25" borderId="61" xfId="0" applyFont="1" applyFill="1" applyBorder="1" applyAlignment="1">
      <alignment horizontal="center"/>
    </xf>
    <xf numFmtId="0" fontId="10" fillId="25" borderId="62" xfId="0" applyFont="1" applyFill="1" applyBorder="1" applyAlignment="1">
      <alignment horizontal="center"/>
    </xf>
    <xf numFmtId="0" fontId="10" fillId="25" borderId="63" xfId="0" applyFont="1" applyFill="1" applyBorder="1" applyAlignment="1">
      <alignment horizontal="center"/>
    </xf>
    <xf numFmtId="0" fontId="36" fillId="0" borderId="21" xfId="0" applyFont="1" applyBorder="1" applyAlignment="1">
      <alignment horizontal="center"/>
    </xf>
    <xf numFmtId="0" fontId="36" fillId="0" borderId="20" xfId="0" applyFont="1" applyBorder="1" applyAlignment="1">
      <alignment horizontal="center"/>
    </xf>
    <xf numFmtId="173" fontId="10" fillId="24" borderId="65" xfId="0" applyNumberFormat="1" applyFont="1" applyFill="1" applyBorder="1" applyAlignment="1">
      <alignment horizontal="center" vertical="center"/>
    </xf>
    <xf numFmtId="173" fontId="10" fillId="24" borderId="64" xfId="0" applyNumberFormat="1" applyFont="1" applyFill="1" applyBorder="1" applyAlignment="1">
      <alignment horizontal="center" vertical="center"/>
    </xf>
    <xf numFmtId="44" fontId="42" fillId="0" borderId="0" xfId="64" applyNumberFormat="1" applyFont="1" applyAlignment="1">
      <alignment horizontal="center"/>
    </xf>
    <xf numFmtId="44" fontId="1" fillId="31" borderId="16" xfId="64" applyNumberFormat="1" applyFont="1" applyFill="1" applyBorder="1" applyAlignment="1">
      <alignment horizontal="center"/>
    </xf>
    <xf numFmtId="44" fontId="1" fillId="31" borderId="22" xfId="64" applyNumberFormat="1" applyFont="1" applyFill="1" applyBorder="1" applyAlignment="1">
      <alignment horizontal="center"/>
    </xf>
    <xf numFmtId="44" fontId="1" fillId="31" borderId="0" xfId="64" applyNumberFormat="1" applyFont="1" applyFill="1" applyAlignment="1">
      <alignment horizontal="center"/>
    </xf>
    <xf numFmtId="44" fontId="1" fillId="31" borderId="19" xfId="64" applyNumberFormat="1" applyFont="1" applyFill="1" applyBorder="1" applyAlignment="1">
      <alignment horizontal="center"/>
    </xf>
    <xf numFmtId="44" fontId="5" fillId="31" borderId="16" xfId="64" applyNumberFormat="1" applyFill="1" applyBorder="1" applyAlignment="1">
      <alignment horizontal="center"/>
    </xf>
    <xf numFmtId="44" fontId="5" fillId="31" borderId="22" xfId="64" applyNumberFormat="1" applyFill="1" applyBorder="1" applyAlignment="1">
      <alignment horizontal="center"/>
    </xf>
    <xf numFmtId="44" fontId="5" fillId="31" borderId="19" xfId="64" applyNumberFormat="1" applyFill="1" applyBorder="1" applyAlignment="1">
      <alignment horizontal="center"/>
    </xf>
    <xf numFmtId="44" fontId="5" fillId="31" borderId="62" xfId="64" applyNumberFormat="1" applyFill="1" applyBorder="1" applyAlignment="1">
      <alignment horizontal="center"/>
    </xf>
    <xf numFmtId="44" fontId="42" fillId="33" borderId="22" xfId="64" applyNumberFormat="1" applyFont="1" applyFill="1" applyBorder="1" applyAlignment="1">
      <alignment horizontal="center"/>
    </xf>
    <xf numFmtId="44" fontId="42" fillId="33" borderId="19" xfId="64" applyNumberFormat="1" applyFont="1" applyFill="1" applyBorder="1" applyAlignment="1">
      <alignment horizontal="center"/>
    </xf>
    <xf numFmtId="44" fontId="42" fillId="33" borderId="16" xfId="64" applyNumberFormat="1" applyFont="1" applyFill="1" applyBorder="1" applyAlignment="1">
      <alignment horizontal="center"/>
    </xf>
    <xf numFmtId="44" fontId="42" fillId="33" borderId="30" xfId="64" applyNumberFormat="1" applyFont="1" applyFill="1" applyBorder="1" applyAlignment="1">
      <alignment horizontal="center"/>
    </xf>
    <xf numFmtId="44" fontId="42" fillId="33" borderId="10" xfId="64" applyNumberFormat="1" applyFont="1" applyFill="1" applyBorder="1" applyAlignment="1">
      <alignment horizontal="center"/>
    </xf>
    <xf numFmtId="44" fontId="42" fillId="33" borderId="41" xfId="64" applyNumberFormat="1" applyFont="1" applyFill="1" applyBorder="1" applyAlignment="1">
      <alignment horizontal="center"/>
    </xf>
    <xf numFmtId="0" fontId="42" fillId="33" borderId="22" xfId="64" applyFont="1" applyFill="1" applyBorder="1" applyAlignment="1">
      <alignment horizontal="center"/>
    </xf>
    <xf numFmtId="0" fontId="42" fillId="33" borderId="19" xfId="64" applyFont="1" applyFill="1" applyBorder="1" applyAlignment="1">
      <alignment horizontal="center"/>
    </xf>
    <xf numFmtId="0" fontId="42" fillId="33" borderId="10" xfId="64" applyFont="1" applyFill="1" applyBorder="1" applyAlignment="1">
      <alignment horizontal="center"/>
    </xf>
    <xf numFmtId="0" fontId="42" fillId="33" borderId="16" xfId="64" applyFont="1" applyFill="1" applyBorder="1" applyAlignment="1">
      <alignment horizontal="center"/>
    </xf>
    <xf numFmtId="0" fontId="42" fillId="33" borderId="30" xfId="64" applyFont="1" applyFill="1" applyBorder="1" applyAlignment="1">
      <alignment horizontal="center"/>
    </xf>
    <xf numFmtId="8" fontId="40" fillId="0" borderId="18" xfId="0" applyNumberFormat="1" applyFont="1" applyBorder="1" applyAlignment="1">
      <alignment horizontal="left" wrapText="1"/>
    </xf>
    <xf numFmtId="4" fontId="39" fillId="0" borderId="18" xfId="0" applyNumberFormat="1" applyFont="1" applyBorder="1" applyAlignment="1">
      <alignment horizontal="left" wrapText="1"/>
    </xf>
    <xf numFmtId="169" fontId="37" fillId="0" borderId="18" xfId="0" applyNumberFormat="1" applyFont="1" applyBorder="1" applyAlignment="1">
      <alignment horizontal="left" wrapText="1"/>
    </xf>
    <xf numFmtId="169" fontId="39" fillId="0" borderId="0" xfId="0" applyNumberFormat="1" applyFont="1" applyBorder="1" applyAlignment="1">
      <alignment horizontal="left" wrapText="1"/>
    </xf>
    <xf numFmtId="176" fontId="10" fillId="0" borderId="0" xfId="66" applyNumberFormat="1" applyFont="1"/>
    <xf numFmtId="179" fontId="5" fillId="0" borderId="0" xfId="64" applyNumberFormat="1"/>
  </cellXfs>
  <cellStyles count="9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48" xr:uid="{00000000-0005-0000-0000-000019000000}"/>
    <cellStyle name="Calculation" xfId="26" builtinId="22" customBuiltin="1"/>
    <cellStyle name="Check Cell" xfId="27" builtinId="23" customBuiltin="1"/>
    <cellStyle name="Comma" xfId="66" builtinId="3"/>
    <cellStyle name="Comma 2" xfId="28" xr:uid="{00000000-0005-0000-0000-00001D000000}"/>
    <cellStyle name="Currency" xfId="50" builtinId="4"/>
    <cellStyle name="Currency 2" xfId="45" xr:uid="{00000000-0005-0000-0000-00001F000000}"/>
    <cellStyle name="Currency 2 2" xfId="54" xr:uid="{00000000-0005-0000-0000-000020000000}"/>
    <cellStyle name="Currency 3" xfId="57" xr:uid="{00000000-0005-0000-0000-000021000000}"/>
    <cellStyle name="Currency 4" xfId="63" xr:uid="{00000000-0005-0000-0000-000022000000}"/>
    <cellStyle name="Currency 4 2" xfId="65" xr:uid="{00000000-0005-0000-0000-000023000000}"/>
    <cellStyle name="Currency 4 2 2" xfId="79" xr:uid="{00000000-0005-0000-0000-000023000000}"/>
    <cellStyle name="Currency 4 2 3" xfId="92" xr:uid="{00000000-0005-0000-0000-000023000000}"/>
    <cellStyle name="Currency 4 3" xfId="77" xr:uid="{00000000-0005-0000-0000-000022000000}"/>
    <cellStyle name="Currency 4 4" xfId="90" xr:uid="{00000000-0005-0000-0000-000022000000}"/>
    <cellStyle name="Explanatory Text" xfId="29" builtinId="53" customBuiltin="1"/>
    <cellStyle name="Good" xfId="30" builtinId="26" customBuiltin="1"/>
    <cellStyle name="Good 2" xfId="47" xr:uid="{00000000-0005-0000-0000-000026000000}"/>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 2" xfId="44" xr:uid="{00000000-0005-0000-0000-00002F000000}"/>
    <cellStyle name="Normal 2 2" xfId="53" xr:uid="{00000000-0005-0000-0000-000030000000}"/>
    <cellStyle name="Normal 3" xfId="46" xr:uid="{00000000-0005-0000-0000-000031000000}"/>
    <cellStyle name="Normal 3 2" xfId="55" xr:uid="{00000000-0005-0000-0000-000032000000}"/>
    <cellStyle name="Normal 3 2 2" xfId="60" xr:uid="{00000000-0005-0000-0000-000033000000}"/>
    <cellStyle name="Normal 3 2 2 2" xfId="74" xr:uid="{00000000-0005-0000-0000-000033000000}"/>
    <cellStyle name="Normal 3 2 2 3" xfId="87" xr:uid="{00000000-0005-0000-0000-000033000000}"/>
    <cellStyle name="Normal 3 2 3" xfId="70" xr:uid="{00000000-0005-0000-0000-000032000000}"/>
    <cellStyle name="Normal 3 2 4" xfId="83" xr:uid="{00000000-0005-0000-0000-000032000000}"/>
    <cellStyle name="Normal 3 3" xfId="58" xr:uid="{00000000-0005-0000-0000-000034000000}"/>
    <cellStyle name="Normal 3 3 2" xfId="72" xr:uid="{00000000-0005-0000-0000-000034000000}"/>
    <cellStyle name="Normal 3 3 3" xfId="85" xr:uid="{00000000-0005-0000-0000-000034000000}"/>
    <cellStyle name="Normal 3 4" xfId="68" xr:uid="{00000000-0005-0000-0000-000031000000}"/>
    <cellStyle name="Normal 3 5" xfId="81" xr:uid="{00000000-0005-0000-0000-000031000000}"/>
    <cellStyle name="Normal 4" xfId="51" xr:uid="{00000000-0005-0000-0000-000035000000}"/>
    <cellStyle name="Normal 5" xfId="62" xr:uid="{00000000-0005-0000-0000-000036000000}"/>
    <cellStyle name="Normal 5 2" xfId="64" xr:uid="{00000000-0005-0000-0000-000037000000}"/>
    <cellStyle name="Normal 5 2 2" xfId="78" xr:uid="{00000000-0005-0000-0000-000037000000}"/>
    <cellStyle name="Normal 5 2 3" xfId="91" xr:uid="{00000000-0005-0000-0000-000037000000}"/>
    <cellStyle name="Normal 5 3" xfId="76" xr:uid="{00000000-0005-0000-0000-000036000000}"/>
    <cellStyle name="Normal 5 4" xfId="89" xr:uid="{00000000-0005-0000-0000-000036000000}"/>
    <cellStyle name="Normal 6" xfId="67" xr:uid="{00000000-0005-0000-0000-000038000000}"/>
    <cellStyle name="Normal 6 2" xfId="80" xr:uid="{00000000-0005-0000-0000-000038000000}"/>
    <cellStyle name="Normal 6 3" xfId="93" xr:uid="{00000000-0005-0000-0000-000038000000}"/>
    <cellStyle name="Normal_Sheet1" xfId="38" xr:uid="{00000000-0005-0000-0000-000039000000}"/>
    <cellStyle name="Note" xfId="39" builtinId="10" customBuiltin="1"/>
    <cellStyle name="Note 2" xfId="49" xr:uid="{00000000-0005-0000-0000-00003B000000}"/>
    <cellStyle name="Note 2 2" xfId="56" xr:uid="{00000000-0005-0000-0000-00003C000000}"/>
    <cellStyle name="Note 2 2 2" xfId="61" xr:uid="{00000000-0005-0000-0000-00003D000000}"/>
    <cellStyle name="Note 2 2 2 2" xfId="75" xr:uid="{00000000-0005-0000-0000-00003D000000}"/>
    <cellStyle name="Note 2 2 2 3" xfId="88" xr:uid="{00000000-0005-0000-0000-00003D000000}"/>
    <cellStyle name="Note 2 2 3" xfId="71" xr:uid="{00000000-0005-0000-0000-00003C000000}"/>
    <cellStyle name="Note 2 2 4" xfId="84" xr:uid="{00000000-0005-0000-0000-00003C000000}"/>
    <cellStyle name="Note 2 3" xfId="59" xr:uid="{00000000-0005-0000-0000-00003E000000}"/>
    <cellStyle name="Note 2 3 2" xfId="73" xr:uid="{00000000-0005-0000-0000-00003E000000}"/>
    <cellStyle name="Note 2 3 3" xfId="86" xr:uid="{00000000-0005-0000-0000-00003E000000}"/>
    <cellStyle name="Note 2 4" xfId="69" xr:uid="{00000000-0005-0000-0000-00003B000000}"/>
    <cellStyle name="Note 2 5" xfId="82" xr:uid="{00000000-0005-0000-0000-00003B000000}"/>
    <cellStyle name="Note 3" xfId="52" xr:uid="{00000000-0005-0000-0000-00003F000000}"/>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9" defaultPivotStyle="PivotStyleLight16"/>
  <colors>
    <mruColors>
      <color rgb="FFF79646"/>
      <color rgb="FFFF9999"/>
      <color rgb="FFFFFFCC"/>
      <color rgb="FFFF66FF"/>
      <color rgb="FF92D050"/>
      <color rgb="FFFF66CC"/>
      <color rgb="FF3366FF"/>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scnsportal.com/Users/eomelian/Documents/STPSat-6/Materials%20Database/TO190-2%20TIP/SCNS%20BOE%20Input%20Model%20TO190-2%20201711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Mason_Monika\TO%20190\Copy%20of%20PFA%20Forecast%20-%20Oxley_April%20533.xlsm%20working%20doc.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amp; Directions"/>
      <sheetName val="WBS Assignment"/>
      <sheetName val="Direct Labor Hours Summary"/>
      <sheetName val="Direct Labor Hours (CY 1)"/>
      <sheetName val="Material Detail (CY 1)"/>
      <sheetName val="Travel Detail (CY 1)"/>
      <sheetName val="ODC Detail (CY 1)"/>
      <sheetName val="Direct Labor Hours (CY 2)"/>
      <sheetName val="Material Detail (CY 2)"/>
      <sheetName val="Travel Detail (CY 2)"/>
      <sheetName val="ODC Detail (CY 2)"/>
      <sheetName val="Direct Labor Hours (CY 3)"/>
      <sheetName val="Material Detail (CY 3)"/>
      <sheetName val="Travel Detail (CY 3)"/>
      <sheetName val="ODC Detail (CY 3)"/>
      <sheetName val="Direct Labor Hours (CY 4)"/>
      <sheetName val="Material Detail (CY 4)"/>
      <sheetName val="Travel Detail (CY 4)"/>
      <sheetName val="ODC Detail (CY 4)"/>
      <sheetName val="Direct Labor Hours (CY 5)"/>
      <sheetName val="Material Detail (CY 5)"/>
      <sheetName val="Travel Detail (CY 5)"/>
      <sheetName val="ODC Detail (CY 5)"/>
      <sheetName val="Direct Labor Hours (CY 6)"/>
      <sheetName val="ODC Detail (CY 6)"/>
      <sheetName val="Direct Labor Hours (CY 7)"/>
      <sheetName val="Material Detail (CY 7) (OLD)"/>
      <sheetName val="Material Detail (CY 7) (8DEC17)"/>
      <sheetName val="Sheet3"/>
      <sheetName val="Material Detail (CY 7) (Group)"/>
      <sheetName val="Material Detail (CY 7)"/>
      <sheetName val="Travel Detail (CY 7)"/>
      <sheetName val="Support Allocations"/>
      <sheetName val="DL Pivot Tables"/>
      <sheetName val="SCNS Labor Rates"/>
      <sheetName val="Drop Down Lists"/>
      <sheetName val="Possible Locations"/>
      <sheetName val="Possible Labor Categories"/>
      <sheetName val="Category Mapping"/>
    </sheetNames>
    <sheetDataSet>
      <sheetData sheetId="0">
        <row r="3">
          <cell r="B3" t="str">
            <v>ITT Exelis, IS Division</v>
          </cell>
        </row>
      </sheetData>
      <sheetData sheetId="1">
        <row r="1">
          <cell r="A1" t="str">
            <v>SCNS Task Order BOE Input Model - ITT Exelis, IS Division</v>
          </cell>
        </row>
        <row r="2">
          <cell r="A2" t="str">
            <v>Task Order 190-00 - SAGE &amp; SOC - Material</v>
          </cell>
        </row>
        <row r="3">
          <cell r="A3" t="str">
            <v>WBS Assignment</v>
          </cell>
        </row>
        <row r="5">
          <cell r="A5" t="str">
            <v>Task Order WBS Utilized</v>
          </cell>
        </row>
        <row r="6">
          <cell r="A6" t="str">
            <v xml:space="preserve">WBS </v>
          </cell>
        </row>
        <row r="7">
          <cell r="A7" t="str">
            <v>2.0</v>
          </cell>
        </row>
        <row r="8">
          <cell r="A8" t="str">
            <v>3.0</v>
          </cell>
        </row>
        <row r="9">
          <cell r="A9" t="str">
            <v>4.0</v>
          </cell>
        </row>
        <row r="10">
          <cell r="A10" t="str">
            <v>5.0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6">
          <cell r="R6">
            <v>43070</v>
          </cell>
        </row>
      </sheetData>
      <sheetData sheetId="26"/>
      <sheetData sheetId="27"/>
      <sheetData sheetId="28"/>
      <sheetData sheetId="29"/>
      <sheetData sheetId="30"/>
      <sheetData sheetId="31"/>
      <sheetData sheetId="32"/>
      <sheetData sheetId="33"/>
      <sheetData sheetId="34"/>
      <sheetData sheetId="35">
        <row r="1">
          <cell r="B1" t="str">
            <v>Function</v>
          </cell>
        </row>
        <row r="2">
          <cell r="B2" t="str">
            <v>Management</v>
          </cell>
        </row>
        <row r="3">
          <cell r="B3" t="str">
            <v>Management (Specific)</v>
          </cell>
        </row>
        <row r="4">
          <cell r="B4" t="str">
            <v>Support (Specific)</v>
          </cell>
        </row>
        <row r="5">
          <cell r="B5" t="str">
            <v>Technical</v>
          </cell>
        </row>
      </sheetData>
      <sheetData sheetId="36"/>
      <sheetData sheetId="37"/>
      <sheetData sheetId="3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PE"/>
      <sheetName val="Variance"/>
      <sheetName val="Sheet2"/>
      <sheetName val="Calendar"/>
    </sheetNames>
    <sheetDataSet>
      <sheetData sheetId="0"/>
      <sheetData sheetId="1"/>
      <sheetData sheetId="2"/>
      <sheetData sheetId="3">
        <row r="173">
          <cell r="G173">
            <v>1665817</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39"/>
  <sheetViews>
    <sheetView tabSelected="1" topLeftCell="A3" zoomScale="115" zoomScaleNormal="115" workbookViewId="0">
      <pane xSplit="3" ySplit="2" topLeftCell="D5" activePane="bottomRight" state="frozen"/>
      <selection pane="topRight" activeCell="D3" sqref="D3"/>
      <selection pane="bottomLeft" activeCell="A4" sqref="A4"/>
      <selection pane="bottomRight" activeCell="M30" sqref="M30"/>
    </sheetView>
  </sheetViews>
  <sheetFormatPr defaultColWidth="9.109375" defaultRowHeight="13.2" x14ac:dyDescent="0.25"/>
  <cols>
    <col min="1" max="1" width="2.5546875" style="4" customWidth="1"/>
    <col min="2" max="2" width="28.44140625" style="4" customWidth="1"/>
    <col min="3" max="3" width="19.44140625" style="4" bestFit="1" customWidth="1"/>
    <col min="4" max="15" width="15.109375" style="4" customWidth="1"/>
    <col min="16" max="18" width="12.44140625" style="4" hidden="1" customWidth="1"/>
    <col min="19" max="19" width="12.109375" style="4" hidden="1" customWidth="1"/>
    <col min="20" max="24" width="12.44140625" style="4" hidden="1" customWidth="1"/>
    <col min="25" max="25" width="10.5546875" style="4" hidden="1" customWidth="1"/>
    <col min="26" max="26" width="4.88671875" style="4" customWidth="1"/>
    <col min="27" max="27" width="2.44140625" style="4" customWidth="1"/>
    <col min="28" max="28" width="12.44140625" style="4" bestFit="1" customWidth="1"/>
    <col min="29" max="31" width="9.109375" style="4"/>
    <col min="32" max="32" width="19.44140625" style="4" customWidth="1"/>
    <col min="33" max="35" width="9.109375" style="4"/>
    <col min="36" max="36" width="9.88671875" style="4" bestFit="1" customWidth="1"/>
    <col min="37" max="16384" width="9.109375" style="4"/>
  </cols>
  <sheetData>
    <row r="1" spans="1:39" s="18" customFormat="1" x14ac:dyDescent="0.25">
      <c r="A1" s="3"/>
      <c r="B1" s="3"/>
      <c r="C1" s="3"/>
      <c r="D1" s="3"/>
      <c r="E1" s="3"/>
      <c r="F1" s="3"/>
      <c r="G1" s="3"/>
      <c r="H1" s="3"/>
      <c r="I1" s="3"/>
      <c r="J1" s="3"/>
      <c r="K1" s="3"/>
      <c r="L1" s="3"/>
      <c r="M1" s="3"/>
      <c r="N1" s="3"/>
      <c r="O1" s="3"/>
      <c r="P1" s="3"/>
      <c r="Q1" s="3"/>
      <c r="R1" s="3"/>
      <c r="S1" s="3"/>
      <c r="T1" s="3"/>
      <c r="U1" s="3"/>
      <c r="V1" s="3"/>
      <c r="W1" s="3"/>
      <c r="X1" s="3"/>
      <c r="Y1" s="3"/>
      <c r="Z1" s="3"/>
    </row>
    <row r="2" spans="1:39" s="18" customFormat="1" ht="96"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39" s="18" customFormat="1" ht="40.65" customHeight="1" thickBot="1" x14ac:dyDescent="0.3">
      <c r="A3" s="3"/>
      <c r="B3" s="3"/>
      <c r="C3" s="3"/>
      <c r="D3" s="3"/>
      <c r="E3" s="3"/>
      <c r="F3" s="3"/>
      <c r="G3" s="3"/>
      <c r="H3" s="3"/>
      <c r="I3" s="3"/>
      <c r="J3" s="3"/>
      <c r="K3" s="3"/>
      <c r="L3" s="3"/>
      <c r="M3" s="3"/>
      <c r="N3" s="3"/>
      <c r="O3" s="3"/>
      <c r="P3" s="3"/>
      <c r="Q3" s="3"/>
      <c r="R3" s="3"/>
      <c r="S3" s="3"/>
      <c r="T3" s="3"/>
      <c r="U3" s="3"/>
      <c r="V3" s="3"/>
      <c r="W3" s="3"/>
      <c r="X3" s="3"/>
      <c r="Y3" s="3"/>
      <c r="Z3" s="3"/>
      <c r="AA3" s="4"/>
      <c r="AB3" s="4"/>
      <c r="AC3" s="4"/>
      <c r="AD3" s="4"/>
      <c r="AE3" s="4"/>
      <c r="AF3" s="4"/>
      <c r="AG3" s="4"/>
      <c r="AH3" s="4"/>
      <c r="AI3" s="4"/>
      <c r="AJ3" s="4"/>
      <c r="AK3" s="4"/>
      <c r="AL3" s="4"/>
      <c r="AM3" s="4"/>
    </row>
    <row r="4" spans="1:39" ht="79.8" thickBot="1" x14ac:dyDescent="0.3">
      <c r="A4" s="3"/>
      <c r="B4" s="75" t="s">
        <v>0</v>
      </c>
      <c r="C4" s="94" t="s">
        <v>1</v>
      </c>
      <c r="D4" s="76" t="s">
        <v>2</v>
      </c>
      <c r="E4" s="76" t="s">
        <v>3</v>
      </c>
      <c r="F4" s="78" t="s">
        <v>4</v>
      </c>
      <c r="G4" s="78" t="s">
        <v>5</v>
      </c>
      <c r="H4" s="78" t="s">
        <v>6</v>
      </c>
      <c r="I4" s="78" t="s">
        <v>7</v>
      </c>
      <c r="J4" s="78" t="s">
        <v>8</v>
      </c>
      <c r="K4" s="78" t="s">
        <v>9</v>
      </c>
      <c r="L4" s="78" t="s">
        <v>10</v>
      </c>
      <c r="M4" s="78" t="s">
        <v>11</v>
      </c>
      <c r="N4" s="78" t="s">
        <v>12</v>
      </c>
      <c r="O4" s="279" t="s">
        <v>13</v>
      </c>
      <c r="P4" s="275" t="s">
        <v>14</v>
      </c>
      <c r="Q4" s="275" t="s">
        <v>15</v>
      </c>
      <c r="R4" s="275" t="s">
        <v>16</v>
      </c>
      <c r="S4" s="275" t="s">
        <v>17</v>
      </c>
      <c r="T4" s="275" t="s">
        <v>18</v>
      </c>
      <c r="U4" s="275" t="s">
        <v>19</v>
      </c>
      <c r="V4" s="275" t="s">
        <v>20</v>
      </c>
      <c r="W4" s="275" t="s">
        <v>21</v>
      </c>
      <c r="X4" s="275" t="s">
        <v>22</v>
      </c>
      <c r="Y4" s="95" t="s">
        <v>23</v>
      </c>
      <c r="Z4" s="1"/>
    </row>
    <row r="5" spans="1:39" x14ac:dyDescent="0.25">
      <c r="A5" s="3"/>
      <c r="B5" s="69" t="s">
        <v>24</v>
      </c>
      <c r="C5" s="70">
        <v>1</v>
      </c>
      <c r="D5" s="71">
        <v>80984.960000000006</v>
      </c>
      <c r="E5" s="71"/>
      <c r="F5" s="72"/>
      <c r="G5" s="72"/>
      <c r="H5" s="72"/>
      <c r="I5" s="72"/>
      <c r="J5" s="73"/>
      <c r="K5" s="73"/>
      <c r="L5" s="360"/>
      <c r="M5" s="360"/>
      <c r="N5" s="360"/>
      <c r="O5" s="280"/>
      <c r="P5" s="276"/>
      <c r="Q5" s="72"/>
      <c r="R5" s="72"/>
      <c r="S5" s="72"/>
      <c r="T5" s="72"/>
      <c r="U5" s="72"/>
      <c r="V5" s="72"/>
      <c r="W5" s="367"/>
      <c r="X5" s="367"/>
      <c r="Y5" s="74" t="s">
        <v>25</v>
      </c>
      <c r="Z5" s="1"/>
    </row>
    <row r="6" spans="1:39" ht="13.8" thickBot="1" x14ac:dyDescent="0.3">
      <c r="A6" s="3"/>
      <c r="B6" s="19" t="s">
        <v>26</v>
      </c>
      <c r="C6" s="11">
        <v>2</v>
      </c>
      <c r="D6" s="10">
        <v>0</v>
      </c>
      <c r="E6" s="10"/>
      <c r="F6" s="9"/>
      <c r="G6" s="9"/>
      <c r="H6" s="9"/>
      <c r="I6" s="9"/>
      <c r="J6" s="8"/>
      <c r="K6" s="8"/>
      <c r="L6" s="361"/>
      <c r="M6" s="361"/>
      <c r="N6" s="361"/>
      <c r="O6" s="281"/>
      <c r="P6" s="277"/>
      <c r="Q6" s="9"/>
      <c r="R6" s="9"/>
      <c r="S6" s="9"/>
      <c r="T6" s="9"/>
      <c r="U6" s="9"/>
      <c r="V6" s="9"/>
      <c r="W6" s="368"/>
      <c r="X6" s="368"/>
      <c r="Y6" s="17" t="s">
        <v>25</v>
      </c>
      <c r="Z6" s="5"/>
    </row>
    <row r="7" spans="1:39" ht="13.8" thickTop="1" x14ac:dyDescent="0.25">
      <c r="A7" s="3"/>
      <c r="B7" s="12" t="s">
        <v>27</v>
      </c>
      <c r="C7" s="13">
        <v>3</v>
      </c>
      <c r="D7" s="642">
        <v>6362207</v>
      </c>
      <c r="E7" s="14">
        <f t="shared" ref="E7:E12" si="0">N7+O7</f>
        <v>476180.93000000005</v>
      </c>
      <c r="F7" s="14">
        <f>MDB!S1295</f>
        <v>1354399.2519999999</v>
      </c>
      <c r="G7" s="14">
        <f>MDB!S1300</f>
        <v>2232</v>
      </c>
      <c r="H7" s="14">
        <f>MDB!S1303</f>
        <v>814122.87599999993</v>
      </c>
      <c r="I7" s="14">
        <f>MDB!S1308</f>
        <v>105623.27</v>
      </c>
      <c r="J7" s="2">
        <f>MDB!S1311</f>
        <v>2950</v>
      </c>
      <c r="K7" s="2">
        <f>MDB!S1314</f>
        <v>7642.4600000000009</v>
      </c>
      <c r="L7" s="362">
        <f>MDB!S1317</f>
        <v>0</v>
      </c>
      <c r="M7" s="597">
        <f>MDB!Q150+MDB!Q151+MDB!Q152+MDB!Q153+MDB!Q154</f>
        <v>-307772</v>
      </c>
      <c r="N7" s="362">
        <f>MDB!S1320</f>
        <v>265250.48000000004</v>
      </c>
      <c r="O7" s="282">
        <f>MDB!S1323</f>
        <v>210930.45</v>
      </c>
      <c r="P7" s="278">
        <f>MDB!S1333</f>
        <v>812170.25999999978</v>
      </c>
      <c r="Q7" s="14">
        <f>MDB!S1336</f>
        <v>2212</v>
      </c>
      <c r="R7" s="350">
        <f>MDB!S1339</f>
        <v>620566.94000000006</v>
      </c>
      <c r="S7" s="14">
        <f>MDB!S1342</f>
        <v>104303.27</v>
      </c>
      <c r="T7" s="14">
        <f>MDB!S1345</f>
        <v>2950</v>
      </c>
      <c r="U7" s="272">
        <f>MDB!S1348</f>
        <v>7342.72</v>
      </c>
      <c r="V7" s="14">
        <f>MDB!S1351</f>
        <v>0</v>
      </c>
      <c r="W7" s="272">
        <f>MDB!S1354</f>
        <v>0</v>
      </c>
      <c r="X7" s="272">
        <f>MDB!S1357</f>
        <v>0</v>
      </c>
      <c r="Y7" s="348"/>
      <c r="Z7" s="3"/>
    </row>
    <row r="8" spans="1:39" ht="13.8" thickBot="1" x14ac:dyDescent="0.3">
      <c r="A8" s="3"/>
      <c r="B8" s="323" t="s">
        <v>28</v>
      </c>
      <c r="C8" s="324">
        <v>3</v>
      </c>
      <c r="D8" s="643"/>
      <c r="E8" s="325">
        <f t="shared" si="0"/>
        <v>0</v>
      </c>
      <c r="F8" s="325">
        <v>0</v>
      </c>
      <c r="G8" s="325">
        <v>0</v>
      </c>
      <c r="H8" s="325">
        <f>'Milestone Payment'!AE6+'Milestone Payment'!AE7+'Milestone Payment'!AE8+'Milestone Payment'!AE9+'Milestone Payment'!AE10</f>
        <v>3329082</v>
      </c>
      <c r="I8" s="325">
        <v>0</v>
      </c>
      <c r="J8" s="326">
        <f>'Milestone Payment'!AE17+'Milestone Payment'!AE18+'Milestone Payment'!AE19+'Milestone Payment'!AE20</f>
        <v>129601.88</v>
      </c>
      <c r="K8" s="326">
        <f>'Milestone Payment'!AE11</f>
        <v>369898</v>
      </c>
      <c r="L8" s="363">
        <f>'Milestone Payment'!AE13+'Milestone Payment'!AE14+'Milestone Payment'!AE15</f>
        <v>507075</v>
      </c>
      <c r="M8" s="363">
        <v>0</v>
      </c>
      <c r="N8" s="363">
        <v>0</v>
      </c>
      <c r="O8" s="327">
        <v>0</v>
      </c>
      <c r="P8" s="344">
        <v>0</v>
      </c>
      <c r="Q8" s="345">
        <v>0</v>
      </c>
      <c r="R8" s="347">
        <f>'Milestone Payment'!AE6+'Milestone Payment'!AE7</f>
        <v>924745</v>
      </c>
      <c r="S8" s="345">
        <v>0</v>
      </c>
      <c r="T8" s="345">
        <v>0</v>
      </c>
      <c r="U8" s="345">
        <f>MDB!S1349</f>
        <v>39427.300000000003</v>
      </c>
      <c r="V8" s="345">
        <f>MDB!S1352</f>
        <v>0</v>
      </c>
      <c r="W8" s="346">
        <v>0</v>
      </c>
      <c r="X8" s="346">
        <v>0</v>
      </c>
      <c r="Y8" s="330"/>
      <c r="Z8" s="3"/>
    </row>
    <row r="9" spans="1:39" ht="13.8" thickTop="1" x14ac:dyDescent="0.25">
      <c r="A9" s="3"/>
      <c r="B9" s="331" t="s">
        <v>29</v>
      </c>
      <c r="C9" s="332">
        <v>4</v>
      </c>
      <c r="D9" s="642">
        <v>886427</v>
      </c>
      <c r="E9" s="333">
        <f t="shared" si="0"/>
        <v>75520.45</v>
      </c>
      <c r="F9" s="333">
        <f>MDB!S1296</f>
        <v>415868.73</v>
      </c>
      <c r="G9" s="333">
        <f>MDB!S1301</f>
        <v>225103.43000000002</v>
      </c>
      <c r="H9" s="333">
        <f>MDB!S1304</f>
        <v>92785.939999999988</v>
      </c>
      <c r="I9" s="333">
        <f>MDB!S1309</f>
        <v>96343.179999999978</v>
      </c>
      <c r="J9" s="334">
        <f>MDB!S1312</f>
        <v>0</v>
      </c>
      <c r="K9" s="334">
        <f>MDB!S1315</f>
        <v>56325.38</v>
      </c>
      <c r="L9" s="364">
        <f>MDB!S1318:S1318</f>
        <v>0</v>
      </c>
      <c r="M9" s="364">
        <f>MDB!U1318:U1318</f>
        <v>0</v>
      </c>
      <c r="N9" s="364">
        <v>0</v>
      </c>
      <c r="O9" s="335">
        <f>MDB!S1324</f>
        <v>75520.45</v>
      </c>
      <c r="P9" s="336">
        <f>MDB!S1334</f>
        <v>332435.37000000011</v>
      </c>
      <c r="Q9" s="333">
        <f>MDB!S1337</f>
        <v>144692.70999999996</v>
      </c>
      <c r="R9" s="333">
        <f>MDB!S1340</f>
        <v>65030.12999999999</v>
      </c>
      <c r="S9" s="333">
        <f>MDB!S1343</f>
        <v>148116.22</v>
      </c>
      <c r="T9" s="333">
        <f>MDB!S1329</f>
        <v>0</v>
      </c>
      <c r="U9" s="322">
        <f>MDB!S1349</f>
        <v>39427.300000000003</v>
      </c>
      <c r="V9" s="322">
        <f>MDB!S1352</f>
        <v>0</v>
      </c>
      <c r="W9" s="322">
        <f>MDB!S1355</f>
        <v>0</v>
      </c>
      <c r="X9" s="322">
        <f>MDB!S1358</f>
        <v>0</v>
      </c>
      <c r="Y9" s="337"/>
      <c r="Z9" s="3"/>
    </row>
    <row r="10" spans="1:39" ht="13.8" thickBot="1" x14ac:dyDescent="0.3">
      <c r="A10" s="3"/>
      <c r="B10" s="323" t="s">
        <v>30</v>
      </c>
      <c r="C10" s="324">
        <v>4</v>
      </c>
      <c r="D10" s="643"/>
      <c r="E10" s="325">
        <f t="shared" si="0"/>
        <v>0</v>
      </c>
      <c r="F10" s="325">
        <v>0</v>
      </c>
      <c r="G10" s="325">
        <v>0</v>
      </c>
      <c r="H10" s="325">
        <v>0</v>
      </c>
      <c r="I10" s="325">
        <v>0</v>
      </c>
      <c r="J10" s="326">
        <v>0</v>
      </c>
      <c r="K10" s="326">
        <v>0</v>
      </c>
      <c r="L10" s="363">
        <v>0</v>
      </c>
      <c r="M10" s="363">
        <v>0</v>
      </c>
      <c r="N10" s="363">
        <v>0</v>
      </c>
      <c r="O10" s="327">
        <v>0</v>
      </c>
      <c r="P10" s="328">
        <v>0</v>
      </c>
      <c r="Q10" s="325">
        <v>0</v>
      </c>
      <c r="R10" s="325">
        <v>0</v>
      </c>
      <c r="S10" s="325">
        <v>0</v>
      </c>
      <c r="T10" s="325">
        <v>0</v>
      </c>
      <c r="U10" s="329">
        <f>MDB!S1351</f>
        <v>0</v>
      </c>
      <c r="V10" s="325">
        <f>MDB!S1354</f>
        <v>0</v>
      </c>
      <c r="W10" s="329">
        <v>0</v>
      </c>
      <c r="X10" s="329">
        <v>0</v>
      </c>
      <c r="Y10" s="338"/>
      <c r="Z10" s="3"/>
    </row>
    <row r="11" spans="1:39" ht="13.8" thickTop="1" x14ac:dyDescent="0.25">
      <c r="A11" s="3"/>
      <c r="B11" s="331" t="s">
        <v>31</v>
      </c>
      <c r="C11" s="339">
        <v>5</v>
      </c>
      <c r="D11" s="649">
        <v>2039561</v>
      </c>
      <c r="E11" s="333">
        <f t="shared" si="0"/>
        <v>48069.64</v>
      </c>
      <c r="F11" s="333">
        <v>13170.050000000001</v>
      </c>
      <c r="G11" s="333">
        <f>MDB!S1302</f>
        <v>0</v>
      </c>
      <c r="H11" s="333">
        <f>MDB!S1307</f>
        <v>1077415.9609999997</v>
      </c>
      <c r="I11" s="333">
        <f>MDB!S1310</f>
        <v>-24032.509999999944</v>
      </c>
      <c r="J11" s="333">
        <f>MDB!S1313</f>
        <v>0</v>
      </c>
      <c r="K11" s="333">
        <f>MDB!S1316</f>
        <v>96062.3</v>
      </c>
      <c r="L11" s="365">
        <f>MDB!S1319</f>
        <v>0</v>
      </c>
      <c r="M11" s="365">
        <f>MDB!U1319</f>
        <v>0</v>
      </c>
      <c r="N11" s="365">
        <v>0</v>
      </c>
      <c r="O11" s="342">
        <f>MDB!S1325</f>
        <v>48069.64</v>
      </c>
      <c r="P11" s="336">
        <f>MDB!S1335</f>
        <v>0</v>
      </c>
      <c r="Q11" s="333">
        <f>MDB!S1338</f>
        <v>0</v>
      </c>
      <c r="R11" s="333">
        <f>MDB!S1341</f>
        <v>693379.04</v>
      </c>
      <c r="S11" s="333">
        <f>MDB!S1344</f>
        <v>155462.6400000001</v>
      </c>
      <c r="T11" s="333">
        <f>MDB!S1330</f>
        <v>0</v>
      </c>
      <c r="U11" s="322" t="e">
        <f>MDB!S1350</f>
        <v>#REF!</v>
      </c>
      <c r="V11" s="322">
        <f>MDB!S1353</f>
        <v>0</v>
      </c>
      <c r="W11" s="322">
        <f>MDB!S1356</f>
        <v>0</v>
      </c>
      <c r="X11" s="322">
        <f>MDB!S1359</f>
        <v>0</v>
      </c>
      <c r="Y11" s="349"/>
      <c r="Z11" s="3"/>
    </row>
    <row r="12" spans="1:39" ht="13.8" thickBot="1" x14ac:dyDescent="0.3">
      <c r="A12" s="3"/>
      <c r="B12" s="323" t="s">
        <v>32</v>
      </c>
      <c r="C12" s="340">
        <v>5</v>
      </c>
      <c r="D12" s="650"/>
      <c r="E12" s="325">
        <f t="shared" si="0"/>
        <v>0</v>
      </c>
      <c r="F12" s="325">
        <v>0</v>
      </c>
      <c r="G12" s="325">
        <v>0</v>
      </c>
      <c r="H12" s="325">
        <f>'Milestone Payment'!AE3</f>
        <v>199122</v>
      </c>
      <c r="I12" s="325">
        <f>+'Milestone Payment'!AE22+'Milestone Payment'!AE23+'Milestone Payment'!AE24+'Milestone Payment'!AE26+'Milestone Payment'!AE4</f>
        <v>484895.87999999989</v>
      </c>
      <c r="J12" s="325">
        <v>0</v>
      </c>
      <c r="K12" s="325">
        <f>+'Milestone Payment'!AE25+'Milestone Payment'!AE27+'Milestone Payment'!AE28+'Milestone Payment'!AE29</f>
        <v>192928.12</v>
      </c>
      <c r="L12" s="329">
        <v>0</v>
      </c>
      <c r="M12" s="329">
        <v>0</v>
      </c>
      <c r="N12" s="329">
        <v>0</v>
      </c>
      <c r="O12" s="343">
        <v>0</v>
      </c>
      <c r="P12" s="344">
        <v>0</v>
      </c>
      <c r="Q12" s="345">
        <v>0</v>
      </c>
      <c r="R12" s="345">
        <v>0</v>
      </c>
      <c r="S12" s="345">
        <v>0</v>
      </c>
      <c r="T12" s="345">
        <v>0</v>
      </c>
      <c r="U12" s="346">
        <v>0</v>
      </c>
      <c r="V12" s="345">
        <f>MDB!S1356</f>
        <v>0</v>
      </c>
      <c r="W12" s="345">
        <v>0</v>
      </c>
      <c r="X12" s="345">
        <v>0</v>
      </c>
      <c r="Y12" s="325"/>
      <c r="Z12" s="3"/>
    </row>
    <row r="13" spans="1:39" ht="13.5" customHeight="1" thickTop="1" x14ac:dyDescent="0.25">
      <c r="A13" s="3"/>
      <c r="B13" s="644"/>
      <c r="C13" s="645"/>
      <c r="D13" s="645"/>
      <c r="E13" s="645"/>
      <c r="F13" s="645"/>
      <c r="G13" s="645"/>
      <c r="H13" s="645"/>
      <c r="I13" s="645"/>
      <c r="J13" s="645"/>
      <c r="K13" s="645"/>
      <c r="L13" s="645"/>
      <c r="M13" s="645"/>
      <c r="N13" s="645"/>
      <c r="O13" s="645"/>
      <c r="P13" s="645"/>
      <c r="Q13" s="645"/>
      <c r="R13" s="645"/>
      <c r="S13" s="645"/>
      <c r="T13" s="645"/>
      <c r="U13" s="645"/>
      <c r="V13" s="645"/>
      <c r="W13" s="645"/>
      <c r="X13" s="645"/>
      <c r="Y13" s="646"/>
      <c r="Z13" s="3"/>
    </row>
    <row r="14" spans="1:39" s="7" customFormat="1" ht="13.8" thickBot="1" x14ac:dyDescent="0.3">
      <c r="A14" s="6"/>
      <c r="B14" s="647" t="s">
        <v>33</v>
      </c>
      <c r="C14" s="648"/>
      <c r="D14" s="15">
        <f>SUM(D5:D12)</f>
        <v>9369179.9600000009</v>
      </c>
      <c r="E14" s="15">
        <f>SUM(E5:E12)</f>
        <v>599771.02</v>
      </c>
      <c r="F14" s="371">
        <f>SUM(F5:F12)</f>
        <v>1783438.0319999999</v>
      </c>
      <c r="G14" s="371">
        <f>SUM(G5:G12)</f>
        <v>227335.43000000002</v>
      </c>
      <c r="H14" s="371">
        <f t="shared" ref="H14:M14" si="1">SUM(H6:H12)</f>
        <v>5512528.7770000007</v>
      </c>
      <c r="I14" s="371">
        <f t="shared" si="1"/>
        <v>662829.81999999995</v>
      </c>
      <c r="J14" s="371">
        <f t="shared" si="1"/>
        <v>132551.88</v>
      </c>
      <c r="K14" s="419">
        <f t="shared" si="1"/>
        <v>722856.26</v>
      </c>
      <c r="L14" s="420">
        <f t="shared" si="1"/>
        <v>507075</v>
      </c>
      <c r="M14" s="420">
        <f t="shared" si="1"/>
        <v>-307772</v>
      </c>
      <c r="N14" s="421">
        <f>SUM(N5:N12)</f>
        <v>265250.48000000004</v>
      </c>
      <c r="O14" s="422">
        <f>SUM(O5:O12)</f>
        <v>334520.54000000004</v>
      </c>
      <c r="P14" s="283">
        <f t="shared" ref="P14:X14" si="2">SUM(P6:P11)</f>
        <v>1144605.6299999999</v>
      </c>
      <c r="Q14" s="15">
        <f t="shared" si="2"/>
        <v>146904.70999999996</v>
      </c>
      <c r="R14" s="15">
        <f t="shared" si="2"/>
        <v>2303721.11</v>
      </c>
      <c r="S14" s="15">
        <f t="shared" si="2"/>
        <v>407882.13000000012</v>
      </c>
      <c r="T14" s="15">
        <f t="shared" si="2"/>
        <v>2950</v>
      </c>
      <c r="U14" s="15" t="e">
        <f t="shared" si="2"/>
        <v>#REF!</v>
      </c>
      <c r="V14" s="15">
        <f t="shared" si="2"/>
        <v>0</v>
      </c>
      <c r="W14" s="15">
        <f t="shared" si="2"/>
        <v>0</v>
      </c>
      <c r="X14" s="15">
        <f t="shared" si="2"/>
        <v>0</v>
      </c>
      <c r="Y14" s="16"/>
      <c r="Z14" s="6"/>
      <c r="AA14" s="4"/>
      <c r="AB14" s="4"/>
      <c r="AC14" s="4"/>
      <c r="AD14" s="4"/>
      <c r="AE14" s="4"/>
      <c r="AF14" s="4"/>
      <c r="AG14" s="4"/>
      <c r="AH14" s="4"/>
      <c r="AI14" s="4"/>
      <c r="AJ14" s="4"/>
      <c r="AK14" s="4"/>
      <c r="AL14" s="4"/>
      <c r="AM14" s="4"/>
    </row>
    <row r="15" spans="1:39" x14ac:dyDescent="0.25">
      <c r="A15" s="3"/>
      <c r="B15" s="3"/>
      <c r="C15" s="3"/>
      <c r="D15" s="3"/>
      <c r="E15" s="3"/>
      <c r="F15" s="3"/>
      <c r="G15" s="3"/>
      <c r="H15" s="3"/>
      <c r="I15" s="3"/>
      <c r="J15" s="3"/>
      <c r="K15" s="3"/>
      <c r="L15" s="3"/>
      <c r="M15" s="3"/>
      <c r="N15" s="3"/>
      <c r="O15" s="3"/>
      <c r="P15" s="5">
        <f>F14-P14</f>
        <v>638832.402</v>
      </c>
      <c r="Q15" s="181">
        <f>G14-Q14</f>
        <v>80430.720000000059</v>
      </c>
      <c r="R15" s="181">
        <f>H14-R14</f>
        <v>3208807.6670000008</v>
      </c>
      <c r="S15" s="181">
        <f>I14-S14</f>
        <v>254947.68999999983</v>
      </c>
      <c r="T15" s="3"/>
      <c r="U15" s="3"/>
      <c r="V15" s="3"/>
      <c r="W15" s="3"/>
      <c r="X15" s="3"/>
      <c r="Y15" s="3"/>
      <c r="Z15" s="3"/>
    </row>
    <row r="16" spans="1:39" x14ac:dyDescent="0.25">
      <c r="C16" s="370" t="s">
        <v>34</v>
      </c>
      <c r="D16" s="418">
        <f>+D14</f>
        <v>9369179.9600000009</v>
      </c>
      <c r="E16" s="418"/>
      <c r="G16" s="418"/>
      <c r="K16" s="318"/>
      <c r="L16" s="318"/>
      <c r="M16" s="318"/>
      <c r="N16" s="318"/>
      <c r="P16" s="418"/>
      <c r="S16" s="418"/>
    </row>
    <row r="17" spans="2:25" x14ac:dyDescent="0.25">
      <c r="C17" s="4" t="s">
        <v>35</v>
      </c>
      <c r="D17" s="418">
        <f>-D5</f>
        <v>-80984.960000000006</v>
      </c>
      <c r="E17" s="418"/>
      <c r="F17" s="418"/>
      <c r="K17" s="418"/>
      <c r="L17" s="418"/>
      <c r="M17" s="418"/>
      <c r="N17" s="418"/>
      <c r="O17" s="418"/>
    </row>
    <row r="18" spans="2:25" ht="13.8" thickBot="1" x14ac:dyDescent="0.3">
      <c r="B18" s="373"/>
      <c r="C18" s="374" t="s">
        <v>36</v>
      </c>
      <c r="D18" s="379">
        <f>+D14+D17</f>
        <v>9288195</v>
      </c>
      <c r="E18" s="418"/>
      <c r="F18" s="418"/>
      <c r="J18" s="423" t="s">
        <v>37</v>
      </c>
      <c r="K18" s="419">
        <f>K14</f>
        <v>722856.26</v>
      </c>
      <c r="L18" s="420">
        <f>L14</f>
        <v>507075</v>
      </c>
      <c r="M18" s="420">
        <f>M14</f>
        <v>-307772</v>
      </c>
      <c r="N18" s="421">
        <v>265250.48000000004</v>
      </c>
      <c r="O18" s="422">
        <v>334520.54000000004</v>
      </c>
      <c r="P18" s="418">
        <f t="shared" ref="P18:Y18" si="3">+P14-P17</f>
        <v>1144605.6299999999</v>
      </c>
      <c r="Q18" s="418">
        <f t="shared" si="3"/>
        <v>146904.70999999996</v>
      </c>
      <c r="R18" s="418">
        <f t="shared" si="3"/>
        <v>2303721.11</v>
      </c>
      <c r="S18" s="418">
        <f t="shared" si="3"/>
        <v>407882.13000000012</v>
      </c>
      <c r="T18" s="418">
        <f t="shared" si="3"/>
        <v>2950</v>
      </c>
      <c r="U18" s="418" t="e">
        <f t="shared" si="3"/>
        <v>#REF!</v>
      </c>
      <c r="V18" s="418">
        <f t="shared" si="3"/>
        <v>0</v>
      </c>
      <c r="W18" s="418">
        <f t="shared" si="3"/>
        <v>0</v>
      </c>
      <c r="X18" s="418">
        <f t="shared" si="3"/>
        <v>0</v>
      </c>
      <c r="Y18" s="418">
        <f t="shared" si="3"/>
        <v>0</v>
      </c>
    </row>
    <row r="19" spans="2:25" x14ac:dyDescent="0.25">
      <c r="C19" s="7"/>
      <c r="D19" s="372"/>
      <c r="F19" s="418"/>
      <c r="K19" s="418"/>
      <c r="L19" s="418"/>
      <c r="M19" s="418"/>
      <c r="N19" s="418"/>
      <c r="O19" s="418"/>
    </row>
    <row r="20" spans="2:25" x14ac:dyDescent="0.25">
      <c r="B20" s="378"/>
      <c r="C20" s="375" t="s">
        <v>38</v>
      </c>
      <c r="D20" s="380">
        <f>+N14</f>
        <v>265250.48000000004</v>
      </c>
      <c r="P20" s="418"/>
      <c r="Q20" s="418"/>
    </row>
    <row r="21" spans="2:25" x14ac:dyDescent="0.25">
      <c r="B21" s="377"/>
      <c r="C21" s="376" t="s">
        <v>39</v>
      </c>
      <c r="D21" s="383">
        <f>+O14</f>
        <v>334520.54000000004</v>
      </c>
      <c r="P21" s="418"/>
      <c r="Q21" s="209"/>
    </row>
    <row r="22" spans="2:25" ht="13.8" thickBot="1" x14ac:dyDescent="0.3">
      <c r="B22" s="7"/>
      <c r="C22" s="423" t="s">
        <v>40</v>
      </c>
      <c r="D22" s="372">
        <f>+D18++D20+D21</f>
        <v>9887966.0199999996</v>
      </c>
      <c r="G22" s="675"/>
      <c r="J22" s="423" t="s">
        <v>41</v>
      </c>
      <c r="K22" s="419">
        <v>737756.71</v>
      </c>
      <c r="L22" s="420">
        <v>670153</v>
      </c>
      <c r="M22" s="420"/>
      <c r="N22" s="421">
        <v>265250.48000000004</v>
      </c>
      <c r="O22" s="422">
        <v>334520.54000000004</v>
      </c>
      <c r="P22" s="418"/>
      <c r="Q22" s="209"/>
    </row>
    <row r="23" spans="2:25" x14ac:dyDescent="0.25">
      <c r="E23" s="418"/>
      <c r="G23" s="675"/>
      <c r="K23" s="418"/>
      <c r="L23" s="418"/>
      <c r="M23" s="418"/>
      <c r="N23" s="418"/>
      <c r="O23" s="418"/>
      <c r="P23" s="418"/>
      <c r="Q23" s="209"/>
    </row>
    <row r="24" spans="2:25" x14ac:dyDescent="0.25">
      <c r="G24" s="675"/>
      <c r="P24" s="418"/>
      <c r="Q24" s="209"/>
    </row>
    <row r="25" spans="2:25" x14ac:dyDescent="0.25">
      <c r="G25" s="675"/>
      <c r="P25" s="418"/>
      <c r="Q25" s="209"/>
    </row>
    <row r="26" spans="2:25" ht="13.8" thickBot="1" x14ac:dyDescent="0.3">
      <c r="G26" s="675"/>
      <c r="J26" s="423" t="s">
        <v>43</v>
      </c>
      <c r="K26" s="419">
        <v>737756.71</v>
      </c>
      <c r="L26" s="420">
        <v>865000</v>
      </c>
      <c r="M26" s="420"/>
      <c r="N26" s="421">
        <v>265250.48000000004</v>
      </c>
      <c r="O26" s="422">
        <v>334520.54000000004</v>
      </c>
      <c r="P26" s="418"/>
      <c r="Q26" s="209"/>
    </row>
    <row r="27" spans="2:25" x14ac:dyDescent="0.25">
      <c r="D27" s="7" t="s">
        <v>42</v>
      </c>
      <c r="G27" s="675"/>
      <c r="K27" s="418"/>
      <c r="L27" s="418"/>
      <c r="M27" s="418"/>
      <c r="N27" s="418"/>
      <c r="O27" s="418"/>
      <c r="P27" s="418"/>
      <c r="Q27" s="209"/>
    </row>
    <row r="28" spans="2:25" x14ac:dyDescent="0.25">
      <c r="D28" s="369">
        <f>D14+E14</f>
        <v>9968950.9800000004</v>
      </c>
      <c r="P28" s="418"/>
      <c r="Q28" s="209"/>
    </row>
    <row r="29" spans="2:25" x14ac:dyDescent="0.25">
      <c r="D29" s="366">
        <f>D5</f>
        <v>80984.960000000006</v>
      </c>
      <c r="P29" s="418"/>
      <c r="Q29" s="209"/>
    </row>
    <row r="30" spans="2:25" x14ac:dyDescent="0.25">
      <c r="C30" s="318"/>
      <c r="D30" s="318">
        <f>D28-D29</f>
        <v>9887966.0199999996</v>
      </c>
      <c r="P30" s="418"/>
      <c r="Q30" s="209"/>
    </row>
    <row r="31" spans="2:25" x14ac:dyDescent="0.25">
      <c r="D31" s="318">
        <f>F14+G14+H14+I14+J14+K14+L14+N14+O14+M14</f>
        <v>9840614.2190000005</v>
      </c>
      <c r="P31" s="418"/>
    </row>
    <row r="32" spans="2:25" x14ac:dyDescent="0.25">
      <c r="D32" s="318">
        <f>D30-D31</f>
        <v>47351.800999999046</v>
      </c>
      <c r="R32" s="418"/>
    </row>
    <row r="33" spans="3:17" x14ac:dyDescent="0.25">
      <c r="C33" s="418"/>
    </row>
    <row r="34" spans="3:17" x14ac:dyDescent="0.25">
      <c r="Q34" s="418"/>
    </row>
    <row r="35" spans="3:17" x14ac:dyDescent="0.25">
      <c r="Q35" s="418"/>
    </row>
    <row r="36" spans="3:17" x14ac:dyDescent="0.25">
      <c r="Q36" s="418"/>
    </row>
    <row r="37" spans="3:17" x14ac:dyDescent="0.25">
      <c r="Q37" s="208"/>
    </row>
    <row r="38" spans="3:17" x14ac:dyDescent="0.25">
      <c r="Q38" s="208"/>
    </row>
    <row r="39" spans="3:17" x14ac:dyDescent="0.25">
      <c r="Q39" s="208"/>
    </row>
  </sheetData>
  <mergeCells count="5">
    <mergeCell ref="D7:D8"/>
    <mergeCell ref="B13:Y13"/>
    <mergeCell ref="B14:C14"/>
    <mergeCell ref="D9:D10"/>
    <mergeCell ref="D11:D12"/>
  </mergeCells>
  <pageMargins left="0.7" right="0.7" top="0.75" bottom="0.75" header="0.3" footer="0.3"/>
  <pageSetup paperSize="17" scale="93" fitToHeight="0" orientation="landscape" r:id="rId1"/>
  <headerFooter>
    <oddHeader>&amp;L&amp;F</oddHead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filterMode="1">
    <pageSetUpPr fitToPage="1"/>
  </sheetPr>
  <dimension ref="A1:FA1361"/>
  <sheetViews>
    <sheetView topLeftCell="B1" zoomScaleNormal="100" workbookViewId="0">
      <pane ySplit="1" topLeftCell="A1283" activePane="bottomLeft" state="frozen"/>
      <selection activeCell="Y1" sqref="Y1"/>
      <selection pane="bottomLeft" activeCell="S1292" sqref="S2:S1292"/>
    </sheetView>
  </sheetViews>
  <sheetFormatPr defaultColWidth="9.109375" defaultRowHeight="13.2" x14ac:dyDescent="0.25"/>
  <cols>
    <col min="1" max="1" width="7.88671875" style="21" hidden="1" customWidth="1"/>
    <col min="2" max="2" width="11.6640625" style="358" bestFit="1" customWidth="1"/>
    <col min="3" max="3" width="6.44140625" style="462" customWidth="1"/>
    <col min="4" max="4" width="20.33203125" style="462" bestFit="1" customWidth="1"/>
    <col min="5" max="5" width="4.88671875" style="177" hidden="1" customWidth="1"/>
    <col min="6" max="6" width="6.44140625" style="21" hidden="1" customWidth="1"/>
    <col min="7" max="7" width="39.33203125" style="21" customWidth="1"/>
    <col min="8" max="8" width="19.88671875" style="21" customWidth="1"/>
    <col min="9" max="9" width="12.109375" style="21" hidden="1" customWidth="1"/>
    <col min="10" max="10" width="14.88671875" style="21" hidden="1" customWidth="1"/>
    <col min="11" max="11" width="17.88671875" style="149" hidden="1" customWidth="1"/>
    <col min="12" max="12" width="4.88671875" style="149" hidden="1" customWidth="1"/>
    <col min="13" max="13" width="7.109375" style="149" hidden="1" customWidth="1"/>
    <col min="14" max="14" width="10.5546875" style="21" hidden="1" customWidth="1"/>
    <col min="15" max="15" width="7.109375" style="21" hidden="1" customWidth="1"/>
    <col min="16" max="16" width="12.109375" style="211" hidden="1" customWidth="1"/>
    <col min="17" max="17" width="15.109375" style="211" customWidth="1"/>
    <col min="18" max="18" width="8.5546875" style="53" hidden="1" customWidth="1"/>
    <col min="19" max="20" width="16.109375" style="211" customWidth="1"/>
    <col min="21" max="21" width="12.5546875" style="211" customWidth="1"/>
    <col min="22" max="22" width="15.44140625" style="21" customWidth="1"/>
    <col min="23" max="23" width="19.109375" style="21" customWidth="1"/>
    <col min="24" max="24" width="19.88671875" style="21" hidden="1" customWidth="1"/>
    <col min="25" max="25" width="7.44140625" style="21" hidden="1" customWidth="1"/>
    <col min="26" max="26" width="11.44140625" style="178" customWidth="1"/>
    <col min="27" max="27" width="7.44140625" style="178" hidden="1" customWidth="1"/>
    <col min="28" max="28" width="9.5546875" style="178" customWidth="1"/>
    <col min="29" max="29" width="13.88671875" style="178" customWidth="1"/>
    <col min="30" max="30" width="14.44140625" style="178" hidden="1" customWidth="1"/>
    <col min="31" max="31" width="9.5546875" style="178" hidden="1" customWidth="1"/>
    <col min="32" max="32" width="31" style="21" hidden="1" customWidth="1"/>
    <col min="33" max="33" width="20.109375" style="463" hidden="1" customWidth="1"/>
    <col min="34" max="34" width="13.33203125" style="524" bestFit="1" customWidth="1"/>
    <col min="35" max="35" width="20.109375" hidden="1" customWidth="1"/>
    <col min="36" max="44" width="20.109375" style="461" customWidth="1"/>
    <col min="45" max="16384" width="9.109375" style="21"/>
  </cols>
  <sheetData>
    <row r="1" spans="1:46" s="319" customFormat="1" ht="72" customHeight="1" thickBot="1" x14ac:dyDescent="0.3">
      <c r="A1" s="425" t="s">
        <v>44</v>
      </c>
      <c r="B1" s="465" t="s">
        <v>45</v>
      </c>
      <c r="C1" s="466" t="s">
        <v>1</v>
      </c>
      <c r="D1" s="467" t="s">
        <v>46</v>
      </c>
      <c r="E1" s="468" t="s">
        <v>47</v>
      </c>
      <c r="F1" s="469" t="s">
        <v>48</v>
      </c>
      <c r="G1" s="469" t="s">
        <v>49</v>
      </c>
      <c r="H1" s="470" t="s">
        <v>50</v>
      </c>
      <c r="I1" s="470" t="s">
        <v>51</v>
      </c>
      <c r="J1" s="470" t="s">
        <v>52</v>
      </c>
      <c r="K1" s="88" t="s">
        <v>53</v>
      </c>
      <c r="L1" s="88" t="s">
        <v>54</v>
      </c>
      <c r="M1" s="88" t="s">
        <v>55</v>
      </c>
      <c r="N1" s="210" t="s">
        <v>56</v>
      </c>
      <c r="O1" s="210" t="s">
        <v>57</v>
      </c>
      <c r="P1" s="210" t="s">
        <v>58</v>
      </c>
      <c r="Q1" s="210" t="s">
        <v>59</v>
      </c>
      <c r="R1" s="471" t="s">
        <v>60</v>
      </c>
      <c r="S1" s="210" t="s">
        <v>61</v>
      </c>
      <c r="T1" s="210"/>
      <c r="U1" s="210" t="s">
        <v>62</v>
      </c>
      <c r="V1" s="470" t="s">
        <v>63</v>
      </c>
      <c r="W1" s="470" t="s">
        <v>64</v>
      </c>
      <c r="X1" s="470" t="s">
        <v>65</v>
      </c>
      <c r="Y1" s="470" t="s">
        <v>66</v>
      </c>
      <c r="Z1" s="284" t="s">
        <v>67</v>
      </c>
      <c r="AA1" s="284" t="s">
        <v>68</v>
      </c>
      <c r="AB1" s="284" t="s">
        <v>69</v>
      </c>
      <c r="AC1" s="284" t="s">
        <v>70</v>
      </c>
      <c r="AD1" s="284" t="s">
        <v>71</v>
      </c>
      <c r="AE1" s="284" t="s">
        <v>72</v>
      </c>
      <c r="AF1" s="284" t="s">
        <v>73</v>
      </c>
      <c r="AG1" s="212" t="s">
        <v>74</v>
      </c>
      <c r="AH1" s="512" t="s">
        <v>75</v>
      </c>
      <c r="AI1" s="146" t="s">
        <v>76</v>
      </c>
      <c r="AJ1" s="531" t="s">
        <v>77</v>
      </c>
      <c r="AK1" s="531" t="s">
        <v>78</v>
      </c>
      <c r="AL1" s="531" t="s">
        <v>79</v>
      </c>
      <c r="AM1" s="531" t="s">
        <v>80</v>
      </c>
      <c r="AN1" s="531" t="s">
        <v>81</v>
      </c>
      <c r="AO1" s="531" t="s">
        <v>82</v>
      </c>
      <c r="AP1" s="531" t="s">
        <v>83</v>
      </c>
      <c r="AQ1" s="531" t="s">
        <v>84</v>
      </c>
      <c r="AR1" s="531" t="s">
        <v>85</v>
      </c>
    </row>
    <row r="2" spans="1:46" s="319" customFormat="1" ht="57.9" customHeight="1" x14ac:dyDescent="0.25">
      <c r="A2" s="163"/>
      <c r="B2" s="351">
        <v>0</v>
      </c>
      <c r="C2" s="382">
        <v>5</v>
      </c>
      <c r="D2" s="382" t="s">
        <v>86</v>
      </c>
      <c r="E2" s="163"/>
      <c r="F2" s="163"/>
      <c r="G2" s="163" t="s">
        <v>87</v>
      </c>
      <c r="H2" s="163" t="s">
        <v>88</v>
      </c>
      <c r="I2" s="163"/>
      <c r="J2" s="163"/>
      <c r="K2" s="163"/>
      <c r="L2" s="163"/>
      <c r="M2" s="163"/>
      <c r="N2" s="163">
        <v>1</v>
      </c>
      <c r="O2" s="163"/>
      <c r="P2" s="163">
        <v>13170.050000000001</v>
      </c>
      <c r="Q2" s="61">
        <f t="shared" ref="Q2:Q28" si="0">N2*P2</f>
        <v>13170.050000000001</v>
      </c>
      <c r="R2" s="163"/>
      <c r="S2" s="62"/>
      <c r="T2" s="62" t="s">
        <v>1950</v>
      </c>
      <c r="U2" s="163"/>
      <c r="V2" s="163"/>
      <c r="W2" s="163"/>
      <c r="X2" s="163"/>
      <c r="Y2" s="163"/>
      <c r="Z2" s="163"/>
      <c r="AA2" s="163"/>
      <c r="AB2" s="163"/>
      <c r="AC2" s="163"/>
      <c r="AD2" s="163"/>
      <c r="AE2" s="163"/>
      <c r="AF2" s="163"/>
      <c r="AG2" s="163"/>
      <c r="AH2" s="513"/>
      <c r="AI2" s="443"/>
      <c r="AJ2" s="503"/>
      <c r="AK2" s="503"/>
      <c r="AL2" s="503"/>
      <c r="AM2" s="503"/>
      <c r="AN2" s="503"/>
      <c r="AO2" s="503"/>
      <c r="AP2" s="503"/>
      <c r="AQ2" s="503"/>
      <c r="AR2" s="503"/>
      <c r="AS2" s="64"/>
      <c r="AT2" s="64"/>
    </row>
    <row r="3" spans="1:46" s="319" customFormat="1" x14ac:dyDescent="0.25">
      <c r="A3" s="163"/>
      <c r="B3" s="351">
        <v>0</v>
      </c>
      <c r="C3" s="382">
        <v>4</v>
      </c>
      <c r="D3" s="382" t="s">
        <v>86</v>
      </c>
      <c r="E3" s="163"/>
      <c r="F3" s="163"/>
      <c r="G3" s="163" t="s">
        <v>89</v>
      </c>
      <c r="H3" s="163"/>
      <c r="I3" s="163"/>
      <c r="J3" s="163"/>
      <c r="K3" s="163"/>
      <c r="L3" s="163"/>
      <c r="M3" s="163"/>
      <c r="N3" s="50">
        <v>1</v>
      </c>
      <c r="O3" s="163"/>
      <c r="P3" s="81">
        <v>29380.27999999997</v>
      </c>
      <c r="Q3" s="61">
        <f t="shared" si="0"/>
        <v>29380.27999999997</v>
      </c>
      <c r="R3" s="163"/>
      <c r="S3" s="62">
        <v>0</v>
      </c>
      <c r="T3" s="62" t="s">
        <v>1950</v>
      </c>
      <c r="U3" s="163"/>
      <c r="V3" s="163"/>
      <c r="W3" s="163"/>
      <c r="X3" s="163"/>
      <c r="Y3" s="163"/>
      <c r="Z3" s="163"/>
      <c r="AA3" s="163"/>
      <c r="AB3" s="163"/>
      <c r="AC3" s="163"/>
      <c r="AD3" s="163"/>
      <c r="AE3" s="163"/>
      <c r="AF3" s="163"/>
      <c r="AG3" s="163"/>
      <c r="AH3" s="513"/>
      <c r="AI3" s="443"/>
      <c r="AJ3" s="503"/>
      <c r="AK3" s="503"/>
      <c r="AL3" s="503"/>
      <c r="AM3" s="503"/>
      <c r="AN3" s="503"/>
      <c r="AO3" s="503"/>
      <c r="AP3" s="503"/>
      <c r="AQ3" s="503"/>
      <c r="AR3" s="503"/>
      <c r="AS3" s="64"/>
      <c r="AT3" s="64"/>
    </row>
    <row r="4" spans="1:46" s="64" customFormat="1" ht="57.9" customHeight="1" x14ac:dyDescent="0.25">
      <c r="A4" s="57"/>
      <c r="B4" s="351">
        <v>0</v>
      </c>
      <c r="C4" s="225">
        <v>3</v>
      </c>
      <c r="D4" s="382" t="s">
        <v>86</v>
      </c>
      <c r="E4" s="66" t="s">
        <v>90</v>
      </c>
      <c r="F4" s="58" t="s">
        <v>91</v>
      </c>
      <c r="G4" s="163" t="s">
        <v>92</v>
      </c>
      <c r="H4" s="227" t="s">
        <v>93</v>
      </c>
      <c r="I4" s="227"/>
      <c r="J4" s="59"/>
      <c r="K4" s="227" t="s">
        <v>94</v>
      </c>
      <c r="L4" s="59"/>
      <c r="M4" s="60"/>
      <c r="N4" s="229">
        <v>1</v>
      </c>
      <c r="O4" s="164"/>
      <c r="P4" s="444">
        <v>478000</v>
      </c>
      <c r="Q4" s="61">
        <f t="shared" si="0"/>
        <v>478000</v>
      </c>
      <c r="R4" s="62"/>
      <c r="S4" s="62">
        <v>473000</v>
      </c>
      <c r="T4" s="62" t="s">
        <v>1950</v>
      </c>
      <c r="U4" s="62">
        <f t="shared" ref="U4:U11" si="1">Q4-S4</f>
        <v>5000</v>
      </c>
      <c r="V4" s="57" t="s">
        <v>95</v>
      </c>
      <c r="W4" s="57">
        <v>442091</v>
      </c>
      <c r="X4" s="57"/>
      <c r="Y4" s="57"/>
      <c r="Z4" s="63">
        <v>43011</v>
      </c>
      <c r="AA4" s="63"/>
      <c r="AB4" s="63">
        <v>43231</v>
      </c>
      <c r="AC4" s="63">
        <v>43503</v>
      </c>
      <c r="AD4" s="63" t="s">
        <v>96</v>
      </c>
      <c r="AE4" s="63"/>
      <c r="AF4" s="56" t="s">
        <v>97</v>
      </c>
      <c r="AG4" s="63" t="s">
        <v>98</v>
      </c>
      <c r="AH4" s="514">
        <v>473000</v>
      </c>
      <c r="AI4" s="507"/>
      <c r="AJ4" s="532"/>
      <c r="AK4" s="532"/>
      <c r="AL4" s="532"/>
      <c r="AM4" s="532"/>
      <c r="AN4" s="532"/>
      <c r="AO4" s="532"/>
      <c r="AP4" s="532"/>
      <c r="AQ4" s="532"/>
      <c r="AR4" s="532"/>
    </row>
    <row r="5" spans="1:46" ht="12.75" customHeight="1" x14ac:dyDescent="0.25">
      <c r="A5" s="476"/>
      <c r="B5" s="477">
        <v>0</v>
      </c>
      <c r="C5" s="478">
        <v>4</v>
      </c>
      <c r="D5" s="479" t="s">
        <v>86</v>
      </c>
      <c r="E5" s="575">
        <v>4.01</v>
      </c>
      <c r="F5" s="577"/>
      <c r="G5" s="480" t="s">
        <v>99</v>
      </c>
      <c r="H5" s="480" t="s">
        <v>88</v>
      </c>
      <c r="I5" s="480"/>
      <c r="J5" s="493"/>
      <c r="K5" s="480"/>
      <c r="L5" s="493" t="s">
        <v>88</v>
      </c>
      <c r="M5" s="486"/>
      <c r="N5" s="487">
        <v>2</v>
      </c>
      <c r="O5" s="494"/>
      <c r="P5" s="488">
        <v>9441</v>
      </c>
      <c r="Q5" s="483">
        <f t="shared" si="0"/>
        <v>18882</v>
      </c>
      <c r="R5" s="28"/>
      <c r="S5" s="483">
        <v>20454.62</v>
      </c>
      <c r="T5" s="62" t="s">
        <v>1950</v>
      </c>
      <c r="U5" s="496">
        <f t="shared" si="1"/>
        <v>-1572.619999999999</v>
      </c>
      <c r="V5" s="476" t="s">
        <v>100</v>
      </c>
      <c r="W5" s="476">
        <v>436378</v>
      </c>
      <c r="X5" s="22"/>
      <c r="Y5" s="22"/>
      <c r="Z5" s="481">
        <v>42787</v>
      </c>
      <c r="AA5" s="29"/>
      <c r="AB5" s="481">
        <v>42809</v>
      </c>
      <c r="AC5" s="481">
        <v>42838</v>
      </c>
      <c r="AD5" s="29"/>
      <c r="AE5" s="29"/>
      <c r="AF5" s="22"/>
      <c r="AG5" s="481" t="s">
        <v>101</v>
      </c>
      <c r="AH5" s="515">
        <f>S5</f>
        <v>20454.62</v>
      </c>
      <c r="AI5" s="482"/>
      <c r="AJ5" s="533"/>
      <c r="AK5" s="533"/>
      <c r="AL5" s="533"/>
      <c r="AM5" s="533"/>
      <c r="AN5" s="533"/>
      <c r="AO5" s="533"/>
      <c r="AP5" s="533"/>
      <c r="AQ5" s="533"/>
      <c r="AR5" s="533"/>
    </row>
    <row r="6" spans="1:46" ht="12.75" customHeight="1" x14ac:dyDescent="0.25">
      <c r="A6" s="476"/>
      <c r="B6" s="477">
        <v>0</v>
      </c>
      <c r="C6" s="478">
        <v>4</v>
      </c>
      <c r="D6" s="479" t="s">
        <v>86</v>
      </c>
      <c r="E6" s="575"/>
      <c r="F6" s="577"/>
      <c r="G6" s="480" t="s">
        <v>102</v>
      </c>
      <c r="H6" s="480" t="s">
        <v>88</v>
      </c>
      <c r="I6" s="480"/>
      <c r="J6" s="493"/>
      <c r="K6" s="480"/>
      <c r="L6" s="493"/>
      <c r="M6" s="486"/>
      <c r="N6" s="487">
        <v>1</v>
      </c>
      <c r="O6" s="494"/>
      <c r="P6" s="488">
        <v>21516</v>
      </c>
      <c r="Q6" s="483">
        <f t="shared" si="0"/>
        <v>21516</v>
      </c>
      <c r="R6" s="28"/>
      <c r="S6" s="483">
        <v>23335.06</v>
      </c>
      <c r="T6" s="62" t="s">
        <v>1950</v>
      </c>
      <c r="U6" s="496">
        <f t="shared" si="1"/>
        <v>-1819.0600000000013</v>
      </c>
      <c r="V6" s="476" t="s">
        <v>100</v>
      </c>
      <c r="W6" s="476">
        <v>436378</v>
      </c>
      <c r="X6" s="22"/>
      <c r="Y6" s="22"/>
      <c r="Z6" s="481">
        <v>42787</v>
      </c>
      <c r="AA6" s="29"/>
      <c r="AB6" s="481">
        <v>42809</v>
      </c>
      <c r="AC6" s="481">
        <v>42838</v>
      </c>
      <c r="AD6" s="29"/>
      <c r="AE6" s="29"/>
      <c r="AF6" s="22"/>
      <c r="AG6" s="481" t="s">
        <v>101</v>
      </c>
      <c r="AH6" s="515">
        <f t="shared" ref="AH6:AH12" si="2">S6</f>
        <v>23335.06</v>
      </c>
      <c r="AI6" s="482"/>
      <c r="AJ6" s="533"/>
      <c r="AK6" s="533"/>
      <c r="AL6" s="533"/>
      <c r="AM6" s="533"/>
      <c r="AN6" s="533"/>
      <c r="AO6" s="533"/>
      <c r="AP6" s="533"/>
      <c r="AQ6" s="533"/>
      <c r="AR6" s="533"/>
    </row>
    <row r="7" spans="1:46" ht="12.75" customHeight="1" x14ac:dyDescent="0.25">
      <c r="A7" s="476"/>
      <c r="B7" s="477">
        <v>0</v>
      </c>
      <c r="C7" s="478">
        <v>4</v>
      </c>
      <c r="D7" s="479" t="s">
        <v>86</v>
      </c>
      <c r="E7" s="575"/>
      <c r="F7" s="577"/>
      <c r="G7" s="480" t="s">
        <v>103</v>
      </c>
      <c r="H7" s="526" t="s">
        <v>88</v>
      </c>
      <c r="I7" s="526"/>
      <c r="J7" s="493"/>
      <c r="K7" s="480"/>
      <c r="L7" s="493"/>
      <c r="M7" s="486"/>
      <c r="N7" s="487">
        <v>1</v>
      </c>
      <c r="O7" s="494"/>
      <c r="P7" s="488">
        <v>329</v>
      </c>
      <c r="Q7" s="483">
        <f t="shared" si="0"/>
        <v>329</v>
      </c>
      <c r="R7" s="28"/>
      <c r="S7" s="483">
        <v>335.82</v>
      </c>
      <c r="T7" s="62" t="s">
        <v>1950</v>
      </c>
      <c r="U7" s="496">
        <f t="shared" si="1"/>
        <v>-6.8199999999999932</v>
      </c>
      <c r="V7" s="476" t="s">
        <v>100</v>
      </c>
      <c r="W7" s="476">
        <v>436378</v>
      </c>
      <c r="X7" s="22"/>
      <c r="Y7" s="22"/>
      <c r="Z7" s="481">
        <v>42787</v>
      </c>
      <c r="AA7" s="29"/>
      <c r="AB7" s="481">
        <v>42809</v>
      </c>
      <c r="AC7" s="481">
        <v>42838</v>
      </c>
      <c r="AD7" s="29"/>
      <c r="AE7" s="29"/>
      <c r="AF7" s="22"/>
      <c r="AG7" s="481" t="s">
        <v>101</v>
      </c>
      <c r="AH7" s="515">
        <f t="shared" si="2"/>
        <v>335.82</v>
      </c>
      <c r="AI7" s="482"/>
      <c r="AJ7" s="533"/>
      <c r="AK7" s="533"/>
      <c r="AL7" s="533"/>
      <c r="AM7" s="533"/>
      <c r="AN7" s="533"/>
      <c r="AO7" s="533"/>
      <c r="AP7" s="533"/>
      <c r="AQ7" s="533"/>
      <c r="AR7" s="533"/>
    </row>
    <row r="8" spans="1:46" ht="12.75" customHeight="1" x14ac:dyDescent="0.25">
      <c r="A8" s="476"/>
      <c r="B8" s="477">
        <v>0</v>
      </c>
      <c r="C8" s="478">
        <v>4</v>
      </c>
      <c r="D8" s="479" t="s">
        <v>86</v>
      </c>
      <c r="E8" s="575"/>
      <c r="F8" s="577"/>
      <c r="G8" s="480" t="s">
        <v>104</v>
      </c>
      <c r="H8" s="480" t="s">
        <v>88</v>
      </c>
      <c r="I8" s="480"/>
      <c r="J8" s="493"/>
      <c r="K8" s="480"/>
      <c r="L8" s="493"/>
      <c r="M8" s="486"/>
      <c r="N8" s="487">
        <v>1</v>
      </c>
      <c r="O8" s="494"/>
      <c r="P8" s="488">
        <v>779.99</v>
      </c>
      <c r="Q8" s="483">
        <f t="shared" si="0"/>
        <v>779.99</v>
      </c>
      <c r="R8" s="28"/>
      <c r="S8" s="483">
        <v>699.99</v>
      </c>
      <c r="T8" s="62" t="s">
        <v>1950</v>
      </c>
      <c r="U8" s="496">
        <f t="shared" si="1"/>
        <v>80</v>
      </c>
      <c r="V8" s="476" t="s">
        <v>100</v>
      </c>
      <c r="W8" s="476">
        <v>436378</v>
      </c>
      <c r="X8" s="22"/>
      <c r="Y8" s="22"/>
      <c r="Z8" s="481">
        <v>42787</v>
      </c>
      <c r="AA8" s="29"/>
      <c r="AB8" s="481">
        <v>42809</v>
      </c>
      <c r="AC8" s="481">
        <v>42838</v>
      </c>
      <c r="AD8" s="29"/>
      <c r="AE8" s="29"/>
      <c r="AF8" s="22"/>
      <c r="AG8" s="481" t="s">
        <v>101</v>
      </c>
      <c r="AH8" s="515">
        <f t="shared" si="2"/>
        <v>699.99</v>
      </c>
      <c r="AI8" s="482"/>
      <c r="AJ8" s="533"/>
      <c r="AK8" s="533"/>
      <c r="AL8" s="533"/>
      <c r="AM8" s="533"/>
      <c r="AN8" s="533"/>
      <c r="AO8" s="533"/>
      <c r="AP8" s="533"/>
      <c r="AQ8" s="533"/>
      <c r="AR8" s="533"/>
    </row>
    <row r="9" spans="1:46" ht="12.75" customHeight="1" x14ac:dyDescent="0.25">
      <c r="A9" s="476"/>
      <c r="B9" s="477">
        <v>0</v>
      </c>
      <c r="C9" s="478">
        <v>4</v>
      </c>
      <c r="D9" s="479" t="s">
        <v>86</v>
      </c>
      <c r="E9" s="575"/>
      <c r="F9" s="577"/>
      <c r="G9" s="480" t="s">
        <v>105</v>
      </c>
      <c r="H9" s="480" t="s">
        <v>88</v>
      </c>
      <c r="I9" s="480"/>
      <c r="J9" s="493"/>
      <c r="K9" s="480"/>
      <c r="L9" s="493"/>
      <c r="M9" s="486"/>
      <c r="N9" s="487">
        <v>1</v>
      </c>
      <c r="O9" s="494"/>
      <c r="P9" s="488">
        <v>4172.5600000000004</v>
      </c>
      <c r="Q9" s="483">
        <f t="shared" si="0"/>
        <v>4172.5600000000004</v>
      </c>
      <c r="R9" s="28"/>
      <c r="S9" s="483">
        <v>1881.75</v>
      </c>
      <c r="T9" s="62" t="s">
        <v>1950</v>
      </c>
      <c r="U9" s="496">
        <f t="shared" si="1"/>
        <v>2290.8100000000004</v>
      </c>
      <c r="V9" s="476" t="s">
        <v>100</v>
      </c>
      <c r="W9" s="476">
        <v>436378</v>
      </c>
      <c r="X9" s="22"/>
      <c r="Y9" s="22"/>
      <c r="Z9" s="481">
        <v>42787</v>
      </c>
      <c r="AA9" s="29"/>
      <c r="AB9" s="481">
        <v>42809</v>
      </c>
      <c r="AC9" s="481">
        <v>42838</v>
      </c>
      <c r="AD9" s="29"/>
      <c r="AE9" s="29"/>
      <c r="AF9" s="22"/>
      <c r="AG9" s="481" t="s">
        <v>101</v>
      </c>
      <c r="AH9" s="515">
        <f t="shared" si="2"/>
        <v>1881.75</v>
      </c>
      <c r="AI9" s="482"/>
      <c r="AJ9" s="533"/>
      <c r="AK9" s="533"/>
      <c r="AL9" s="533"/>
      <c r="AM9" s="533"/>
      <c r="AN9" s="533"/>
      <c r="AO9" s="533"/>
      <c r="AP9" s="533"/>
      <c r="AQ9" s="533"/>
      <c r="AR9" s="533"/>
    </row>
    <row r="10" spans="1:46" ht="12.75" customHeight="1" x14ac:dyDescent="0.25">
      <c r="A10" s="476"/>
      <c r="B10" s="477">
        <v>0</v>
      </c>
      <c r="C10" s="478">
        <v>4</v>
      </c>
      <c r="D10" s="479" t="s">
        <v>86</v>
      </c>
      <c r="E10" s="575"/>
      <c r="F10" s="577"/>
      <c r="G10" s="480" t="s">
        <v>106</v>
      </c>
      <c r="H10" s="480" t="s">
        <v>88</v>
      </c>
      <c r="I10" s="480"/>
      <c r="J10" s="493"/>
      <c r="K10" s="480"/>
      <c r="L10" s="493"/>
      <c r="M10" s="486"/>
      <c r="N10" s="487">
        <v>2</v>
      </c>
      <c r="O10" s="494"/>
      <c r="P10" s="488">
        <v>3808.94</v>
      </c>
      <c r="Q10" s="483">
        <f t="shared" si="0"/>
        <v>7617.88</v>
      </c>
      <c r="R10" s="28"/>
      <c r="S10" s="483">
        <v>6460.14</v>
      </c>
      <c r="T10" s="62" t="s">
        <v>1950</v>
      </c>
      <c r="U10" s="496">
        <f t="shared" si="1"/>
        <v>1157.7399999999998</v>
      </c>
      <c r="V10" s="476" t="s">
        <v>100</v>
      </c>
      <c r="W10" s="476">
        <v>436378</v>
      </c>
      <c r="X10" s="22"/>
      <c r="Y10" s="22"/>
      <c r="Z10" s="481">
        <v>42787</v>
      </c>
      <c r="AA10" s="29"/>
      <c r="AB10" s="481">
        <v>42809</v>
      </c>
      <c r="AC10" s="481">
        <v>42838</v>
      </c>
      <c r="AD10" s="29"/>
      <c r="AE10" s="29"/>
      <c r="AF10" s="22"/>
      <c r="AG10" s="481" t="s">
        <v>101</v>
      </c>
      <c r="AH10" s="515">
        <f t="shared" si="2"/>
        <v>6460.14</v>
      </c>
      <c r="AI10" s="482"/>
      <c r="AJ10" s="533"/>
      <c r="AK10" s="533"/>
      <c r="AL10" s="533"/>
      <c r="AM10" s="533"/>
      <c r="AN10" s="533"/>
      <c r="AO10" s="533"/>
      <c r="AP10" s="533"/>
      <c r="AQ10" s="533"/>
      <c r="AR10" s="533"/>
    </row>
    <row r="11" spans="1:46" ht="12.75" customHeight="1" x14ac:dyDescent="0.25">
      <c r="A11" s="476"/>
      <c r="B11" s="477">
        <v>0</v>
      </c>
      <c r="C11" s="478">
        <v>4</v>
      </c>
      <c r="D11" s="479" t="s">
        <v>86</v>
      </c>
      <c r="E11" s="575">
        <v>4.0199999999999996</v>
      </c>
      <c r="F11" s="577"/>
      <c r="G11" s="480" t="s">
        <v>107</v>
      </c>
      <c r="H11" s="480" t="s">
        <v>88</v>
      </c>
      <c r="I11" s="480"/>
      <c r="J11" s="493"/>
      <c r="K11" s="480"/>
      <c r="L11" s="493" t="s">
        <v>88</v>
      </c>
      <c r="M11" s="486"/>
      <c r="N11" s="487">
        <v>2</v>
      </c>
      <c r="O11" s="494"/>
      <c r="P11" s="488">
        <v>1427.14</v>
      </c>
      <c r="Q11" s="483">
        <f t="shared" si="0"/>
        <v>2854.28</v>
      </c>
      <c r="R11" s="28"/>
      <c r="S11" s="483">
        <v>1784.32</v>
      </c>
      <c r="T11" s="62" t="s">
        <v>1950</v>
      </c>
      <c r="U11" s="496">
        <f t="shared" si="1"/>
        <v>1069.9600000000003</v>
      </c>
      <c r="V11" s="476" t="s">
        <v>100</v>
      </c>
      <c r="W11" s="476">
        <v>436378</v>
      </c>
      <c r="X11" s="22"/>
      <c r="Y11" s="22"/>
      <c r="Z11" s="481">
        <v>42787</v>
      </c>
      <c r="AA11" s="29"/>
      <c r="AB11" s="481">
        <v>42809</v>
      </c>
      <c r="AC11" s="481">
        <v>42838</v>
      </c>
      <c r="AD11" s="29"/>
      <c r="AE11" s="29"/>
      <c r="AF11" s="22"/>
      <c r="AG11" s="481" t="s">
        <v>101</v>
      </c>
      <c r="AH11" s="515">
        <f t="shared" si="2"/>
        <v>1784.32</v>
      </c>
      <c r="AI11" s="482"/>
      <c r="AJ11" s="533"/>
      <c r="AK11" s="533"/>
      <c r="AL11" s="533"/>
      <c r="AM11" s="533"/>
      <c r="AN11" s="533"/>
      <c r="AO11" s="533"/>
      <c r="AP11" s="533"/>
      <c r="AQ11" s="533"/>
      <c r="AR11" s="533"/>
    </row>
    <row r="12" spans="1:46" ht="12.75" customHeight="1" x14ac:dyDescent="0.25">
      <c r="A12" s="476"/>
      <c r="B12" s="477">
        <v>0</v>
      </c>
      <c r="C12" s="478">
        <v>4</v>
      </c>
      <c r="D12" s="479" t="s">
        <v>86</v>
      </c>
      <c r="E12" s="575">
        <v>4.03</v>
      </c>
      <c r="F12" s="577"/>
      <c r="G12" s="480" t="s">
        <v>108</v>
      </c>
      <c r="H12" s="480" t="s">
        <v>88</v>
      </c>
      <c r="I12" s="480"/>
      <c r="J12" s="493"/>
      <c r="K12" s="480"/>
      <c r="L12" s="493" t="s">
        <v>88</v>
      </c>
      <c r="M12" s="486"/>
      <c r="N12" s="487">
        <v>1</v>
      </c>
      <c r="O12" s="476"/>
      <c r="P12" s="488">
        <v>10824</v>
      </c>
      <c r="Q12" s="483">
        <f t="shared" si="0"/>
        <v>10824</v>
      </c>
      <c r="R12" s="28"/>
      <c r="S12" s="483">
        <v>6061.46</v>
      </c>
      <c r="T12" s="62" t="s">
        <v>1950</v>
      </c>
      <c r="U12" s="496">
        <f>Q7-S12</f>
        <v>-5732.46</v>
      </c>
      <c r="V12" s="476" t="s">
        <v>100</v>
      </c>
      <c r="W12" s="476">
        <v>436378</v>
      </c>
      <c r="X12" s="22"/>
      <c r="Y12" s="22"/>
      <c r="Z12" s="481">
        <v>42787</v>
      </c>
      <c r="AA12" s="29"/>
      <c r="AB12" s="481">
        <v>42809</v>
      </c>
      <c r="AC12" s="481">
        <v>42838</v>
      </c>
      <c r="AD12" s="29"/>
      <c r="AE12" s="29"/>
      <c r="AF12" s="22"/>
      <c r="AG12" s="481" t="s">
        <v>101</v>
      </c>
      <c r="AH12" s="515">
        <f t="shared" si="2"/>
        <v>6061.46</v>
      </c>
      <c r="AI12" s="482"/>
      <c r="AJ12" s="533"/>
      <c r="AK12" s="533"/>
      <c r="AL12" s="533"/>
      <c r="AM12" s="533"/>
      <c r="AN12" s="533"/>
      <c r="AO12" s="533"/>
      <c r="AP12" s="533"/>
      <c r="AQ12" s="533"/>
      <c r="AR12" s="533"/>
    </row>
    <row r="13" spans="1:46" ht="25.5" customHeight="1" x14ac:dyDescent="0.25">
      <c r="A13" s="22"/>
      <c r="B13" s="351">
        <v>0</v>
      </c>
      <c r="C13" s="80">
        <v>4</v>
      </c>
      <c r="D13" s="382" t="s">
        <v>86</v>
      </c>
      <c r="E13" s="65"/>
      <c r="F13" s="23"/>
      <c r="G13" s="42" t="s">
        <v>109</v>
      </c>
      <c r="H13" s="42" t="s">
        <v>88</v>
      </c>
      <c r="I13" s="42"/>
      <c r="J13" s="24"/>
      <c r="K13" s="42" t="s">
        <v>110</v>
      </c>
      <c r="L13" s="24" t="s">
        <v>88</v>
      </c>
      <c r="M13" s="25"/>
      <c r="N13" s="50">
        <v>6</v>
      </c>
      <c r="O13" s="148"/>
      <c r="P13" s="81">
        <v>1249</v>
      </c>
      <c r="Q13" s="28">
        <f t="shared" si="0"/>
        <v>7494</v>
      </c>
      <c r="R13" s="28"/>
      <c r="S13" s="28">
        <f>N13*P13</f>
        <v>7494</v>
      </c>
      <c r="T13" s="62" t="s">
        <v>1950</v>
      </c>
      <c r="U13" s="62">
        <f t="shared" ref="U13:U44" si="3">Q13-S13</f>
        <v>0</v>
      </c>
      <c r="V13" s="22" t="s">
        <v>111</v>
      </c>
      <c r="W13" s="22">
        <v>444308</v>
      </c>
      <c r="X13" s="22"/>
      <c r="Y13" s="22"/>
      <c r="Z13" s="29">
        <v>43054</v>
      </c>
      <c r="AA13" s="29"/>
      <c r="AB13" s="29">
        <v>43077</v>
      </c>
      <c r="AC13" s="29">
        <v>43202</v>
      </c>
      <c r="AD13" s="29"/>
      <c r="AE13" s="29"/>
      <c r="AF13" s="22" t="s">
        <v>112</v>
      </c>
      <c r="AG13" s="29" t="s">
        <v>98</v>
      </c>
      <c r="AH13" s="516">
        <v>95965.47</v>
      </c>
      <c r="AI13" s="144"/>
      <c r="AJ13" s="143"/>
      <c r="AK13" s="143"/>
      <c r="AL13" s="143"/>
      <c r="AM13" s="143"/>
      <c r="AN13" s="143"/>
      <c r="AO13" s="143"/>
      <c r="AP13" s="143"/>
      <c r="AQ13" s="143"/>
      <c r="AR13" s="143"/>
    </row>
    <row r="14" spans="1:46" ht="25.5" customHeight="1" x14ac:dyDescent="0.25">
      <c r="A14" s="22"/>
      <c r="B14" s="351">
        <v>0</v>
      </c>
      <c r="C14" s="80">
        <v>4</v>
      </c>
      <c r="D14" s="382" t="s">
        <v>86</v>
      </c>
      <c r="E14" s="65"/>
      <c r="F14" s="23"/>
      <c r="G14" s="42" t="s">
        <v>113</v>
      </c>
      <c r="H14" s="42" t="s">
        <v>88</v>
      </c>
      <c r="I14" s="42"/>
      <c r="J14" s="24"/>
      <c r="K14" s="42" t="s">
        <v>114</v>
      </c>
      <c r="L14" s="25" t="s">
        <v>88</v>
      </c>
      <c r="M14" s="25"/>
      <c r="N14" s="50">
        <v>6</v>
      </c>
      <c r="O14" s="148"/>
      <c r="P14" s="81">
        <v>749.99</v>
      </c>
      <c r="Q14" s="28">
        <f t="shared" si="0"/>
        <v>4499.9400000000005</v>
      </c>
      <c r="R14" s="28"/>
      <c r="S14" s="28">
        <v>4499.9399999999996</v>
      </c>
      <c r="T14" s="62" t="s">
        <v>1950</v>
      </c>
      <c r="U14" s="62">
        <f t="shared" si="3"/>
        <v>0</v>
      </c>
      <c r="V14" s="22" t="s">
        <v>111</v>
      </c>
      <c r="W14" s="22">
        <v>444308</v>
      </c>
      <c r="X14" s="22"/>
      <c r="Y14" s="22"/>
      <c r="Z14" s="29">
        <v>43054</v>
      </c>
      <c r="AA14" s="29"/>
      <c r="AB14" s="29">
        <v>43077</v>
      </c>
      <c r="AC14" s="29">
        <v>43202</v>
      </c>
      <c r="AD14" s="29"/>
      <c r="AE14" s="29"/>
      <c r="AF14" s="22" t="s">
        <v>112</v>
      </c>
      <c r="AG14" s="29" t="s">
        <v>98</v>
      </c>
      <c r="AH14" s="516">
        <v>0</v>
      </c>
      <c r="AI14" s="144"/>
      <c r="AJ14" s="143"/>
      <c r="AK14" s="143"/>
      <c r="AL14" s="143"/>
      <c r="AM14" s="143"/>
      <c r="AN14" s="143"/>
      <c r="AO14" s="143"/>
      <c r="AP14" s="143"/>
      <c r="AQ14" s="143"/>
      <c r="AR14" s="143"/>
    </row>
    <row r="15" spans="1:46" ht="38.25" customHeight="1" x14ac:dyDescent="0.25">
      <c r="A15" s="22"/>
      <c r="B15" s="351">
        <v>0</v>
      </c>
      <c r="C15" s="80">
        <v>4</v>
      </c>
      <c r="D15" s="382" t="s">
        <v>86</v>
      </c>
      <c r="E15" s="65"/>
      <c r="F15" s="23"/>
      <c r="G15" s="445" t="s">
        <v>115</v>
      </c>
      <c r="H15" s="42" t="s">
        <v>116</v>
      </c>
      <c r="I15" s="42"/>
      <c r="J15" s="24"/>
      <c r="K15" s="42" t="s">
        <v>117</v>
      </c>
      <c r="L15" s="25" t="s">
        <v>118</v>
      </c>
      <c r="M15" s="25"/>
      <c r="N15" s="50">
        <v>2</v>
      </c>
      <c r="O15" s="148"/>
      <c r="P15" s="81">
        <v>4950</v>
      </c>
      <c r="Q15" s="28">
        <f t="shared" si="0"/>
        <v>9900</v>
      </c>
      <c r="R15" s="28"/>
      <c r="S15" s="28">
        <v>14790</v>
      </c>
      <c r="T15" s="62" t="s">
        <v>1950</v>
      </c>
      <c r="U15" s="62">
        <f t="shared" si="3"/>
        <v>-4890</v>
      </c>
      <c r="V15" s="22" t="s">
        <v>119</v>
      </c>
      <c r="W15" s="22" t="s">
        <v>120</v>
      </c>
      <c r="X15" s="22"/>
      <c r="Y15" s="22"/>
      <c r="Z15" s="29">
        <v>43110</v>
      </c>
      <c r="AA15" s="29"/>
      <c r="AB15" s="29">
        <v>43142</v>
      </c>
      <c r="AC15" s="29">
        <v>43203</v>
      </c>
      <c r="AD15" s="29"/>
      <c r="AE15" s="29"/>
      <c r="AF15" s="22"/>
      <c r="AG15" s="29" t="s">
        <v>98</v>
      </c>
      <c r="AH15" s="516">
        <v>14790</v>
      </c>
      <c r="AI15" s="144"/>
      <c r="AJ15" s="143"/>
      <c r="AK15" s="143"/>
      <c r="AL15" s="143"/>
      <c r="AM15" s="143"/>
      <c r="AN15" s="143"/>
      <c r="AO15" s="143"/>
      <c r="AP15" s="143"/>
      <c r="AQ15" s="143"/>
      <c r="AR15" s="143"/>
    </row>
    <row r="16" spans="1:46" ht="38.25" customHeight="1" x14ac:dyDescent="0.25">
      <c r="A16" s="22"/>
      <c r="B16" s="351">
        <v>0</v>
      </c>
      <c r="C16" s="80">
        <v>4</v>
      </c>
      <c r="D16" s="382" t="s">
        <v>86</v>
      </c>
      <c r="E16" s="65"/>
      <c r="F16" s="23"/>
      <c r="G16" s="42" t="s">
        <v>121</v>
      </c>
      <c r="H16" s="42" t="s">
        <v>122</v>
      </c>
      <c r="I16" s="42"/>
      <c r="J16" s="24"/>
      <c r="K16" s="42" t="s">
        <v>123</v>
      </c>
      <c r="L16" s="25" t="s">
        <v>124</v>
      </c>
      <c r="M16" s="25"/>
      <c r="N16" s="50">
        <v>2</v>
      </c>
      <c r="O16" s="148"/>
      <c r="P16" s="81">
        <v>1719</v>
      </c>
      <c r="Q16" s="28">
        <f t="shared" si="0"/>
        <v>3438</v>
      </c>
      <c r="R16" s="28"/>
      <c r="S16" s="28">
        <v>7350</v>
      </c>
      <c r="T16" s="62" t="s">
        <v>1950</v>
      </c>
      <c r="U16" s="62">
        <f t="shared" si="3"/>
        <v>-3912</v>
      </c>
      <c r="V16" s="22" t="s">
        <v>125</v>
      </c>
      <c r="W16" s="22">
        <v>444543</v>
      </c>
      <c r="X16" s="22"/>
      <c r="Y16" s="22"/>
      <c r="Z16" s="29">
        <v>43067</v>
      </c>
      <c r="AA16" s="29"/>
      <c r="AB16" s="29">
        <v>43091</v>
      </c>
      <c r="AC16" s="29">
        <v>43227</v>
      </c>
      <c r="AD16" s="29"/>
      <c r="AE16" s="29"/>
      <c r="AF16" s="22"/>
      <c r="AG16" s="29" t="s">
        <v>98</v>
      </c>
      <c r="AH16" s="516">
        <v>7350</v>
      </c>
      <c r="AI16" s="144"/>
      <c r="AJ16" s="143"/>
      <c r="AK16" s="143"/>
      <c r="AL16" s="143"/>
      <c r="AM16" s="143"/>
      <c r="AN16" s="143"/>
      <c r="AO16" s="143"/>
      <c r="AP16" s="143"/>
      <c r="AQ16" s="143"/>
      <c r="AR16" s="143"/>
    </row>
    <row r="17" spans="1:44" ht="25.5" customHeight="1" x14ac:dyDescent="0.25">
      <c r="A17" s="476"/>
      <c r="B17" s="477">
        <v>0</v>
      </c>
      <c r="C17" s="478">
        <v>4</v>
      </c>
      <c r="D17" s="479" t="s">
        <v>86</v>
      </c>
      <c r="E17" s="575">
        <v>4.49</v>
      </c>
      <c r="F17" s="577"/>
      <c r="G17" s="480" t="s">
        <v>126</v>
      </c>
      <c r="H17" s="480" t="s">
        <v>127</v>
      </c>
      <c r="I17" s="480"/>
      <c r="J17" s="493"/>
      <c r="K17" s="480" t="s">
        <v>128</v>
      </c>
      <c r="L17" s="486" t="s">
        <v>129</v>
      </c>
      <c r="M17" s="486"/>
      <c r="N17" s="487">
        <v>1</v>
      </c>
      <c r="O17" s="494"/>
      <c r="P17" s="488">
        <v>432.66</v>
      </c>
      <c r="Q17" s="483">
        <f t="shared" si="0"/>
        <v>432.66</v>
      </c>
      <c r="R17" s="27"/>
      <c r="S17" s="483">
        <v>399.09</v>
      </c>
      <c r="T17" s="62" t="s">
        <v>1950</v>
      </c>
      <c r="U17" s="496">
        <f t="shared" si="3"/>
        <v>33.57000000000005</v>
      </c>
      <c r="V17" s="476" t="s">
        <v>130</v>
      </c>
      <c r="W17" s="476" t="s">
        <v>131</v>
      </c>
      <c r="X17" s="22"/>
      <c r="Y17" s="22"/>
      <c r="Z17" s="481">
        <v>43019</v>
      </c>
      <c r="AA17" s="29"/>
      <c r="AB17" s="481">
        <v>43026</v>
      </c>
      <c r="AC17" s="481">
        <v>43039</v>
      </c>
      <c r="AD17" s="29"/>
      <c r="AE17" s="29"/>
      <c r="AF17" s="22"/>
      <c r="AG17" s="481" t="s">
        <v>101</v>
      </c>
      <c r="AH17" s="515">
        <f>S17</f>
        <v>399.09</v>
      </c>
      <c r="AI17" s="482"/>
      <c r="AJ17" s="533"/>
      <c r="AK17" s="533"/>
      <c r="AL17" s="533"/>
      <c r="AM17" s="533"/>
      <c r="AN17" s="533"/>
      <c r="AO17" s="533"/>
      <c r="AP17" s="533"/>
      <c r="AQ17" s="533"/>
      <c r="AR17" s="533"/>
    </row>
    <row r="18" spans="1:44" ht="38.25" customHeight="1" x14ac:dyDescent="0.25">
      <c r="A18" s="476"/>
      <c r="B18" s="477">
        <v>0</v>
      </c>
      <c r="C18" s="478">
        <v>4</v>
      </c>
      <c r="D18" s="479" t="s">
        <v>86</v>
      </c>
      <c r="E18" s="575">
        <v>4.09</v>
      </c>
      <c r="F18" s="577"/>
      <c r="G18" s="480" t="s">
        <v>132</v>
      </c>
      <c r="H18" s="480" t="s">
        <v>133</v>
      </c>
      <c r="I18" s="480"/>
      <c r="J18" s="493"/>
      <c r="K18" s="480" t="s">
        <v>134</v>
      </c>
      <c r="L18" s="486" t="s">
        <v>133</v>
      </c>
      <c r="M18" s="486"/>
      <c r="N18" s="487">
        <v>1</v>
      </c>
      <c r="O18" s="494"/>
      <c r="P18" s="488">
        <v>175</v>
      </c>
      <c r="Q18" s="483">
        <f t="shared" si="0"/>
        <v>175</v>
      </c>
      <c r="R18" s="27"/>
      <c r="S18" s="483">
        <v>175</v>
      </c>
      <c r="T18" s="62" t="s">
        <v>1950</v>
      </c>
      <c r="U18" s="496">
        <f t="shared" si="3"/>
        <v>0</v>
      </c>
      <c r="V18" s="476" t="s">
        <v>135</v>
      </c>
      <c r="W18" s="476" t="s">
        <v>136</v>
      </c>
      <c r="X18" s="22"/>
      <c r="Y18" s="22"/>
      <c r="Z18" s="481">
        <v>42846</v>
      </c>
      <c r="AA18" s="29"/>
      <c r="AB18" s="481">
        <v>42857</v>
      </c>
      <c r="AC18" s="481">
        <v>42856</v>
      </c>
      <c r="AD18" s="29"/>
      <c r="AE18" s="29"/>
      <c r="AF18" s="22" t="s">
        <v>137</v>
      </c>
      <c r="AG18" s="481" t="s">
        <v>101</v>
      </c>
      <c r="AH18" s="515">
        <f t="shared" ref="AH18:AH61" si="4">S18</f>
        <v>175</v>
      </c>
      <c r="AI18" s="482"/>
      <c r="AJ18" s="533"/>
      <c r="AK18" s="533"/>
      <c r="AL18" s="533"/>
      <c r="AM18" s="533"/>
      <c r="AN18" s="533"/>
      <c r="AO18" s="533"/>
      <c r="AP18" s="533"/>
      <c r="AQ18" s="533"/>
      <c r="AR18" s="533"/>
    </row>
    <row r="19" spans="1:44" ht="38.25" customHeight="1" x14ac:dyDescent="0.25">
      <c r="A19" s="476"/>
      <c r="B19" s="477">
        <v>0</v>
      </c>
      <c r="C19" s="478">
        <v>4</v>
      </c>
      <c r="D19" s="479" t="s">
        <v>86</v>
      </c>
      <c r="E19" s="575">
        <v>4.0999999999999996</v>
      </c>
      <c r="F19" s="577"/>
      <c r="G19" s="480" t="s">
        <v>138</v>
      </c>
      <c r="H19" s="480" t="s">
        <v>133</v>
      </c>
      <c r="I19" s="480"/>
      <c r="J19" s="493"/>
      <c r="K19" s="480" t="s">
        <v>139</v>
      </c>
      <c r="L19" s="486" t="s">
        <v>133</v>
      </c>
      <c r="M19" s="486"/>
      <c r="N19" s="487">
        <v>1</v>
      </c>
      <c r="O19" s="494"/>
      <c r="P19" s="488">
        <v>325</v>
      </c>
      <c r="Q19" s="483">
        <f t="shared" si="0"/>
        <v>325</v>
      </c>
      <c r="R19" s="27"/>
      <c r="S19" s="483">
        <v>325</v>
      </c>
      <c r="T19" s="62" t="s">
        <v>1950</v>
      </c>
      <c r="U19" s="483">
        <f t="shared" si="3"/>
        <v>0</v>
      </c>
      <c r="V19" s="476" t="s">
        <v>135</v>
      </c>
      <c r="W19" s="476" t="s">
        <v>136</v>
      </c>
      <c r="X19" s="22"/>
      <c r="Y19" s="22"/>
      <c r="Z19" s="481">
        <v>42846</v>
      </c>
      <c r="AA19" s="29"/>
      <c r="AB19" s="481">
        <v>42857</v>
      </c>
      <c r="AC19" s="481">
        <v>42856</v>
      </c>
      <c r="AD19" s="29"/>
      <c r="AE19" s="29"/>
      <c r="AF19" s="22" t="s">
        <v>140</v>
      </c>
      <c r="AG19" s="481" t="s">
        <v>101</v>
      </c>
      <c r="AH19" s="515">
        <f t="shared" si="4"/>
        <v>325</v>
      </c>
      <c r="AI19" s="482"/>
      <c r="AJ19" s="533"/>
      <c r="AK19" s="533"/>
      <c r="AL19" s="533"/>
      <c r="AM19" s="533"/>
      <c r="AN19" s="533"/>
      <c r="AO19" s="533"/>
      <c r="AP19" s="533"/>
      <c r="AQ19" s="533"/>
      <c r="AR19" s="533"/>
    </row>
    <row r="20" spans="1:44" ht="25.5" customHeight="1" x14ac:dyDescent="0.25">
      <c r="A20" s="476"/>
      <c r="B20" s="477">
        <v>0</v>
      </c>
      <c r="C20" s="478">
        <v>4</v>
      </c>
      <c r="D20" s="479" t="s">
        <v>86</v>
      </c>
      <c r="E20" s="575">
        <v>4.1100000000000003</v>
      </c>
      <c r="F20" s="577"/>
      <c r="G20" s="480" t="s">
        <v>141</v>
      </c>
      <c r="H20" s="480" t="s">
        <v>133</v>
      </c>
      <c r="I20" s="480"/>
      <c r="J20" s="476"/>
      <c r="K20" s="480" t="s">
        <v>142</v>
      </c>
      <c r="L20" s="486" t="s">
        <v>133</v>
      </c>
      <c r="M20" s="486"/>
      <c r="N20" s="487">
        <v>1</v>
      </c>
      <c r="O20" s="494"/>
      <c r="P20" s="488">
        <v>99.95</v>
      </c>
      <c r="Q20" s="483">
        <f t="shared" si="0"/>
        <v>99.95</v>
      </c>
      <c r="R20" s="28"/>
      <c r="S20" s="483">
        <v>13.05</v>
      </c>
      <c r="T20" s="62" t="s">
        <v>1950</v>
      </c>
      <c r="U20" s="496">
        <f t="shared" si="3"/>
        <v>86.9</v>
      </c>
      <c r="V20" s="476" t="s">
        <v>135</v>
      </c>
      <c r="W20" s="476" t="s">
        <v>136</v>
      </c>
      <c r="X20" s="22"/>
      <c r="Y20" s="22"/>
      <c r="Z20" s="481">
        <v>42846</v>
      </c>
      <c r="AA20" s="29"/>
      <c r="AB20" s="481">
        <v>42857</v>
      </c>
      <c r="AC20" s="481">
        <v>42856</v>
      </c>
      <c r="AD20" s="29"/>
      <c r="AE20" s="29"/>
      <c r="AF20" s="22"/>
      <c r="AG20" s="481" t="s">
        <v>101</v>
      </c>
      <c r="AH20" s="515">
        <f t="shared" si="4"/>
        <v>13.05</v>
      </c>
      <c r="AI20" s="482"/>
      <c r="AJ20" s="533"/>
      <c r="AK20" s="533"/>
      <c r="AL20" s="533"/>
      <c r="AM20" s="533"/>
      <c r="AN20" s="533"/>
      <c r="AO20" s="533"/>
      <c r="AP20" s="533"/>
      <c r="AQ20" s="533"/>
      <c r="AR20" s="533"/>
    </row>
    <row r="21" spans="1:44" ht="25.5" customHeight="1" x14ac:dyDescent="0.25">
      <c r="A21" s="476"/>
      <c r="B21" s="477">
        <v>0</v>
      </c>
      <c r="C21" s="478">
        <v>4</v>
      </c>
      <c r="D21" s="479" t="s">
        <v>86</v>
      </c>
      <c r="E21" s="575">
        <v>4.5</v>
      </c>
      <c r="F21" s="577"/>
      <c r="G21" s="480" t="s">
        <v>132</v>
      </c>
      <c r="H21" s="480" t="s">
        <v>133</v>
      </c>
      <c r="I21" s="480"/>
      <c r="J21" s="493"/>
      <c r="K21" s="480" t="s">
        <v>134</v>
      </c>
      <c r="L21" s="486" t="s">
        <v>133</v>
      </c>
      <c r="M21" s="486"/>
      <c r="N21" s="487">
        <v>1</v>
      </c>
      <c r="O21" s="494"/>
      <c r="P21" s="488">
        <v>175</v>
      </c>
      <c r="Q21" s="483">
        <f t="shared" si="0"/>
        <v>175</v>
      </c>
      <c r="R21" s="27"/>
      <c r="S21" s="483">
        <v>175</v>
      </c>
      <c r="T21" s="62" t="s">
        <v>1950</v>
      </c>
      <c r="U21" s="496">
        <f t="shared" si="3"/>
        <v>0</v>
      </c>
      <c r="V21" s="476" t="s">
        <v>143</v>
      </c>
      <c r="W21" s="476" t="s">
        <v>144</v>
      </c>
      <c r="X21" s="22"/>
      <c r="Y21" s="22"/>
      <c r="Z21" s="481">
        <v>43020</v>
      </c>
      <c r="AA21" s="29"/>
      <c r="AB21" s="481">
        <v>43026</v>
      </c>
      <c r="AC21" s="481">
        <v>43039</v>
      </c>
      <c r="AD21" s="29"/>
      <c r="AE21" s="29"/>
      <c r="AF21" s="22"/>
      <c r="AG21" s="481" t="s">
        <v>101</v>
      </c>
      <c r="AH21" s="515">
        <f t="shared" si="4"/>
        <v>175</v>
      </c>
      <c r="AI21" s="482"/>
      <c r="AJ21" s="533"/>
      <c r="AK21" s="533"/>
      <c r="AL21" s="533"/>
      <c r="AM21" s="533"/>
      <c r="AN21" s="533"/>
      <c r="AO21" s="533"/>
      <c r="AP21" s="533"/>
      <c r="AQ21" s="533"/>
      <c r="AR21" s="533"/>
    </row>
    <row r="22" spans="1:44" ht="25.5" customHeight="1" x14ac:dyDescent="0.25">
      <c r="A22" s="476"/>
      <c r="B22" s="477">
        <v>0</v>
      </c>
      <c r="C22" s="478">
        <v>4</v>
      </c>
      <c r="D22" s="479" t="s">
        <v>86</v>
      </c>
      <c r="E22" s="575">
        <v>4.51</v>
      </c>
      <c r="F22" s="577"/>
      <c r="G22" s="480" t="s">
        <v>138</v>
      </c>
      <c r="H22" s="480" t="s">
        <v>133</v>
      </c>
      <c r="I22" s="480"/>
      <c r="J22" s="493"/>
      <c r="K22" s="480" t="s">
        <v>139</v>
      </c>
      <c r="L22" s="486" t="s">
        <v>133</v>
      </c>
      <c r="M22" s="486"/>
      <c r="N22" s="487">
        <v>1</v>
      </c>
      <c r="O22" s="494"/>
      <c r="P22" s="488">
        <v>325</v>
      </c>
      <c r="Q22" s="483">
        <f t="shared" si="0"/>
        <v>325</v>
      </c>
      <c r="R22" s="27"/>
      <c r="S22" s="483">
        <v>325</v>
      </c>
      <c r="T22" s="62" t="s">
        <v>1950</v>
      </c>
      <c r="U22" s="483">
        <f t="shared" si="3"/>
        <v>0</v>
      </c>
      <c r="V22" s="476" t="s">
        <v>143</v>
      </c>
      <c r="W22" s="476" t="s">
        <v>144</v>
      </c>
      <c r="X22" s="22"/>
      <c r="Y22" s="22"/>
      <c r="Z22" s="481">
        <v>43020</v>
      </c>
      <c r="AA22" s="29"/>
      <c r="AB22" s="481">
        <v>43026</v>
      </c>
      <c r="AC22" s="481">
        <v>43039</v>
      </c>
      <c r="AD22" s="29"/>
      <c r="AE22" s="29"/>
      <c r="AF22" s="22"/>
      <c r="AG22" s="481" t="s">
        <v>101</v>
      </c>
      <c r="AH22" s="515">
        <f t="shared" si="4"/>
        <v>325</v>
      </c>
      <c r="AI22" s="482"/>
      <c r="AJ22" s="533"/>
      <c r="AK22" s="533"/>
      <c r="AL22" s="533"/>
      <c r="AM22" s="533"/>
      <c r="AN22" s="533"/>
      <c r="AO22" s="533"/>
      <c r="AP22" s="533"/>
      <c r="AQ22" s="533"/>
      <c r="AR22" s="533"/>
    </row>
    <row r="23" spans="1:44" ht="25.5" customHeight="1" x14ac:dyDescent="0.25">
      <c r="A23" s="476"/>
      <c r="B23" s="477">
        <v>0</v>
      </c>
      <c r="C23" s="478">
        <v>4</v>
      </c>
      <c r="D23" s="479" t="s">
        <v>86</v>
      </c>
      <c r="E23" s="575">
        <v>4.5199999999999996</v>
      </c>
      <c r="F23" s="577"/>
      <c r="G23" s="480" t="s">
        <v>141</v>
      </c>
      <c r="H23" s="480" t="s">
        <v>133</v>
      </c>
      <c r="I23" s="480"/>
      <c r="J23" s="476"/>
      <c r="K23" s="480" t="s">
        <v>142</v>
      </c>
      <c r="L23" s="486" t="s">
        <v>133</v>
      </c>
      <c r="M23" s="486"/>
      <c r="N23" s="487">
        <v>1</v>
      </c>
      <c r="O23" s="494"/>
      <c r="P23" s="488">
        <v>99.95</v>
      </c>
      <c r="Q23" s="483">
        <f t="shared" si="0"/>
        <v>99.95</v>
      </c>
      <c r="R23" s="28"/>
      <c r="S23" s="483">
        <v>13.05</v>
      </c>
      <c r="T23" s="62" t="s">
        <v>1950</v>
      </c>
      <c r="U23" s="496">
        <f t="shared" si="3"/>
        <v>86.9</v>
      </c>
      <c r="V23" s="476" t="s">
        <v>143</v>
      </c>
      <c r="W23" s="476" t="s">
        <v>144</v>
      </c>
      <c r="X23" s="22"/>
      <c r="Y23" s="22"/>
      <c r="Z23" s="481">
        <v>43020</v>
      </c>
      <c r="AA23" s="29"/>
      <c r="AB23" s="481">
        <v>43026</v>
      </c>
      <c r="AC23" s="481">
        <v>43039</v>
      </c>
      <c r="AD23" s="29"/>
      <c r="AE23" s="29"/>
      <c r="AF23" s="22"/>
      <c r="AG23" s="481" t="s">
        <v>101</v>
      </c>
      <c r="AH23" s="515">
        <f t="shared" si="4"/>
        <v>13.05</v>
      </c>
      <c r="AI23" s="482"/>
      <c r="AJ23" s="533"/>
      <c r="AK23" s="533"/>
      <c r="AL23" s="533"/>
      <c r="AM23" s="533"/>
      <c r="AN23" s="533"/>
      <c r="AO23" s="533"/>
      <c r="AP23" s="533"/>
      <c r="AQ23" s="533"/>
      <c r="AR23" s="533"/>
    </row>
    <row r="24" spans="1:44" ht="38.25" customHeight="1" x14ac:dyDescent="0.25">
      <c r="A24" s="476"/>
      <c r="B24" s="477">
        <v>0</v>
      </c>
      <c r="C24" s="478">
        <v>4</v>
      </c>
      <c r="D24" s="479" t="s">
        <v>86</v>
      </c>
      <c r="E24" s="575">
        <v>4.12</v>
      </c>
      <c r="F24" s="577"/>
      <c r="G24" s="480" t="s">
        <v>145</v>
      </c>
      <c r="H24" s="480" t="s">
        <v>146</v>
      </c>
      <c r="I24" s="480"/>
      <c r="J24" s="476"/>
      <c r="K24" s="480" t="s">
        <v>147</v>
      </c>
      <c r="L24" s="525" t="s">
        <v>146</v>
      </c>
      <c r="M24" s="486"/>
      <c r="N24" s="487">
        <v>4</v>
      </c>
      <c r="O24" s="494"/>
      <c r="P24" s="488">
        <v>5318</v>
      </c>
      <c r="Q24" s="483">
        <f t="shared" si="0"/>
        <v>21272</v>
      </c>
      <c r="R24" s="28"/>
      <c r="S24" s="483">
        <v>17584.240000000002</v>
      </c>
      <c r="T24" s="62" t="s">
        <v>1950</v>
      </c>
      <c r="U24" s="483">
        <f t="shared" si="3"/>
        <v>3687.7599999999984</v>
      </c>
      <c r="V24" s="476" t="s">
        <v>148</v>
      </c>
      <c r="W24" s="476">
        <v>436958</v>
      </c>
      <c r="X24" s="22"/>
      <c r="Y24" s="22"/>
      <c r="Z24" s="481">
        <v>42797</v>
      </c>
      <c r="AA24" s="29"/>
      <c r="AB24" s="481">
        <v>42804</v>
      </c>
      <c r="AC24" s="481">
        <v>42802</v>
      </c>
      <c r="AD24" s="29"/>
      <c r="AE24" s="29"/>
      <c r="AF24" s="22"/>
      <c r="AG24" s="481" t="s">
        <v>101</v>
      </c>
      <c r="AH24" s="515">
        <f t="shared" si="4"/>
        <v>17584.240000000002</v>
      </c>
      <c r="AI24" s="482"/>
      <c r="AJ24" s="533"/>
      <c r="AK24" s="533"/>
      <c r="AL24" s="533"/>
      <c r="AM24" s="533"/>
      <c r="AN24" s="533"/>
      <c r="AO24" s="533"/>
      <c r="AP24" s="533"/>
      <c r="AQ24" s="533"/>
      <c r="AR24" s="533"/>
    </row>
    <row r="25" spans="1:44" ht="12.75" customHeight="1" x14ac:dyDescent="0.25">
      <c r="A25" s="476"/>
      <c r="B25" s="477">
        <v>0</v>
      </c>
      <c r="C25" s="478">
        <v>4</v>
      </c>
      <c r="D25" s="479" t="s">
        <v>86</v>
      </c>
      <c r="E25" s="575">
        <v>4.12</v>
      </c>
      <c r="F25" s="577"/>
      <c r="G25" s="480" t="s">
        <v>149</v>
      </c>
      <c r="H25" s="480" t="s">
        <v>146</v>
      </c>
      <c r="I25" s="480"/>
      <c r="J25" s="476"/>
      <c r="K25" s="480" t="s">
        <v>147</v>
      </c>
      <c r="L25" s="525" t="s">
        <v>146</v>
      </c>
      <c r="M25" s="486"/>
      <c r="N25" s="487">
        <v>1</v>
      </c>
      <c r="O25" s="476"/>
      <c r="P25" s="488">
        <v>7254</v>
      </c>
      <c r="Q25" s="483">
        <f t="shared" si="0"/>
        <v>7254</v>
      </c>
      <c r="R25" s="28"/>
      <c r="S25" s="483">
        <v>0</v>
      </c>
      <c r="T25" s="62" t="s">
        <v>1950</v>
      </c>
      <c r="U25" s="483">
        <f t="shared" si="3"/>
        <v>7254</v>
      </c>
      <c r="V25" s="476" t="s">
        <v>148</v>
      </c>
      <c r="W25" s="476">
        <v>436958</v>
      </c>
      <c r="X25" s="22"/>
      <c r="Y25" s="22"/>
      <c r="Z25" s="481">
        <v>42797</v>
      </c>
      <c r="AA25" s="29"/>
      <c r="AB25" s="481">
        <v>42804</v>
      </c>
      <c r="AC25" s="481">
        <v>42802</v>
      </c>
      <c r="AD25" s="29"/>
      <c r="AE25" s="29"/>
      <c r="AF25" s="22"/>
      <c r="AG25" s="481" t="s">
        <v>101</v>
      </c>
      <c r="AH25" s="515">
        <f t="shared" si="4"/>
        <v>0</v>
      </c>
      <c r="AI25" s="482"/>
      <c r="AJ25" s="533"/>
      <c r="AK25" s="533"/>
      <c r="AL25" s="533"/>
      <c r="AM25" s="533"/>
      <c r="AN25" s="533"/>
      <c r="AO25" s="533"/>
      <c r="AP25" s="533"/>
      <c r="AQ25" s="533"/>
      <c r="AR25" s="533"/>
    </row>
    <row r="26" spans="1:44" ht="12.75" customHeight="1" x14ac:dyDescent="0.25">
      <c r="A26" s="476"/>
      <c r="B26" s="477">
        <v>0</v>
      </c>
      <c r="C26" s="478">
        <v>4</v>
      </c>
      <c r="D26" s="479" t="s">
        <v>86</v>
      </c>
      <c r="E26" s="575">
        <v>4.13</v>
      </c>
      <c r="F26" s="577"/>
      <c r="G26" s="480" t="s">
        <v>150</v>
      </c>
      <c r="H26" s="480" t="s">
        <v>151</v>
      </c>
      <c r="I26" s="480"/>
      <c r="J26" s="476"/>
      <c r="K26" s="480" t="s">
        <v>147</v>
      </c>
      <c r="L26" s="486"/>
      <c r="M26" s="486"/>
      <c r="N26" s="487">
        <v>8</v>
      </c>
      <c r="O26" s="476"/>
      <c r="P26" s="488">
        <v>399</v>
      </c>
      <c r="Q26" s="483">
        <f t="shared" si="0"/>
        <v>3192</v>
      </c>
      <c r="R26" s="28"/>
      <c r="S26" s="483">
        <v>2040</v>
      </c>
      <c r="T26" s="62" t="s">
        <v>1950</v>
      </c>
      <c r="U26" s="483">
        <f t="shared" si="3"/>
        <v>1152</v>
      </c>
      <c r="V26" s="476" t="s">
        <v>152</v>
      </c>
      <c r="W26" s="476" t="s">
        <v>153</v>
      </c>
      <c r="X26" s="22"/>
      <c r="Y26" s="22"/>
      <c r="Z26" s="481">
        <v>42900</v>
      </c>
      <c r="AA26" s="29"/>
      <c r="AB26" s="481">
        <v>42907</v>
      </c>
      <c r="AC26" s="481">
        <v>42930</v>
      </c>
      <c r="AD26" s="29"/>
      <c r="AE26" s="29"/>
      <c r="AF26" s="22"/>
      <c r="AG26" s="481" t="s">
        <v>101</v>
      </c>
      <c r="AH26" s="515">
        <f t="shared" si="4"/>
        <v>2040</v>
      </c>
      <c r="AI26" s="482"/>
      <c r="AJ26" s="533"/>
      <c r="AK26" s="533"/>
      <c r="AL26" s="533"/>
      <c r="AM26" s="533"/>
      <c r="AN26" s="533"/>
      <c r="AO26" s="533"/>
      <c r="AP26" s="533"/>
      <c r="AQ26" s="533"/>
      <c r="AR26" s="533"/>
    </row>
    <row r="27" spans="1:44" ht="25.5" customHeight="1" x14ac:dyDescent="0.25">
      <c r="A27" s="476"/>
      <c r="B27" s="477">
        <v>0</v>
      </c>
      <c r="C27" s="478">
        <v>4</v>
      </c>
      <c r="D27" s="479" t="s">
        <v>86</v>
      </c>
      <c r="E27" s="575">
        <v>4.1399999999999997</v>
      </c>
      <c r="F27" s="577"/>
      <c r="G27" s="480" t="s">
        <v>154</v>
      </c>
      <c r="H27" s="480" t="s">
        <v>155</v>
      </c>
      <c r="I27" s="480"/>
      <c r="J27" s="476"/>
      <c r="K27" s="480" t="s">
        <v>147</v>
      </c>
      <c r="L27" s="486"/>
      <c r="M27" s="486"/>
      <c r="N27" s="487">
        <v>6</v>
      </c>
      <c r="O27" s="476"/>
      <c r="P27" s="488">
        <v>737.99</v>
      </c>
      <c r="Q27" s="483">
        <f t="shared" si="0"/>
        <v>4427.9400000000005</v>
      </c>
      <c r="R27" s="28"/>
      <c r="S27" s="483">
        <v>4128</v>
      </c>
      <c r="T27" s="62" t="s">
        <v>1950</v>
      </c>
      <c r="U27" s="483">
        <f t="shared" si="3"/>
        <v>299.94000000000051</v>
      </c>
      <c r="V27" s="476" t="s">
        <v>156</v>
      </c>
      <c r="W27" s="476">
        <v>437011</v>
      </c>
      <c r="X27" s="22"/>
      <c r="Y27" s="22"/>
      <c r="Z27" s="481">
        <v>42800</v>
      </c>
      <c r="AA27" s="29"/>
      <c r="AB27" s="481">
        <v>42804</v>
      </c>
      <c r="AC27" s="481">
        <v>42807</v>
      </c>
      <c r="AD27" s="29"/>
      <c r="AE27" s="29"/>
      <c r="AF27" s="22"/>
      <c r="AG27" s="481" t="s">
        <v>101</v>
      </c>
      <c r="AH27" s="515">
        <f t="shared" si="4"/>
        <v>4128</v>
      </c>
      <c r="AI27" s="482"/>
      <c r="AJ27" s="533"/>
      <c r="AK27" s="533"/>
      <c r="AL27" s="533"/>
      <c r="AM27" s="533"/>
      <c r="AN27" s="533"/>
      <c r="AO27" s="533"/>
      <c r="AP27" s="533"/>
      <c r="AQ27" s="533"/>
      <c r="AR27" s="533"/>
    </row>
    <row r="28" spans="1:44" ht="25.5" customHeight="1" x14ac:dyDescent="0.25">
      <c r="A28" s="476"/>
      <c r="B28" s="477">
        <v>0</v>
      </c>
      <c r="C28" s="478">
        <v>4</v>
      </c>
      <c r="D28" s="479" t="s">
        <v>86</v>
      </c>
      <c r="E28" s="575">
        <v>4.1500000000000004</v>
      </c>
      <c r="F28" s="577"/>
      <c r="G28" s="480" t="s">
        <v>157</v>
      </c>
      <c r="H28" s="480" t="s">
        <v>158</v>
      </c>
      <c r="I28" s="480"/>
      <c r="J28" s="476"/>
      <c r="K28" s="480" t="s">
        <v>159</v>
      </c>
      <c r="L28" s="486"/>
      <c r="M28" s="486"/>
      <c r="N28" s="487">
        <v>1</v>
      </c>
      <c r="O28" s="476"/>
      <c r="P28" s="488">
        <v>995</v>
      </c>
      <c r="Q28" s="483">
        <f t="shared" si="0"/>
        <v>995</v>
      </c>
      <c r="R28" s="28"/>
      <c r="S28" s="483">
        <v>960</v>
      </c>
      <c r="T28" s="62" t="s">
        <v>1950</v>
      </c>
      <c r="U28" s="483">
        <f t="shared" si="3"/>
        <v>35</v>
      </c>
      <c r="V28" s="476" t="s">
        <v>160</v>
      </c>
      <c r="W28" s="476">
        <v>435903</v>
      </c>
      <c r="X28" s="22"/>
      <c r="Y28" s="22"/>
      <c r="Z28" s="481">
        <v>42773</v>
      </c>
      <c r="AA28" s="29"/>
      <c r="AB28" s="481">
        <v>42783</v>
      </c>
      <c r="AC28" s="481">
        <v>42797</v>
      </c>
      <c r="AD28" s="29"/>
      <c r="AE28" s="29"/>
      <c r="AF28" s="22"/>
      <c r="AG28" s="481" t="s">
        <v>101</v>
      </c>
      <c r="AH28" s="515">
        <f t="shared" si="4"/>
        <v>960</v>
      </c>
      <c r="AI28" s="482"/>
      <c r="AJ28" s="533"/>
      <c r="AK28" s="533"/>
      <c r="AL28" s="533"/>
      <c r="AM28" s="533"/>
      <c r="AN28" s="533"/>
      <c r="AO28" s="533"/>
      <c r="AP28" s="533"/>
      <c r="AQ28" s="533"/>
      <c r="AR28" s="533"/>
    </row>
    <row r="29" spans="1:44" ht="25.5" customHeight="1" x14ac:dyDescent="0.25">
      <c r="A29" s="476"/>
      <c r="B29" s="477">
        <v>0</v>
      </c>
      <c r="C29" s="478">
        <v>4</v>
      </c>
      <c r="D29" s="479" t="s">
        <v>86</v>
      </c>
      <c r="E29" s="575">
        <v>4.1500000000000004</v>
      </c>
      <c r="F29" s="577"/>
      <c r="G29" s="480" t="s">
        <v>161</v>
      </c>
      <c r="H29" s="480" t="s">
        <v>158</v>
      </c>
      <c r="I29" s="480"/>
      <c r="J29" s="476"/>
      <c r="K29" s="480" t="s">
        <v>162</v>
      </c>
      <c r="L29" s="486"/>
      <c r="M29" s="486"/>
      <c r="N29" s="487">
        <v>1</v>
      </c>
      <c r="O29" s="476"/>
      <c r="P29" s="488">
        <v>995</v>
      </c>
      <c r="Q29" s="483">
        <v>995</v>
      </c>
      <c r="R29" s="28"/>
      <c r="S29" s="483">
        <v>240</v>
      </c>
      <c r="T29" s="62" t="s">
        <v>1950</v>
      </c>
      <c r="U29" s="483">
        <f t="shared" si="3"/>
        <v>755</v>
      </c>
      <c r="V29" s="476" t="s">
        <v>160</v>
      </c>
      <c r="W29" s="476">
        <v>435903</v>
      </c>
      <c r="X29" s="22"/>
      <c r="Y29" s="22"/>
      <c r="Z29" s="481">
        <v>42773</v>
      </c>
      <c r="AA29" s="29"/>
      <c r="AB29" s="481">
        <v>42783</v>
      </c>
      <c r="AC29" s="481">
        <v>42797</v>
      </c>
      <c r="AD29" s="29"/>
      <c r="AE29" s="29"/>
      <c r="AF29" s="22"/>
      <c r="AG29" s="481" t="s">
        <v>101</v>
      </c>
      <c r="AH29" s="515">
        <f t="shared" si="4"/>
        <v>240</v>
      </c>
      <c r="AI29" s="482"/>
      <c r="AJ29" s="533"/>
      <c r="AK29" s="533"/>
      <c r="AL29" s="533"/>
      <c r="AM29" s="533"/>
      <c r="AN29" s="533"/>
      <c r="AO29" s="533"/>
      <c r="AP29" s="533"/>
      <c r="AQ29" s="533"/>
      <c r="AR29" s="533"/>
    </row>
    <row r="30" spans="1:44" ht="25.5" customHeight="1" x14ac:dyDescent="0.25">
      <c r="A30" s="476"/>
      <c r="B30" s="477">
        <v>0</v>
      </c>
      <c r="C30" s="478">
        <v>4</v>
      </c>
      <c r="D30" s="479" t="s">
        <v>86</v>
      </c>
      <c r="E30" s="575">
        <v>4.16</v>
      </c>
      <c r="F30" s="577"/>
      <c r="G30" s="480" t="s">
        <v>163</v>
      </c>
      <c r="H30" s="480" t="s">
        <v>164</v>
      </c>
      <c r="I30" s="480"/>
      <c r="J30" s="476"/>
      <c r="K30" s="480" t="s">
        <v>147</v>
      </c>
      <c r="L30" s="486"/>
      <c r="M30" s="486"/>
      <c r="N30" s="487">
        <v>1</v>
      </c>
      <c r="O30" s="476"/>
      <c r="P30" s="488">
        <v>994.5</v>
      </c>
      <c r="Q30" s="483">
        <f t="shared" ref="Q30:Q76" si="5">N30*P30</f>
        <v>994.5</v>
      </c>
      <c r="R30" s="28"/>
      <c r="S30" s="483">
        <v>994.5</v>
      </c>
      <c r="T30" s="62" t="s">
        <v>1950</v>
      </c>
      <c r="U30" s="483">
        <f t="shared" si="3"/>
        <v>0</v>
      </c>
      <c r="V30" s="476" t="s">
        <v>165</v>
      </c>
      <c r="W30" s="476" t="s">
        <v>166</v>
      </c>
      <c r="X30" s="22"/>
      <c r="Y30" s="22"/>
      <c r="Z30" s="481">
        <v>42849</v>
      </c>
      <c r="AA30" s="22"/>
      <c r="AB30" s="481">
        <v>42849</v>
      </c>
      <c r="AC30" s="481">
        <v>42849</v>
      </c>
      <c r="AD30" s="29"/>
      <c r="AE30" s="29"/>
      <c r="AF30" s="22"/>
      <c r="AG30" s="481" t="s">
        <v>101</v>
      </c>
      <c r="AH30" s="515">
        <f t="shared" si="4"/>
        <v>994.5</v>
      </c>
      <c r="AI30" s="482"/>
      <c r="AJ30" s="533"/>
      <c r="AK30" s="533"/>
      <c r="AL30" s="533"/>
      <c r="AM30" s="533"/>
      <c r="AN30" s="533"/>
      <c r="AO30" s="533"/>
      <c r="AP30" s="533"/>
      <c r="AQ30" s="533"/>
      <c r="AR30" s="533"/>
    </row>
    <row r="31" spans="1:44" ht="38.25" customHeight="1" x14ac:dyDescent="0.25">
      <c r="A31" s="476"/>
      <c r="B31" s="477">
        <v>0</v>
      </c>
      <c r="C31" s="478">
        <v>4</v>
      </c>
      <c r="D31" s="479" t="s">
        <v>86</v>
      </c>
      <c r="E31" s="575"/>
      <c r="F31" s="577"/>
      <c r="G31" s="480" t="s">
        <v>167</v>
      </c>
      <c r="H31" s="480" t="s">
        <v>88</v>
      </c>
      <c r="I31" s="480"/>
      <c r="J31" s="476"/>
      <c r="K31" s="480"/>
      <c r="L31" s="486"/>
      <c r="M31" s="486"/>
      <c r="N31" s="487">
        <v>6</v>
      </c>
      <c r="O31" s="476"/>
      <c r="P31" s="488">
        <v>10227.31</v>
      </c>
      <c r="Q31" s="483">
        <f t="shared" si="5"/>
        <v>61363.86</v>
      </c>
      <c r="R31" s="28"/>
      <c r="S31" s="483">
        <v>61363.86</v>
      </c>
      <c r="T31" s="62" t="s">
        <v>1950</v>
      </c>
      <c r="U31" s="483">
        <f t="shared" si="3"/>
        <v>0</v>
      </c>
      <c r="V31" s="476" t="s">
        <v>168</v>
      </c>
      <c r="W31" s="476">
        <v>435926</v>
      </c>
      <c r="X31" s="22"/>
      <c r="Y31" s="22"/>
      <c r="Z31" s="481">
        <v>42773</v>
      </c>
      <c r="AA31" s="22"/>
      <c r="AB31" s="481">
        <v>42790</v>
      </c>
      <c r="AC31" s="481"/>
      <c r="AD31" s="29"/>
      <c r="AE31" s="29"/>
      <c r="AF31" s="22" t="s">
        <v>169</v>
      </c>
      <c r="AG31" s="481" t="s">
        <v>101</v>
      </c>
      <c r="AH31" s="515">
        <f t="shared" si="4"/>
        <v>61363.86</v>
      </c>
      <c r="AI31" s="482"/>
      <c r="AJ31" s="533"/>
      <c r="AK31" s="533"/>
      <c r="AL31" s="533"/>
      <c r="AM31" s="533"/>
      <c r="AN31" s="533"/>
      <c r="AO31" s="533"/>
      <c r="AP31" s="533"/>
      <c r="AQ31" s="533"/>
      <c r="AR31" s="533"/>
    </row>
    <row r="32" spans="1:44" ht="38.25" customHeight="1" x14ac:dyDescent="0.25">
      <c r="A32" s="476"/>
      <c r="B32" s="477">
        <v>0</v>
      </c>
      <c r="C32" s="478">
        <v>4</v>
      </c>
      <c r="D32" s="479" t="s">
        <v>86</v>
      </c>
      <c r="E32" s="575"/>
      <c r="F32" s="577"/>
      <c r="G32" s="480" t="s">
        <v>170</v>
      </c>
      <c r="H32" s="480" t="s">
        <v>151</v>
      </c>
      <c r="I32" s="480"/>
      <c r="J32" s="476"/>
      <c r="K32" s="480"/>
      <c r="L32" s="486" t="s">
        <v>171</v>
      </c>
      <c r="M32" s="486"/>
      <c r="N32" s="487">
        <v>4</v>
      </c>
      <c r="O32" s="476"/>
      <c r="P32" s="488">
        <v>590.1</v>
      </c>
      <c r="Q32" s="483">
        <f t="shared" si="5"/>
        <v>2360.4</v>
      </c>
      <c r="R32" s="28"/>
      <c r="S32" s="483">
        <v>2360.4</v>
      </c>
      <c r="T32" s="62" t="s">
        <v>1950</v>
      </c>
      <c r="U32" s="483">
        <f t="shared" si="3"/>
        <v>0</v>
      </c>
      <c r="V32" s="476" t="s">
        <v>172</v>
      </c>
      <c r="W32" s="476">
        <v>436987</v>
      </c>
      <c r="X32" s="22"/>
      <c r="Y32" s="22"/>
      <c r="Z32" s="481">
        <v>42800</v>
      </c>
      <c r="AA32" s="22"/>
      <c r="AB32" s="481">
        <v>42800</v>
      </c>
      <c r="AC32" s="481"/>
      <c r="AD32" s="29"/>
      <c r="AE32" s="29"/>
      <c r="AF32" s="22" t="s">
        <v>173</v>
      </c>
      <c r="AG32" s="481" t="s">
        <v>101</v>
      </c>
      <c r="AH32" s="515">
        <f t="shared" si="4"/>
        <v>2360.4</v>
      </c>
      <c r="AI32" s="482"/>
      <c r="AJ32" s="533"/>
      <c r="AK32" s="533"/>
      <c r="AL32" s="533"/>
      <c r="AM32" s="533"/>
      <c r="AN32" s="533"/>
      <c r="AO32" s="533"/>
      <c r="AP32" s="533"/>
      <c r="AQ32" s="533"/>
      <c r="AR32" s="533"/>
    </row>
    <row r="33" spans="1:44" ht="25.5" customHeight="1" x14ac:dyDescent="0.25">
      <c r="A33" s="476"/>
      <c r="B33" s="477">
        <v>0</v>
      </c>
      <c r="C33" s="478">
        <v>4</v>
      </c>
      <c r="D33" s="479" t="s">
        <v>86</v>
      </c>
      <c r="E33" s="575"/>
      <c r="F33" s="577"/>
      <c r="G33" s="480" t="s">
        <v>174</v>
      </c>
      <c r="H33" s="480" t="s">
        <v>151</v>
      </c>
      <c r="I33" s="480"/>
      <c r="J33" s="476"/>
      <c r="K33" s="480"/>
      <c r="L33" s="486" t="s">
        <v>171</v>
      </c>
      <c r="M33" s="486"/>
      <c r="N33" s="487">
        <v>4</v>
      </c>
      <c r="O33" s="476"/>
      <c r="P33" s="488">
        <v>1071.98</v>
      </c>
      <c r="Q33" s="483">
        <f t="shared" si="5"/>
        <v>4287.92</v>
      </c>
      <c r="R33" s="28"/>
      <c r="S33" s="483">
        <v>4287.92</v>
      </c>
      <c r="T33" s="62" t="s">
        <v>1950</v>
      </c>
      <c r="U33" s="483">
        <f t="shared" si="3"/>
        <v>0</v>
      </c>
      <c r="V33" s="476" t="s">
        <v>172</v>
      </c>
      <c r="W33" s="476">
        <v>436987</v>
      </c>
      <c r="X33" s="22"/>
      <c r="Y33" s="22"/>
      <c r="Z33" s="481">
        <v>42800</v>
      </c>
      <c r="AA33" s="22"/>
      <c r="AB33" s="481">
        <v>42800</v>
      </c>
      <c r="AC33" s="481"/>
      <c r="AD33" s="29"/>
      <c r="AE33" s="29"/>
      <c r="AF33" s="22" t="s">
        <v>173</v>
      </c>
      <c r="AG33" s="481" t="s">
        <v>101</v>
      </c>
      <c r="AH33" s="515">
        <f t="shared" si="4"/>
        <v>4287.92</v>
      </c>
      <c r="AI33" s="482"/>
      <c r="AJ33" s="533"/>
      <c r="AK33" s="533"/>
      <c r="AL33" s="533"/>
      <c r="AM33" s="533"/>
      <c r="AN33" s="533"/>
      <c r="AO33" s="533"/>
      <c r="AP33" s="533"/>
      <c r="AQ33" s="533"/>
      <c r="AR33" s="533"/>
    </row>
    <row r="34" spans="1:44" ht="12.75" customHeight="1" x14ac:dyDescent="0.25">
      <c r="A34" s="476"/>
      <c r="B34" s="477">
        <v>0</v>
      </c>
      <c r="C34" s="478">
        <v>4</v>
      </c>
      <c r="D34" s="479" t="s">
        <v>86</v>
      </c>
      <c r="E34" s="575"/>
      <c r="F34" s="577"/>
      <c r="G34" s="480" t="s">
        <v>175</v>
      </c>
      <c r="H34" s="480" t="s">
        <v>155</v>
      </c>
      <c r="I34" s="480"/>
      <c r="J34" s="476"/>
      <c r="K34" s="480"/>
      <c r="L34" s="486" t="s">
        <v>124</v>
      </c>
      <c r="M34" s="486"/>
      <c r="N34" s="487">
        <v>1</v>
      </c>
      <c r="O34" s="476"/>
      <c r="P34" s="488">
        <v>229.99</v>
      </c>
      <c r="Q34" s="483">
        <f t="shared" si="5"/>
        <v>229.99</v>
      </c>
      <c r="R34" s="28"/>
      <c r="S34" s="483">
        <v>219.62</v>
      </c>
      <c r="T34" s="62" t="s">
        <v>1950</v>
      </c>
      <c r="U34" s="483">
        <f t="shared" si="3"/>
        <v>10.370000000000005</v>
      </c>
      <c r="V34" s="476" t="s">
        <v>176</v>
      </c>
      <c r="W34" s="476" t="s">
        <v>177</v>
      </c>
      <c r="X34" s="22"/>
      <c r="Y34" s="22"/>
      <c r="Z34" s="481">
        <v>42830</v>
      </c>
      <c r="AA34" s="22"/>
      <c r="AB34" s="481">
        <v>42832</v>
      </c>
      <c r="AC34" s="481">
        <v>42832</v>
      </c>
      <c r="AD34" s="29"/>
      <c r="AE34" s="29"/>
      <c r="AF34" s="22" t="s">
        <v>178</v>
      </c>
      <c r="AG34" s="481" t="s">
        <v>101</v>
      </c>
      <c r="AH34" s="515">
        <f t="shared" si="4"/>
        <v>219.62</v>
      </c>
      <c r="AI34" s="482"/>
      <c r="AJ34" s="533"/>
      <c r="AK34" s="533"/>
      <c r="AL34" s="533"/>
      <c r="AM34" s="533"/>
      <c r="AN34" s="533"/>
      <c r="AO34" s="533"/>
      <c r="AP34" s="533"/>
      <c r="AQ34" s="533"/>
      <c r="AR34" s="533"/>
    </row>
    <row r="35" spans="1:44" ht="12.75" customHeight="1" x14ac:dyDescent="0.25">
      <c r="A35" s="476"/>
      <c r="B35" s="477">
        <v>0</v>
      </c>
      <c r="C35" s="478">
        <v>4</v>
      </c>
      <c r="D35" s="479" t="s">
        <v>86</v>
      </c>
      <c r="E35" s="575"/>
      <c r="F35" s="577"/>
      <c r="G35" s="480" t="s">
        <v>179</v>
      </c>
      <c r="H35" s="480" t="s">
        <v>146</v>
      </c>
      <c r="I35" s="480"/>
      <c r="J35" s="476"/>
      <c r="K35" s="480"/>
      <c r="L35" s="486" t="s">
        <v>180</v>
      </c>
      <c r="M35" s="486"/>
      <c r="N35" s="487">
        <v>1</v>
      </c>
      <c r="O35" s="476"/>
      <c r="P35" s="488">
        <v>249.99</v>
      </c>
      <c r="Q35" s="483">
        <f t="shared" si="5"/>
        <v>249.99</v>
      </c>
      <c r="R35" s="28"/>
      <c r="S35" s="483">
        <v>241.99</v>
      </c>
      <c r="T35" s="62" t="s">
        <v>1950</v>
      </c>
      <c r="U35" s="483">
        <f t="shared" si="3"/>
        <v>8</v>
      </c>
      <c r="V35" s="476" t="s">
        <v>181</v>
      </c>
      <c r="W35" s="476" t="s">
        <v>182</v>
      </c>
      <c r="X35" s="22"/>
      <c r="Y35" s="22"/>
      <c r="Z35" s="481">
        <v>42830</v>
      </c>
      <c r="AA35" s="22"/>
      <c r="AB35" s="481">
        <v>42832</v>
      </c>
      <c r="AC35" s="481">
        <v>42832</v>
      </c>
      <c r="AD35" s="29"/>
      <c r="AE35" s="29"/>
      <c r="AF35" s="22" t="s">
        <v>178</v>
      </c>
      <c r="AG35" s="481" t="s">
        <v>101</v>
      </c>
      <c r="AH35" s="515">
        <f t="shared" si="4"/>
        <v>241.99</v>
      </c>
      <c r="AI35" s="482"/>
      <c r="AJ35" s="533"/>
      <c r="AK35" s="533"/>
      <c r="AL35" s="533"/>
      <c r="AM35" s="533"/>
      <c r="AN35" s="533"/>
      <c r="AO35" s="533"/>
      <c r="AP35" s="533"/>
      <c r="AQ35" s="533"/>
      <c r="AR35" s="533"/>
    </row>
    <row r="36" spans="1:44" ht="12.75" customHeight="1" x14ac:dyDescent="0.25">
      <c r="A36" s="476"/>
      <c r="B36" s="477">
        <v>0</v>
      </c>
      <c r="C36" s="478">
        <v>4</v>
      </c>
      <c r="D36" s="479" t="s">
        <v>86</v>
      </c>
      <c r="E36" s="575"/>
      <c r="F36" s="577"/>
      <c r="G36" s="480" t="s">
        <v>183</v>
      </c>
      <c r="H36" s="480" t="s">
        <v>151</v>
      </c>
      <c r="I36" s="480"/>
      <c r="J36" s="476"/>
      <c r="K36" s="480"/>
      <c r="L36" s="486" t="s">
        <v>184</v>
      </c>
      <c r="M36" s="486"/>
      <c r="N36" s="487">
        <v>18</v>
      </c>
      <c r="O36" s="476"/>
      <c r="P36" s="488">
        <v>799</v>
      </c>
      <c r="Q36" s="483">
        <f t="shared" si="5"/>
        <v>14382</v>
      </c>
      <c r="R36" s="28"/>
      <c r="S36" s="483">
        <v>11400.48</v>
      </c>
      <c r="T36" s="62" t="s">
        <v>1950</v>
      </c>
      <c r="U36" s="483">
        <f t="shared" si="3"/>
        <v>2981.5200000000004</v>
      </c>
      <c r="V36" s="476" t="s">
        <v>185</v>
      </c>
      <c r="W36" s="476">
        <v>438467</v>
      </c>
      <c r="X36" s="22"/>
      <c r="Y36" s="22"/>
      <c r="Z36" s="481">
        <v>42838</v>
      </c>
      <c r="AA36" s="22"/>
      <c r="AB36" s="481">
        <v>42839</v>
      </c>
      <c r="AC36" s="481">
        <v>42846</v>
      </c>
      <c r="AD36" s="29"/>
      <c r="AE36" s="29"/>
      <c r="AF36" s="22" t="s">
        <v>178</v>
      </c>
      <c r="AG36" s="481" t="s">
        <v>101</v>
      </c>
      <c r="AH36" s="515">
        <f t="shared" si="4"/>
        <v>11400.48</v>
      </c>
      <c r="AI36" s="482"/>
      <c r="AJ36" s="533"/>
      <c r="AK36" s="533"/>
      <c r="AL36" s="533"/>
      <c r="AM36" s="533"/>
      <c r="AN36" s="533"/>
      <c r="AO36" s="533"/>
      <c r="AP36" s="533"/>
      <c r="AQ36" s="533"/>
      <c r="AR36" s="533"/>
    </row>
    <row r="37" spans="1:44" ht="25.5" customHeight="1" x14ac:dyDescent="0.25">
      <c r="A37" s="476"/>
      <c r="B37" s="477">
        <v>0</v>
      </c>
      <c r="C37" s="478">
        <v>4</v>
      </c>
      <c r="D37" s="479" t="s">
        <v>86</v>
      </c>
      <c r="E37" s="575"/>
      <c r="F37" s="577"/>
      <c r="G37" s="480" t="s">
        <v>186</v>
      </c>
      <c r="H37" s="480" t="s">
        <v>88</v>
      </c>
      <c r="I37" s="480"/>
      <c r="J37" s="476"/>
      <c r="K37" s="480"/>
      <c r="L37" s="486"/>
      <c r="M37" s="486"/>
      <c r="N37" s="487">
        <v>4</v>
      </c>
      <c r="O37" s="476"/>
      <c r="P37" s="488">
        <v>296.54000000000002</v>
      </c>
      <c r="Q37" s="483">
        <f t="shared" si="5"/>
        <v>1186.1600000000001</v>
      </c>
      <c r="R37" s="28"/>
      <c r="S37" s="483">
        <v>1186.1600000000001</v>
      </c>
      <c r="T37" s="62" t="s">
        <v>1950</v>
      </c>
      <c r="U37" s="483">
        <f t="shared" si="3"/>
        <v>0</v>
      </c>
      <c r="V37" s="476" t="s">
        <v>187</v>
      </c>
      <c r="W37" s="476">
        <v>439011</v>
      </c>
      <c r="X37" s="22"/>
      <c r="Y37" s="22"/>
      <c r="Z37" s="481">
        <v>42859</v>
      </c>
      <c r="AA37" s="22"/>
      <c r="AB37" s="481">
        <v>42859</v>
      </c>
      <c r="AC37" s="481">
        <v>42863</v>
      </c>
      <c r="AD37" s="29"/>
      <c r="AE37" s="29"/>
      <c r="AF37" s="22" t="s">
        <v>188</v>
      </c>
      <c r="AG37" s="481" t="s">
        <v>101</v>
      </c>
      <c r="AH37" s="515">
        <f t="shared" si="4"/>
        <v>1186.1600000000001</v>
      </c>
      <c r="AI37" s="482"/>
      <c r="AJ37" s="533"/>
      <c r="AK37" s="533"/>
      <c r="AL37" s="533"/>
      <c r="AM37" s="533"/>
      <c r="AN37" s="533"/>
      <c r="AO37" s="533"/>
      <c r="AP37" s="533"/>
      <c r="AQ37" s="533"/>
      <c r="AR37" s="533"/>
    </row>
    <row r="38" spans="1:44" ht="12.75" customHeight="1" x14ac:dyDescent="0.25">
      <c r="A38" s="476"/>
      <c r="B38" s="477">
        <v>0</v>
      </c>
      <c r="C38" s="478">
        <v>4</v>
      </c>
      <c r="D38" s="479" t="s">
        <v>86</v>
      </c>
      <c r="E38" s="575"/>
      <c r="F38" s="577"/>
      <c r="G38" s="480" t="s">
        <v>189</v>
      </c>
      <c r="H38" s="480" t="s">
        <v>88</v>
      </c>
      <c r="I38" s="480"/>
      <c r="J38" s="476"/>
      <c r="K38" s="480"/>
      <c r="L38" s="486"/>
      <c r="M38" s="486"/>
      <c r="N38" s="487">
        <v>2</v>
      </c>
      <c r="O38" s="476"/>
      <c r="P38" s="488">
        <v>26.35</v>
      </c>
      <c r="Q38" s="483">
        <f t="shared" si="5"/>
        <v>52.7</v>
      </c>
      <c r="R38" s="28"/>
      <c r="S38" s="483">
        <v>52.7</v>
      </c>
      <c r="T38" s="62" t="s">
        <v>1950</v>
      </c>
      <c r="U38" s="483">
        <f t="shared" si="3"/>
        <v>0</v>
      </c>
      <c r="V38" s="476" t="s">
        <v>187</v>
      </c>
      <c r="W38" s="476">
        <v>439011</v>
      </c>
      <c r="X38" s="22"/>
      <c r="Y38" s="22"/>
      <c r="Z38" s="481">
        <v>42859</v>
      </c>
      <c r="AA38" s="22"/>
      <c r="AB38" s="481">
        <v>42859</v>
      </c>
      <c r="AC38" s="481">
        <v>42863</v>
      </c>
      <c r="AD38" s="29"/>
      <c r="AE38" s="29"/>
      <c r="AF38" s="22" t="s">
        <v>188</v>
      </c>
      <c r="AG38" s="481" t="s">
        <v>101</v>
      </c>
      <c r="AH38" s="515">
        <f t="shared" si="4"/>
        <v>52.7</v>
      </c>
      <c r="AI38" s="482"/>
      <c r="AJ38" s="533"/>
      <c r="AK38" s="533"/>
      <c r="AL38" s="533"/>
      <c r="AM38" s="533"/>
      <c r="AN38" s="533"/>
      <c r="AO38" s="533"/>
      <c r="AP38" s="533"/>
      <c r="AQ38" s="533"/>
      <c r="AR38" s="533"/>
    </row>
    <row r="39" spans="1:44" ht="25.5" customHeight="1" x14ac:dyDescent="0.25">
      <c r="A39" s="476"/>
      <c r="B39" s="477">
        <v>0</v>
      </c>
      <c r="C39" s="478">
        <v>4</v>
      </c>
      <c r="D39" s="479" t="s">
        <v>86</v>
      </c>
      <c r="E39" s="575"/>
      <c r="F39" s="577"/>
      <c r="G39" s="480" t="s">
        <v>190</v>
      </c>
      <c r="H39" s="480" t="s">
        <v>88</v>
      </c>
      <c r="I39" s="480"/>
      <c r="J39" s="476"/>
      <c r="K39" s="480"/>
      <c r="L39" s="486"/>
      <c r="M39" s="486"/>
      <c r="N39" s="487">
        <v>4</v>
      </c>
      <c r="O39" s="476"/>
      <c r="P39" s="488">
        <v>39.53</v>
      </c>
      <c r="Q39" s="483">
        <f t="shared" si="5"/>
        <v>158.12</v>
      </c>
      <c r="R39" s="28"/>
      <c r="S39" s="483">
        <v>158.12</v>
      </c>
      <c r="T39" s="62" t="s">
        <v>1950</v>
      </c>
      <c r="U39" s="483">
        <f t="shared" si="3"/>
        <v>0</v>
      </c>
      <c r="V39" s="476" t="s">
        <v>187</v>
      </c>
      <c r="W39" s="476">
        <v>439011</v>
      </c>
      <c r="X39" s="22"/>
      <c r="Y39" s="22"/>
      <c r="Z39" s="481">
        <v>42859</v>
      </c>
      <c r="AA39" s="22"/>
      <c r="AB39" s="481">
        <v>42859</v>
      </c>
      <c r="AC39" s="481">
        <v>42863</v>
      </c>
      <c r="AD39" s="29"/>
      <c r="AE39" s="29"/>
      <c r="AF39" s="22" t="s">
        <v>188</v>
      </c>
      <c r="AG39" s="481" t="s">
        <v>101</v>
      </c>
      <c r="AH39" s="515">
        <f t="shared" si="4"/>
        <v>158.12</v>
      </c>
      <c r="AI39" s="482"/>
      <c r="AJ39" s="533"/>
      <c r="AK39" s="533"/>
      <c r="AL39" s="533"/>
      <c r="AM39" s="533"/>
      <c r="AN39" s="533"/>
      <c r="AO39" s="533"/>
      <c r="AP39" s="533"/>
      <c r="AQ39" s="533"/>
      <c r="AR39" s="533"/>
    </row>
    <row r="40" spans="1:44" ht="25.5" customHeight="1" x14ac:dyDescent="0.25">
      <c r="A40" s="476"/>
      <c r="B40" s="477">
        <v>0</v>
      </c>
      <c r="C40" s="478">
        <v>4</v>
      </c>
      <c r="D40" s="479" t="s">
        <v>86</v>
      </c>
      <c r="E40" s="575"/>
      <c r="F40" s="577"/>
      <c r="G40" s="480" t="s">
        <v>191</v>
      </c>
      <c r="H40" s="480" t="s">
        <v>88</v>
      </c>
      <c r="I40" s="480"/>
      <c r="J40" s="476"/>
      <c r="K40" s="480"/>
      <c r="L40" s="486" t="s">
        <v>124</v>
      </c>
      <c r="M40" s="486"/>
      <c r="N40" s="487">
        <v>8</v>
      </c>
      <c r="O40" s="476"/>
      <c r="P40" s="488">
        <v>3719.92</v>
      </c>
      <c r="Q40" s="483">
        <f t="shared" si="5"/>
        <v>29759.360000000001</v>
      </c>
      <c r="R40" s="28"/>
      <c r="S40" s="483">
        <v>2352</v>
      </c>
      <c r="T40" s="62" t="s">
        <v>1950</v>
      </c>
      <c r="U40" s="483">
        <f t="shared" si="3"/>
        <v>27407.360000000001</v>
      </c>
      <c r="V40" s="476" t="s">
        <v>192</v>
      </c>
      <c r="W40" s="476">
        <v>439116</v>
      </c>
      <c r="X40" s="22"/>
      <c r="Y40" s="22"/>
      <c r="Z40" s="481">
        <v>42858</v>
      </c>
      <c r="AA40" s="22"/>
      <c r="AB40" s="481">
        <v>42871</v>
      </c>
      <c r="AC40" s="481"/>
      <c r="AD40" s="29"/>
      <c r="AE40" s="29"/>
      <c r="AF40" s="22" t="s">
        <v>173</v>
      </c>
      <c r="AG40" s="481" t="s">
        <v>101</v>
      </c>
      <c r="AH40" s="515">
        <f t="shared" si="4"/>
        <v>2352</v>
      </c>
      <c r="AI40" s="482"/>
      <c r="AJ40" s="533"/>
      <c r="AK40" s="533"/>
      <c r="AL40" s="533"/>
      <c r="AM40" s="533"/>
      <c r="AN40" s="533"/>
      <c r="AO40" s="533"/>
      <c r="AP40" s="533"/>
      <c r="AQ40" s="533"/>
      <c r="AR40" s="533"/>
    </row>
    <row r="41" spans="1:44" ht="12.75" customHeight="1" x14ac:dyDescent="0.25">
      <c r="A41" s="476"/>
      <c r="B41" s="477">
        <v>0</v>
      </c>
      <c r="C41" s="478">
        <v>4</v>
      </c>
      <c r="D41" s="479" t="s">
        <v>86</v>
      </c>
      <c r="E41" s="575"/>
      <c r="F41" s="577"/>
      <c r="G41" s="480" t="s">
        <v>193</v>
      </c>
      <c r="H41" s="480" t="s">
        <v>88</v>
      </c>
      <c r="I41" s="480"/>
      <c r="J41" s="476"/>
      <c r="K41" s="480"/>
      <c r="L41" s="486"/>
      <c r="M41" s="486"/>
      <c r="N41" s="487">
        <v>4</v>
      </c>
      <c r="O41" s="476"/>
      <c r="P41" s="488">
        <v>9.4499999999999993</v>
      </c>
      <c r="Q41" s="483">
        <f t="shared" si="5"/>
        <v>37.799999999999997</v>
      </c>
      <c r="R41" s="28"/>
      <c r="S41" s="483">
        <v>43.96</v>
      </c>
      <c r="T41" s="62" t="s">
        <v>1950</v>
      </c>
      <c r="U41" s="483">
        <f t="shared" si="3"/>
        <v>-6.1600000000000037</v>
      </c>
      <c r="V41" s="476" t="s">
        <v>194</v>
      </c>
      <c r="W41" s="476" t="s">
        <v>195</v>
      </c>
      <c r="X41" s="22"/>
      <c r="Y41" s="22"/>
      <c r="Z41" s="481">
        <v>42859</v>
      </c>
      <c r="AA41" s="22"/>
      <c r="AB41" s="481">
        <v>42867</v>
      </c>
      <c r="AC41" s="481"/>
      <c r="AD41" s="29"/>
      <c r="AE41" s="29"/>
      <c r="AF41" s="22" t="s">
        <v>188</v>
      </c>
      <c r="AG41" s="481" t="s">
        <v>101</v>
      </c>
      <c r="AH41" s="515">
        <f t="shared" si="4"/>
        <v>43.96</v>
      </c>
      <c r="AI41" s="482"/>
      <c r="AJ41" s="533"/>
      <c r="AK41" s="533"/>
      <c r="AL41" s="533"/>
      <c r="AM41" s="533"/>
      <c r="AN41" s="533"/>
      <c r="AO41" s="533"/>
      <c r="AP41" s="533"/>
      <c r="AQ41" s="533"/>
      <c r="AR41" s="533"/>
    </row>
    <row r="42" spans="1:44" ht="12.75" customHeight="1" x14ac:dyDescent="0.25">
      <c r="A42" s="476"/>
      <c r="B42" s="477">
        <v>0</v>
      </c>
      <c r="C42" s="478">
        <v>4</v>
      </c>
      <c r="D42" s="479" t="s">
        <v>86</v>
      </c>
      <c r="E42" s="575"/>
      <c r="F42" s="577"/>
      <c r="G42" s="480" t="s">
        <v>196</v>
      </c>
      <c r="H42" s="480" t="s">
        <v>88</v>
      </c>
      <c r="I42" s="480"/>
      <c r="J42" s="476"/>
      <c r="K42" s="480"/>
      <c r="L42" s="486"/>
      <c r="M42" s="486"/>
      <c r="N42" s="487">
        <v>2</v>
      </c>
      <c r="O42" s="476"/>
      <c r="P42" s="488">
        <v>29.99</v>
      </c>
      <c r="Q42" s="483">
        <f t="shared" si="5"/>
        <v>59.98</v>
      </c>
      <c r="R42" s="28"/>
      <c r="S42" s="483">
        <v>77.540000000000006</v>
      </c>
      <c r="T42" s="62" t="s">
        <v>1950</v>
      </c>
      <c r="U42" s="483">
        <f t="shared" si="3"/>
        <v>-17.560000000000009</v>
      </c>
      <c r="V42" s="476" t="s">
        <v>194</v>
      </c>
      <c r="W42" s="476" t="s">
        <v>195</v>
      </c>
      <c r="X42" s="22"/>
      <c r="Y42" s="22"/>
      <c r="Z42" s="481">
        <v>42859</v>
      </c>
      <c r="AA42" s="22"/>
      <c r="AB42" s="481">
        <v>42867</v>
      </c>
      <c r="AC42" s="481"/>
      <c r="AD42" s="29"/>
      <c r="AE42" s="29"/>
      <c r="AF42" s="22" t="s">
        <v>188</v>
      </c>
      <c r="AG42" s="481" t="s">
        <v>101</v>
      </c>
      <c r="AH42" s="515">
        <f t="shared" si="4"/>
        <v>77.540000000000006</v>
      </c>
      <c r="AI42" s="482"/>
      <c r="AJ42" s="533"/>
      <c r="AK42" s="533"/>
      <c r="AL42" s="533"/>
      <c r="AM42" s="533"/>
      <c r="AN42" s="533"/>
      <c r="AO42" s="533"/>
      <c r="AP42" s="533"/>
      <c r="AQ42" s="533"/>
      <c r="AR42" s="533"/>
    </row>
    <row r="43" spans="1:44" ht="25.5" customHeight="1" x14ac:dyDescent="0.25">
      <c r="A43" s="476"/>
      <c r="B43" s="477">
        <v>0</v>
      </c>
      <c r="C43" s="478">
        <v>4</v>
      </c>
      <c r="D43" s="479" t="s">
        <v>86</v>
      </c>
      <c r="E43" s="575"/>
      <c r="F43" s="577"/>
      <c r="G43" s="480" t="s">
        <v>197</v>
      </c>
      <c r="H43" s="480" t="s">
        <v>88</v>
      </c>
      <c r="I43" s="480"/>
      <c r="J43" s="476"/>
      <c r="K43" s="480"/>
      <c r="L43" s="486"/>
      <c r="M43" s="486"/>
      <c r="N43" s="487">
        <v>4</v>
      </c>
      <c r="O43" s="476"/>
      <c r="P43" s="488">
        <v>337.49</v>
      </c>
      <c r="Q43" s="483">
        <f t="shared" si="5"/>
        <v>1349.96</v>
      </c>
      <c r="R43" s="28"/>
      <c r="S43" s="483">
        <v>1232.76</v>
      </c>
      <c r="T43" s="62" t="s">
        <v>1950</v>
      </c>
      <c r="U43" s="483">
        <f t="shared" si="3"/>
        <v>117.20000000000005</v>
      </c>
      <c r="V43" s="476" t="s">
        <v>194</v>
      </c>
      <c r="W43" s="476" t="s">
        <v>195</v>
      </c>
      <c r="X43" s="22"/>
      <c r="Y43" s="22"/>
      <c r="Z43" s="481">
        <v>42859</v>
      </c>
      <c r="AA43" s="22"/>
      <c r="AB43" s="481">
        <v>42867</v>
      </c>
      <c r="AC43" s="481"/>
      <c r="AD43" s="29"/>
      <c r="AE43" s="29"/>
      <c r="AF43" s="22" t="s">
        <v>188</v>
      </c>
      <c r="AG43" s="481" t="s">
        <v>101</v>
      </c>
      <c r="AH43" s="515">
        <f t="shared" si="4"/>
        <v>1232.76</v>
      </c>
      <c r="AI43" s="482"/>
      <c r="AJ43" s="533"/>
      <c r="AK43" s="533"/>
      <c r="AL43" s="533"/>
      <c r="AM43" s="533"/>
      <c r="AN43" s="533"/>
      <c r="AO43" s="533"/>
      <c r="AP43" s="533"/>
      <c r="AQ43" s="533"/>
      <c r="AR43" s="533"/>
    </row>
    <row r="44" spans="1:44" ht="12.75" customHeight="1" x14ac:dyDescent="0.25">
      <c r="A44" s="476"/>
      <c r="B44" s="477">
        <v>0</v>
      </c>
      <c r="C44" s="478">
        <v>4</v>
      </c>
      <c r="D44" s="479" t="s">
        <v>86</v>
      </c>
      <c r="E44" s="575"/>
      <c r="F44" s="577"/>
      <c r="G44" s="480" t="s">
        <v>196</v>
      </c>
      <c r="H44" s="480" t="s">
        <v>88</v>
      </c>
      <c r="I44" s="480"/>
      <c r="J44" s="476"/>
      <c r="K44" s="480"/>
      <c r="L44" s="486"/>
      <c r="M44" s="486"/>
      <c r="N44" s="487">
        <v>2</v>
      </c>
      <c r="O44" s="476"/>
      <c r="P44" s="488">
        <v>59.98</v>
      </c>
      <c r="Q44" s="483">
        <f t="shared" si="5"/>
        <v>119.96</v>
      </c>
      <c r="R44" s="28"/>
      <c r="S44" s="483">
        <v>52.7</v>
      </c>
      <c r="T44" s="62" t="s">
        <v>1950</v>
      </c>
      <c r="U44" s="483">
        <f t="shared" si="3"/>
        <v>67.259999999999991</v>
      </c>
      <c r="V44" s="476" t="s">
        <v>198</v>
      </c>
      <c r="W44" s="476" t="s">
        <v>199</v>
      </c>
      <c r="X44" s="22"/>
      <c r="Y44" s="22"/>
      <c r="Z44" s="481">
        <v>42870</v>
      </c>
      <c r="AA44" s="22"/>
      <c r="AB44" s="481">
        <v>42881</v>
      </c>
      <c r="AC44" s="481">
        <v>42881</v>
      </c>
      <c r="AD44" s="29"/>
      <c r="AE44" s="29"/>
      <c r="AF44" s="22" t="s">
        <v>188</v>
      </c>
      <c r="AG44" s="481" t="s">
        <v>101</v>
      </c>
      <c r="AH44" s="515">
        <f t="shared" si="4"/>
        <v>52.7</v>
      </c>
      <c r="AI44" s="482"/>
      <c r="AJ44" s="533"/>
      <c r="AK44" s="533"/>
      <c r="AL44" s="533"/>
      <c r="AM44" s="533"/>
      <c r="AN44" s="533"/>
      <c r="AO44" s="533"/>
      <c r="AP44" s="533"/>
      <c r="AQ44" s="533"/>
      <c r="AR44" s="533"/>
    </row>
    <row r="45" spans="1:44" ht="25.5" customHeight="1" x14ac:dyDescent="0.25">
      <c r="A45" s="476"/>
      <c r="B45" s="477">
        <v>0</v>
      </c>
      <c r="C45" s="478">
        <v>4</v>
      </c>
      <c r="D45" s="479" t="s">
        <v>86</v>
      </c>
      <c r="E45" s="575"/>
      <c r="F45" s="577"/>
      <c r="G45" s="480" t="s">
        <v>197</v>
      </c>
      <c r="H45" s="480" t="s">
        <v>88</v>
      </c>
      <c r="I45" s="480"/>
      <c r="J45" s="476"/>
      <c r="K45" s="480"/>
      <c r="L45" s="486"/>
      <c r="M45" s="486"/>
      <c r="N45" s="487">
        <v>3</v>
      </c>
      <c r="O45" s="476"/>
      <c r="P45" s="488">
        <v>1012.47</v>
      </c>
      <c r="Q45" s="483">
        <f t="shared" si="5"/>
        <v>3037.41</v>
      </c>
      <c r="R45" s="28"/>
      <c r="S45" s="483">
        <v>889.62</v>
      </c>
      <c r="T45" s="62" t="s">
        <v>1950</v>
      </c>
      <c r="U45" s="483">
        <f t="shared" ref="U45:U61" si="6">Q45-S45</f>
        <v>2147.79</v>
      </c>
      <c r="V45" s="476" t="s">
        <v>198</v>
      </c>
      <c r="W45" s="476" t="s">
        <v>199</v>
      </c>
      <c r="X45" s="22"/>
      <c r="Y45" s="22"/>
      <c r="Z45" s="481">
        <v>42870</v>
      </c>
      <c r="AA45" s="22"/>
      <c r="AB45" s="481">
        <v>42881</v>
      </c>
      <c r="AC45" s="481">
        <v>42881</v>
      </c>
      <c r="AD45" s="29"/>
      <c r="AE45" s="29"/>
      <c r="AF45" s="22" t="s">
        <v>188</v>
      </c>
      <c r="AG45" s="481" t="s">
        <v>101</v>
      </c>
      <c r="AH45" s="515">
        <f t="shared" si="4"/>
        <v>889.62</v>
      </c>
      <c r="AI45" s="482"/>
      <c r="AJ45" s="533"/>
      <c r="AK45" s="533"/>
      <c r="AL45" s="533"/>
      <c r="AM45" s="533"/>
      <c r="AN45" s="533"/>
      <c r="AO45" s="533"/>
      <c r="AP45" s="533"/>
      <c r="AQ45" s="533"/>
      <c r="AR45" s="533"/>
    </row>
    <row r="46" spans="1:44" ht="12.75" customHeight="1" x14ac:dyDescent="0.25">
      <c r="A46" s="476"/>
      <c r="B46" s="477">
        <v>0</v>
      </c>
      <c r="C46" s="478">
        <v>4</v>
      </c>
      <c r="D46" s="479" t="s">
        <v>86</v>
      </c>
      <c r="E46" s="575"/>
      <c r="F46" s="577"/>
      <c r="G46" s="480" t="s">
        <v>200</v>
      </c>
      <c r="H46" s="480" t="s">
        <v>201</v>
      </c>
      <c r="I46" s="480"/>
      <c r="J46" s="476"/>
      <c r="K46" s="480"/>
      <c r="L46" s="486"/>
      <c r="M46" s="486"/>
      <c r="N46" s="487">
        <v>1</v>
      </c>
      <c r="O46" s="476"/>
      <c r="P46" s="488">
        <v>499</v>
      </c>
      <c r="Q46" s="483">
        <f t="shared" si="5"/>
        <v>499</v>
      </c>
      <c r="R46" s="28"/>
      <c r="S46" s="483">
        <v>499</v>
      </c>
      <c r="T46" s="62" t="s">
        <v>1950</v>
      </c>
      <c r="U46" s="483">
        <f t="shared" si="6"/>
        <v>0</v>
      </c>
      <c r="V46" s="476" t="s">
        <v>202</v>
      </c>
      <c r="W46" s="476" t="s">
        <v>203</v>
      </c>
      <c r="X46" s="22"/>
      <c r="Y46" s="22"/>
      <c r="Z46" s="481">
        <v>43026</v>
      </c>
      <c r="AA46" s="22"/>
      <c r="AB46" s="481">
        <v>43027</v>
      </c>
      <c r="AC46" s="481">
        <v>43077</v>
      </c>
      <c r="AD46" s="29"/>
      <c r="AE46" s="29"/>
      <c r="AF46" s="22"/>
      <c r="AG46" s="481" t="s">
        <v>101</v>
      </c>
      <c r="AH46" s="515">
        <f t="shared" si="4"/>
        <v>499</v>
      </c>
      <c r="AI46" s="482"/>
      <c r="AJ46" s="533"/>
      <c r="AK46" s="533"/>
      <c r="AL46" s="533"/>
      <c r="AM46" s="533"/>
      <c r="AN46" s="533"/>
      <c r="AO46" s="533"/>
      <c r="AP46" s="533"/>
      <c r="AQ46" s="533"/>
      <c r="AR46" s="533"/>
    </row>
    <row r="47" spans="1:44" ht="12.75" customHeight="1" x14ac:dyDescent="0.25">
      <c r="A47" s="476"/>
      <c r="B47" s="477">
        <v>0</v>
      </c>
      <c r="C47" s="478">
        <v>4</v>
      </c>
      <c r="D47" s="479" t="s">
        <v>86</v>
      </c>
      <c r="E47" s="575"/>
      <c r="F47" s="577"/>
      <c r="G47" s="480" t="s">
        <v>200</v>
      </c>
      <c r="H47" s="480" t="s">
        <v>201</v>
      </c>
      <c r="I47" s="480"/>
      <c r="J47" s="476"/>
      <c r="K47" s="480"/>
      <c r="L47" s="486"/>
      <c r="M47" s="486"/>
      <c r="N47" s="487">
        <v>1</v>
      </c>
      <c r="O47" s="476"/>
      <c r="P47" s="488">
        <v>499</v>
      </c>
      <c r="Q47" s="483">
        <f t="shared" si="5"/>
        <v>499</v>
      </c>
      <c r="R47" s="28">
        <v>499</v>
      </c>
      <c r="S47" s="483">
        <v>499</v>
      </c>
      <c r="T47" s="62" t="s">
        <v>1950</v>
      </c>
      <c r="U47" s="483">
        <f t="shared" si="6"/>
        <v>0</v>
      </c>
      <c r="V47" s="476" t="s">
        <v>204</v>
      </c>
      <c r="W47" s="476" t="s">
        <v>205</v>
      </c>
      <c r="X47" s="22"/>
      <c r="Y47" s="22"/>
      <c r="Z47" s="481">
        <v>42836</v>
      </c>
      <c r="AA47" s="22"/>
      <c r="AB47" s="481">
        <v>42836</v>
      </c>
      <c r="AC47" s="481">
        <v>42836</v>
      </c>
      <c r="AD47" s="29"/>
      <c r="AE47" s="29"/>
      <c r="AF47" s="22"/>
      <c r="AG47" s="481" t="s">
        <v>101</v>
      </c>
      <c r="AH47" s="515">
        <f t="shared" si="4"/>
        <v>499</v>
      </c>
      <c r="AI47" s="482"/>
      <c r="AJ47" s="533"/>
      <c r="AK47" s="533"/>
      <c r="AL47" s="533"/>
      <c r="AM47" s="533"/>
      <c r="AN47" s="533"/>
      <c r="AO47" s="533"/>
      <c r="AP47" s="533"/>
      <c r="AQ47" s="533"/>
      <c r="AR47" s="533"/>
    </row>
    <row r="48" spans="1:44" ht="63.75" customHeight="1" x14ac:dyDescent="0.25">
      <c r="A48" s="476"/>
      <c r="B48" s="477">
        <v>0</v>
      </c>
      <c r="C48" s="478">
        <v>4</v>
      </c>
      <c r="D48" s="479" t="s">
        <v>86</v>
      </c>
      <c r="E48" s="575"/>
      <c r="F48" s="577"/>
      <c r="G48" s="480" t="s">
        <v>206</v>
      </c>
      <c r="H48" s="480" t="s">
        <v>116</v>
      </c>
      <c r="I48" s="480"/>
      <c r="J48" s="476"/>
      <c r="K48" s="480"/>
      <c r="L48" s="486" t="s">
        <v>207</v>
      </c>
      <c r="M48" s="486"/>
      <c r="N48" s="487">
        <v>2</v>
      </c>
      <c r="O48" s="476"/>
      <c r="P48" s="488">
        <v>7495</v>
      </c>
      <c r="Q48" s="483">
        <f t="shared" si="5"/>
        <v>14990</v>
      </c>
      <c r="R48" s="28"/>
      <c r="S48" s="483">
        <v>14990</v>
      </c>
      <c r="T48" s="62" t="s">
        <v>1950</v>
      </c>
      <c r="U48" s="483">
        <f t="shared" si="6"/>
        <v>0</v>
      </c>
      <c r="V48" s="476" t="s">
        <v>208</v>
      </c>
      <c r="W48" s="476">
        <v>436651</v>
      </c>
      <c r="X48" s="22"/>
      <c r="Y48" s="22"/>
      <c r="Z48" s="481">
        <v>42790</v>
      </c>
      <c r="AA48" s="22"/>
      <c r="AB48" s="481">
        <v>42816</v>
      </c>
      <c r="AC48" s="481">
        <v>42809</v>
      </c>
      <c r="AD48" s="29"/>
      <c r="AE48" s="29"/>
      <c r="AF48" s="22" t="s">
        <v>188</v>
      </c>
      <c r="AG48" s="481" t="s">
        <v>101</v>
      </c>
      <c r="AH48" s="515">
        <f t="shared" si="4"/>
        <v>14990</v>
      </c>
      <c r="AI48" s="482"/>
      <c r="AJ48" s="533"/>
      <c r="AK48" s="533"/>
      <c r="AL48" s="533"/>
      <c r="AM48" s="533"/>
      <c r="AN48" s="533"/>
      <c r="AO48" s="533"/>
      <c r="AP48" s="533"/>
      <c r="AQ48" s="533"/>
      <c r="AR48" s="533"/>
    </row>
    <row r="49" spans="1:44" ht="25.5" customHeight="1" x14ac:dyDescent="0.25">
      <c r="A49" s="476"/>
      <c r="B49" s="477">
        <v>0</v>
      </c>
      <c r="C49" s="478">
        <v>4</v>
      </c>
      <c r="D49" s="479" t="s">
        <v>86</v>
      </c>
      <c r="E49" s="575"/>
      <c r="F49" s="577"/>
      <c r="G49" s="480" t="s">
        <v>209</v>
      </c>
      <c r="H49" s="480"/>
      <c r="I49" s="480"/>
      <c r="J49" s="476"/>
      <c r="K49" s="480"/>
      <c r="L49" s="486" t="s">
        <v>124</v>
      </c>
      <c r="M49" s="486"/>
      <c r="N49" s="487">
        <v>2</v>
      </c>
      <c r="O49" s="476"/>
      <c r="P49" s="488">
        <v>1719</v>
      </c>
      <c r="Q49" s="483">
        <f t="shared" si="5"/>
        <v>3438</v>
      </c>
      <c r="R49" s="28"/>
      <c r="S49" s="483">
        <v>3342</v>
      </c>
      <c r="T49" s="62" t="s">
        <v>1950</v>
      </c>
      <c r="U49" s="483">
        <f t="shared" si="6"/>
        <v>96</v>
      </c>
      <c r="V49" s="476" t="s">
        <v>210</v>
      </c>
      <c r="W49" s="476">
        <v>436215</v>
      </c>
      <c r="X49" s="22"/>
      <c r="Y49" s="22"/>
      <c r="Z49" s="481">
        <v>42780</v>
      </c>
      <c r="AA49" s="22"/>
      <c r="AB49" s="481">
        <v>42795</v>
      </c>
      <c r="AC49" s="481">
        <v>42796</v>
      </c>
      <c r="AD49" s="29"/>
      <c r="AE49" s="29"/>
      <c r="AF49" s="22" t="s">
        <v>188</v>
      </c>
      <c r="AG49" s="481" t="s">
        <v>101</v>
      </c>
      <c r="AH49" s="515">
        <f t="shared" si="4"/>
        <v>3342</v>
      </c>
      <c r="AI49" s="482"/>
      <c r="AJ49" s="533"/>
      <c r="AK49" s="533"/>
      <c r="AL49" s="533"/>
      <c r="AM49" s="533"/>
      <c r="AN49" s="533"/>
      <c r="AO49" s="533"/>
      <c r="AP49" s="533"/>
      <c r="AQ49" s="533"/>
      <c r="AR49" s="533"/>
    </row>
    <row r="50" spans="1:44" ht="12.75" customHeight="1" x14ac:dyDescent="0.25">
      <c r="A50" s="476"/>
      <c r="B50" s="477">
        <v>0</v>
      </c>
      <c r="C50" s="478">
        <v>4</v>
      </c>
      <c r="D50" s="479" t="s">
        <v>86</v>
      </c>
      <c r="E50" s="575"/>
      <c r="F50" s="577"/>
      <c r="G50" s="480" t="s">
        <v>211</v>
      </c>
      <c r="H50" s="480"/>
      <c r="I50" s="480"/>
      <c r="J50" s="476"/>
      <c r="K50" s="480"/>
      <c r="L50" s="486" t="s">
        <v>124</v>
      </c>
      <c r="M50" s="486"/>
      <c r="N50" s="487">
        <v>1</v>
      </c>
      <c r="O50" s="476"/>
      <c r="P50" s="488">
        <v>348</v>
      </c>
      <c r="Q50" s="483">
        <f t="shared" si="5"/>
        <v>348</v>
      </c>
      <c r="R50" s="28"/>
      <c r="S50" s="483">
        <v>366</v>
      </c>
      <c r="T50" s="62" t="s">
        <v>1950</v>
      </c>
      <c r="U50" s="483">
        <f t="shared" si="6"/>
        <v>-18</v>
      </c>
      <c r="V50" s="476" t="s">
        <v>212</v>
      </c>
      <c r="W50" s="476">
        <v>435988</v>
      </c>
      <c r="X50" s="22"/>
      <c r="Y50" s="22"/>
      <c r="Z50" s="481">
        <v>42774</v>
      </c>
      <c r="AA50" s="22"/>
      <c r="AB50" s="481">
        <v>42781</v>
      </c>
      <c r="AC50" s="481">
        <v>42796</v>
      </c>
      <c r="AD50" s="29"/>
      <c r="AE50" s="29"/>
      <c r="AF50" s="22"/>
      <c r="AG50" s="481" t="s">
        <v>101</v>
      </c>
      <c r="AH50" s="515">
        <f t="shared" si="4"/>
        <v>366</v>
      </c>
      <c r="AI50" s="482"/>
      <c r="AJ50" s="533"/>
      <c r="AK50" s="533"/>
      <c r="AL50" s="533"/>
      <c r="AM50" s="533"/>
      <c r="AN50" s="533"/>
      <c r="AO50" s="533"/>
      <c r="AP50" s="533"/>
      <c r="AQ50" s="533"/>
      <c r="AR50" s="533"/>
    </row>
    <row r="51" spans="1:44" ht="12.75" customHeight="1" x14ac:dyDescent="0.25">
      <c r="A51" s="476"/>
      <c r="B51" s="477">
        <v>0</v>
      </c>
      <c r="C51" s="478">
        <v>4</v>
      </c>
      <c r="D51" s="479" t="s">
        <v>86</v>
      </c>
      <c r="E51" s="575"/>
      <c r="F51" s="577"/>
      <c r="G51" s="480" t="s">
        <v>213</v>
      </c>
      <c r="H51" s="480" t="s">
        <v>88</v>
      </c>
      <c r="I51" s="480"/>
      <c r="J51" s="476"/>
      <c r="K51" s="480"/>
      <c r="L51" s="486"/>
      <c r="M51" s="486"/>
      <c r="N51" s="487">
        <v>3</v>
      </c>
      <c r="O51" s="476"/>
      <c r="P51" s="488">
        <v>779.99</v>
      </c>
      <c r="Q51" s="483">
        <f t="shared" si="5"/>
        <v>2339.9700000000003</v>
      </c>
      <c r="R51" s="28"/>
      <c r="S51" s="483">
        <v>2099.9699999999998</v>
      </c>
      <c r="T51" s="62" t="s">
        <v>1950</v>
      </c>
      <c r="U51" s="483">
        <f t="shared" si="6"/>
        <v>240.00000000000045</v>
      </c>
      <c r="V51" s="476" t="s">
        <v>214</v>
      </c>
      <c r="W51" s="476">
        <v>439138</v>
      </c>
      <c r="X51" s="22"/>
      <c r="Y51" s="22"/>
      <c r="Z51" s="481">
        <v>42859</v>
      </c>
      <c r="AA51" s="22"/>
      <c r="AB51" s="481">
        <v>42874</v>
      </c>
      <c r="AC51" s="481">
        <v>42871</v>
      </c>
      <c r="AD51" s="29"/>
      <c r="AE51" s="29"/>
      <c r="AF51" s="22" t="s">
        <v>188</v>
      </c>
      <c r="AG51" s="481" t="s">
        <v>101</v>
      </c>
      <c r="AH51" s="515">
        <f t="shared" si="4"/>
        <v>2099.9699999999998</v>
      </c>
      <c r="AI51" s="482"/>
      <c r="AJ51" s="533"/>
      <c r="AK51" s="533"/>
      <c r="AL51" s="533"/>
      <c r="AM51" s="533"/>
      <c r="AN51" s="533"/>
      <c r="AO51" s="533"/>
      <c r="AP51" s="533"/>
      <c r="AQ51" s="533"/>
      <c r="AR51" s="533"/>
    </row>
    <row r="52" spans="1:44" ht="12.75" customHeight="1" x14ac:dyDescent="0.25">
      <c r="A52" s="476"/>
      <c r="B52" s="477">
        <v>0</v>
      </c>
      <c r="C52" s="478">
        <v>4</v>
      </c>
      <c r="D52" s="479" t="s">
        <v>86</v>
      </c>
      <c r="E52" s="575"/>
      <c r="F52" s="577"/>
      <c r="G52" s="480" t="s">
        <v>215</v>
      </c>
      <c r="H52" s="480" t="s">
        <v>88</v>
      </c>
      <c r="I52" s="480"/>
      <c r="J52" s="476"/>
      <c r="K52" s="480"/>
      <c r="L52" s="486"/>
      <c r="M52" s="486"/>
      <c r="N52" s="487">
        <v>4</v>
      </c>
      <c r="O52" s="476"/>
      <c r="P52" s="488">
        <v>692.25</v>
      </c>
      <c r="Q52" s="483">
        <f t="shared" si="5"/>
        <v>2769</v>
      </c>
      <c r="R52" s="28"/>
      <c r="S52" s="483">
        <v>2474.64</v>
      </c>
      <c r="T52" s="62" t="s">
        <v>1950</v>
      </c>
      <c r="U52" s="483">
        <f t="shared" si="6"/>
        <v>294.36000000000013</v>
      </c>
      <c r="V52" s="476" t="s">
        <v>214</v>
      </c>
      <c r="W52" s="476">
        <v>439138</v>
      </c>
      <c r="X52" s="22"/>
      <c r="Y52" s="22"/>
      <c r="Z52" s="481">
        <v>42859</v>
      </c>
      <c r="AA52" s="22"/>
      <c r="AB52" s="481">
        <v>42874</v>
      </c>
      <c r="AC52" s="481">
        <v>42871</v>
      </c>
      <c r="AD52" s="29"/>
      <c r="AE52" s="29"/>
      <c r="AF52" s="22"/>
      <c r="AG52" s="481" t="s">
        <v>101</v>
      </c>
      <c r="AH52" s="515">
        <f t="shared" si="4"/>
        <v>2474.64</v>
      </c>
      <c r="AI52" s="482"/>
      <c r="AJ52" s="533"/>
      <c r="AK52" s="533"/>
      <c r="AL52" s="533"/>
      <c r="AM52" s="533"/>
      <c r="AN52" s="533"/>
      <c r="AO52" s="533"/>
      <c r="AP52" s="533"/>
      <c r="AQ52" s="533"/>
      <c r="AR52" s="533"/>
    </row>
    <row r="53" spans="1:44" ht="25.5" customHeight="1" x14ac:dyDescent="0.25">
      <c r="A53" s="476"/>
      <c r="B53" s="477">
        <v>0</v>
      </c>
      <c r="C53" s="478">
        <v>4</v>
      </c>
      <c r="D53" s="479" t="s">
        <v>86</v>
      </c>
      <c r="E53" s="575"/>
      <c r="F53" s="577"/>
      <c r="G53" s="480" t="s">
        <v>216</v>
      </c>
      <c r="H53" s="480" t="s">
        <v>146</v>
      </c>
      <c r="I53" s="480"/>
      <c r="J53" s="476"/>
      <c r="K53" s="480"/>
      <c r="L53" s="486"/>
      <c r="M53" s="486"/>
      <c r="N53" s="487">
        <v>1</v>
      </c>
      <c r="O53" s="476"/>
      <c r="P53" s="488">
        <v>7254</v>
      </c>
      <c r="Q53" s="483">
        <f t="shared" si="5"/>
        <v>7254</v>
      </c>
      <c r="R53" s="28"/>
      <c r="S53" s="483">
        <v>4152</v>
      </c>
      <c r="T53" s="62" t="s">
        <v>1950</v>
      </c>
      <c r="U53" s="483">
        <f t="shared" si="6"/>
        <v>3102</v>
      </c>
      <c r="V53" s="476" t="s">
        <v>217</v>
      </c>
      <c r="W53" s="476">
        <v>444258</v>
      </c>
      <c r="X53" s="22"/>
      <c r="Y53" s="22"/>
      <c r="Z53" s="481">
        <v>43052</v>
      </c>
      <c r="AA53" s="22"/>
      <c r="AB53" s="481">
        <v>43069</v>
      </c>
      <c r="AC53" s="481">
        <v>43077</v>
      </c>
      <c r="AD53" s="29"/>
      <c r="AE53" s="29"/>
      <c r="AF53" s="22"/>
      <c r="AG53" s="481" t="s">
        <v>101</v>
      </c>
      <c r="AH53" s="515">
        <f t="shared" si="4"/>
        <v>4152</v>
      </c>
      <c r="AI53" s="482"/>
      <c r="AJ53" s="533"/>
      <c r="AK53" s="533"/>
      <c r="AL53" s="533"/>
      <c r="AM53" s="533"/>
      <c r="AN53" s="533"/>
      <c r="AO53" s="533"/>
      <c r="AP53" s="533"/>
      <c r="AQ53" s="533"/>
      <c r="AR53" s="533"/>
    </row>
    <row r="54" spans="1:44" ht="12.75" customHeight="1" x14ac:dyDescent="0.25">
      <c r="A54" s="476"/>
      <c r="B54" s="477">
        <v>0</v>
      </c>
      <c r="C54" s="478">
        <v>4</v>
      </c>
      <c r="D54" s="479" t="s">
        <v>86</v>
      </c>
      <c r="E54" s="575"/>
      <c r="F54" s="577"/>
      <c r="G54" s="480" t="s">
        <v>218</v>
      </c>
      <c r="H54" s="480" t="s">
        <v>219</v>
      </c>
      <c r="I54" s="480"/>
      <c r="J54" s="476"/>
      <c r="K54" s="480"/>
      <c r="L54" s="486"/>
      <c r="M54" s="486"/>
      <c r="N54" s="487">
        <v>2</v>
      </c>
      <c r="O54" s="476"/>
      <c r="P54" s="488">
        <v>15000</v>
      </c>
      <c r="Q54" s="483">
        <f t="shared" si="5"/>
        <v>30000</v>
      </c>
      <c r="R54" s="28"/>
      <c r="S54" s="483">
        <v>30000</v>
      </c>
      <c r="T54" s="62" t="s">
        <v>1950</v>
      </c>
      <c r="U54" s="483">
        <f t="shared" si="6"/>
        <v>0</v>
      </c>
      <c r="V54" s="476" t="s">
        <v>220</v>
      </c>
      <c r="W54" s="476">
        <v>437164</v>
      </c>
      <c r="X54" s="22"/>
      <c r="Y54" s="22"/>
      <c r="Z54" s="481">
        <v>42804</v>
      </c>
      <c r="AA54" s="22"/>
      <c r="AB54" s="481">
        <v>42825</v>
      </c>
      <c r="AC54" s="481">
        <v>42843</v>
      </c>
      <c r="AD54" s="29"/>
      <c r="AE54" s="29"/>
      <c r="AF54" s="22" t="s">
        <v>221</v>
      </c>
      <c r="AG54" s="481" t="s">
        <v>101</v>
      </c>
      <c r="AH54" s="515">
        <f t="shared" si="4"/>
        <v>30000</v>
      </c>
      <c r="AI54" s="482"/>
      <c r="AJ54" s="533"/>
      <c r="AK54" s="533"/>
      <c r="AL54" s="533"/>
      <c r="AM54" s="533"/>
      <c r="AN54" s="533"/>
      <c r="AO54" s="533"/>
      <c r="AP54" s="533"/>
      <c r="AQ54" s="533"/>
      <c r="AR54" s="533"/>
    </row>
    <row r="55" spans="1:44" ht="25.5" customHeight="1" x14ac:dyDescent="0.25">
      <c r="A55" s="476"/>
      <c r="B55" s="477">
        <v>0</v>
      </c>
      <c r="C55" s="478">
        <v>4</v>
      </c>
      <c r="D55" s="479" t="s">
        <v>86</v>
      </c>
      <c r="E55" s="575"/>
      <c r="F55" s="577"/>
      <c r="G55" s="480" t="s">
        <v>222</v>
      </c>
      <c r="H55" s="480" t="s">
        <v>219</v>
      </c>
      <c r="I55" s="480"/>
      <c r="J55" s="476"/>
      <c r="K55" s="480"/>
      <c r="L55" s="486"/>
      <c r="M55" s="486"/>
      <c r="N55" s="487">
        <v>2</v>
      </c>
      <c r="O55" s="476"/>
      <c r="P55" s="488">
        <v>2250</v>
      </c>
      <c r="Q55" s="483">
        <f t="shared" si="5"/>
        <v>4500</v>
      </c>
      <c r="R55" s="28"/>
      <c r="S55" s="483">
        <v>4500</v>
      </c>
      <c r="T55" s="62" t="s">
        <v>1950</v>
      </c>
      <c r="U55" s="483">
        <f t="shared" si="6"/>
        <v>0</v>
      </c>
      <c r="V55" s="476" t="s">
        <v>220</v>
      </c>
      <c r="W55" s="476">
        <v>437164</v>
      </c>
      <c r="X55" s="22"/>
      <c r="Y55" s="22"/>
      <c r="Z55" s="481">
        <v>42804</v>
      </c>
      <c r="AA55" s="22"/>
      <c r="AB55" s="481">
        <v>42825</v>
      </c>
      <c r="AC55" s="481">
        <v>42843</v>
      </c>
      <c r="AD55" s="29"/>
      <c r="AE55" s="29"/>
      <c r="AF55" s="22" t="s">
        <v>221</v>
      </c>
      <c r="AG55" s="481" t="s">
        <v>101</v>
      </c>
      <c r="AH55" s="515">
        <f t="shared" si="4"/>
        <v>4500</v>
      </c>
      <c r="AI55" s="482"/>
      <c r="AJ55" s="533"/>
      <c r="AK55" s="533"/>
      <c r="AL55" s="533"/>
      <c r="AM55" s="533"/>
      <c r="AN55" s="533"/>
      <c r="AO55" s="533"/>
      <c r="AP55" s="533"/>
      <c r="AQ55" s="533"/>
      <c r="AR55" s="533"/>
    </row>
    <row r="56" spans="1:44" ht="38.25" customHeight="1" x14ac:dyDescent="0.25">
      <c r="A56" s="476"/>
      <c r="B56" s="477">
        <v>0</v>
      </c>
      <c r="C56" s="478">
        <v>4</v>
      </c>
      <c r="D56" s="479" t="s">
        <v>86</v>
      </c>
      <c r="E56" s="575"/>
      <c r="F56" s="577"/>
      <c r="G56" s="480" t="s">
        <v>223</v>
      </c>
      <c r="H56" s="480" t="s">
        <v>219</v>
      </c>
      <c r="I56" s="480"/>
      <c r="J56" s="476"/>
      <c r="K56" s="480"/>
      <c r="L56" s="486"/>
      <c r="M56" s="486"/>
      <c r="N56" s="487">
        <v>2</v>
      </c>
      <c r="O56" s="476"/>
      <c r="P56" s="488">
        <v>2250</v>
      </c>
      <c r="Q56" s="483">
        <f t="shared" si="5"/>
        <v>4500</v>
      </c>
      <c r="R56" s="28"/>
      <c r="S56" s="483">
        <v>4500</v>
      </c>
      <c r="T56" s="62" t="s">
        <v>1950</v>
      </c>
      <c r="U56" s="483">
        <f t="shared" si="6"/>
        <v>0</v>
      </c>
      <c r="V56" s="476" t="s">
        <v>220</v>
      </c>
      <c r="W56" s="476">
        <v>437164</v>
      </c>
      <c r="X56" s="22"/>
      <c r="Y56" s="22"/>
      <c r="Z56" s="481">
        <v>42804</v>
      </c>
      <c r="AA56" s="22"/>
      <c r="AB56" s="481">
        <v>42825</v>
      </c>
      <c r="AC56" s="481">
        <v>42843</v>
      </c>
      <c r="AD56" s="29"/>
      <c r="AE56" s="29"/>
      <c r="AF56" s="22" t="s">
        <v>221</v>
      </c>
      <c r="AG56" s="481" t="s">
        <v>101</v>
      </c>
      <c r="AH56" s="515">
        <f t="shared" si="4"/>
        <v>4500</v>
      </c>
      <c r="AI56" s="482"/>
      <c r="AJ56" s="533"/>
      <c r="AK56" s="533"/>
      <c r="AL56" s="533"/>
      <c r="AM56" s="533"/>
      <c r="AN56" s="533"/>
      <c r="AO56" s="533"/>
      <c r="AP56" s="533"/>
      <c r="AQ56" s="533"/>
      <c r="AR56" s="533"/>
    </row>
    <row r="57" spans="1:44" ht="25.5" customHeight="1" x14ac:dyDescent="0.25">
      <c r="A57" s="476"/>
      <c r="B57" s="477">
        <v>0</v>
      </c>
      <c r="C57" s="478">
        <v>4</v>
      </c>
      <c r="D57" s="479" t="s">
        <v>86</v>
      </c>
      <c r="E57" s="575"/>
      <c r="F57" s="577"/>
      <c r="G57" s="480" t="s">
        <v>224</v>
      </c>
      <c r="H57" s="480" t="s">
        <v>219</v>
      </c>
      <c r="I57" s="480"/>
      <c r="J57" s="476"/>
      <c r="K57" s="480"/>
      <c r="L57" s="486"/>
      <c r="M57" s="486"/>
      <c r="N57" s="487">
        <v>1</v>
      </c>
      <c r="O57" s="476"/>
      <c r="P57" s="488">
        <v>15417</v>
      </c>
      <c r="Q57" s="483">
        <f t="shared" si="5"/>
        <v>15417</v>
      </c>
      <c r="R57" s="28"/>
      <c r="S57" s="483">
        <v>15417</v>
      </c>
      <c r="T57" s="62" t="s">
        <v>1950</v>
      </c>
      <c r="U57" s="483">
        <f t="shared" si="6"/>
        <v>0</v>
      </c>
      <c r="V57" s="476" t="s">
        <v>220</v>
      </c>
      <c r="W57" s="476">
        <v>437164</v>
      </c>
      <c r="X57" s="22"/>
      <c r="Y57" s="22"/>
      <c r="Z57" s="481">
        <v>42804</v>
      </c>
      <c r="AA57" s="22"/>
      <c r="AB57" s="481">
        <v>42825</v>
      </c>
      <c r="AC57" s="481">
        <v>42843</v>
      </c>
      <c r="AD57" s="29"/>
      <c r="AE57" s="29"/>
      <c r="AF57" s="22" t="s">
        <v>221</v>
      </c>
      <c r="AG57" s="481" t="s">
        <v>101</v>
      </c>
      <c r="AH57" s="515">
        <f t="shared" si="4"/>
        <v>15417</v>
      </c>
      <c r="AI57" s="482"/>
      <c r="AJ57" s="533"/>
      <c r="AK57" s="533"/>
      <c r="AL57" s="533"/>
      <c r="AM57" s="533"/>
      <c r="AN57" s="533"/>
      <c r="AO57" s="533"/>
      <c r="AP57" s="533"/>
      <c r="AQ57" s="533"/>
      <c r="AR57" s="533"/>
    </row>
    <row r="58" spans="1:44" ht="114.75" customHeight="1" x14ac:dyDescent="0.25">
      <c r="A58" s="476"/>
      <c r="B58" s="477">
        <v>0</v>
      </c>
      <c r="C58" s="478">
        <v>4</v>
      </c>
      <c r="D58" s="479" t="s">
        <v>86</v>
      </c>
      <c r="E58" s="575"/>
      <c r="F58" s="577"/>
      <c r="G58" s="480" t="s">
        <v>225</v>
      </c>
      <c r="H58" s="480" t="s">
        <v>219</v>
      </c>
      <c r="I58" s="480"/>
      <c r="J58" s="476"/>
      <c r="K58" s="480"/>
      <c r="L58" s="486"/>
      <c r="M58" s="486"/>
      <c r="N58" s="487">
        <v>2</v>
      </c>
      <c r="O58" s="476"/>
      <c r="P58" s="488">
        <v>11335.01</v>
      </c>
      <c r="Q58" s="483">
        <f t="shared" si="5"/>
        <v>22670.02</v>
      </c>
      <c r="R58" s="28"/>
      <c r="S58" s="483">
        <f>15417+100</f>
        <v>15517</v>
      </c>
      <c r="T58" s="62" t="s">
        <v>1950</v>
      </c>
      <c r="U58" s="483">
        <f t="shared" si="6"/>
        <v>7153.02</v>
      </c>
      <c r="V58" s="476" t="s">
        <v>220</v>
      </c>
      <c r="W58" s="476">
        <v>437164</v>
      </c>
      <c r="X58" s="22"/>
      <c r="Y58" s="22"/>
      <c r="Z58" s="481">
        <v>42804</v>
      </c>
      <c r="AA58" s="22"/>
      <c r="AB58" s="481">
        <v>42825</v>
      </c>
      <c r="AC58" s="481">
        <v>42843</v>
      </c>
      <c r="AD58" s="29"/>
      <c r="AE58" s="29"/>
      <c r="AF58" s="22" t="s">
        <v>221</v>
      </c>
      <c r="AG58" s="481" t="s">
        <v>101</v>
      </c>
      <c r="AH58" s="515">
        <f t="shared" si="4"/>
        <v>15517</v>
      </c>
      <c r="AI58" s="482"/>
      <c r="AJ58" s="533"/>
      <c r="AK58" s="533"/>
      <c r="AL58" s="533"/>
      <c r="AM58" s="533"/>
      <c r="AN58" s="533"/>
      <c r="AO58" s="533"/>
      <c r="AP58" s="533"/>
      <c r="AQ58" s="533"/>
      <c r="AR58" s="533"/>
    </row>
    <row r="59" spans="1:44" ht="12.75" customHeight="1" x14ac:dyDescent="0.25">
      <c r="A59" s="476"/>
      <c r="B59" s="477">
        <v>0</v>
      </c>
      <c r="C59" s="478">
        <v>4</v>
      </c>
      <c r="D59" s="479" t="s">
        <v>86</v>
      </c>
      <c r="E59" s="575"/>
      <c r="F59" s="577"/>
      <c r="G59" s="480" t="s">
        <v>226</v>
      </c>
      <c r="H59" s="480" t="s">
        <v>227</v>
      </c>
      <c r="I59" s="480"/>
      <c r="J59" s="476"/>
      <c r="K59" s="480"/>
      <c r="L59" s="486"/>
      <c r="M59" s="486"/>
      <c r="N59" s="487">
        <v>2</v>
      </c>
      <c r="O59" s="476"/>
      <c r="P59" s="488">
        <v>7370</v>
      </c>
      <c r="Q59" s="483">
        <f t="shared" si="5"/>
        <v>14740</v>
      </c>
      <c r="R59" s="28"/>
      <c r="S59" s="483">
        <v>14740</v>
      </c>
      <c r="T59" s="62" t="s">
        <v>1950</v>
      </c>
      <c r="U59" s="527">
        <f t="shared" si="6"/>
        <v>0</v>
      </c>
      <c r="V59" s="476" t="s">
        <v>228</v>
      </c>
      <c r="W59" s="476">
        <v>444111</v>
      </c>
      <c r="X59" s="22"/>
      <c r="Y59" s="22"/>
      <c r="Z59" s="481">
        <v>43054</v>
      </c>
      <c r="AA59" s="22"/>
      <c r="AB59" s="481">
        <v>43069</v>
      </c>
      <c r="AC59" s="481">
        <v>43069</v>
      </c>
      <c r="AD59" s="29"/>
      <c r="AE59" s="29"/>
      <c r="AF59" s="22" t="s">
        <v>221</v>
      </c>
      <c r="AG59" s="481" t="s">
        <v>101</v>
      </c>
      <c r="AH59" s="515">
        <f t="shared" si="4"/>
        <v>14740</v>
      </c>
      <c r="AI59" s="482"/>
      <c r="AJ59" s="533"/>
      <c r="AK59" s="533"/>
      <c r="AL59" s="533"/>
      <c r="AM59" s="533"/>
      <c r="AN59" s="533"/>
      <c r="AO59" s="533"/>
      <c r="AP59" s="533"/>
      <c r="AQ59" s="533"/>
      <c r="AR59" s="533"/>
    </row>
    <row r="60" spans="1:44" ht="12.75" customHeight="1" x14ac:dyDescent="0.25">
      <c r="A60" s="476"/>
      <c r="B60" s="477">
        <v>0</v>
      </c>
      <c r="C60" s="478">
        <v>4</v>
      </c>
      <c r="D60" s="479" t="s">
        <v>86</v>
      </c>
      <c r="E60" s="575"/>
      <c r="F60" s="577"/>
      <c r="G60" s="480" t="s">
        <v>229</v>
      </c>
      <c r="H60" s="480" t="s">
        <v>227</v>
      </c>
      <c r="I60" s="480"/>
      <c r="J60" s="476"/>
      <c r="K60" s="480"/>
      <c r="L60" s="486"/>
      <c r="M60" s="486"/>
      <c r="N60" s="487">
        <v>2</v>
      </c>
      <c r="O60" s="476"/>
      <c r="P60" s="488">
        <v>5400</v>
      </c>
      <c r="Q60" s="483">
        <f t="shared" si="5"/>
        <v>10800</v>
      </c>
      <c r="R60" s="28"/>
      <c r="S60" s="483">
        <v>10800</v>
      </c>
      <c r="T60" s="62" t="s">
        <v>1950</v>
      </c>
      <c r="U60" s="527">
        <f t="shared" si="6"/>
        <v>0</v>
      </c>
      <c r="V60" s="476" t="s">
        <v>228</v>
      </c>
      <c r="W60" s="476">
        <v>444111</v>
      </c>
      <c r="X60" s="22"/>
      <c r="Y60" s="22"/>
      <c r="Z60" s="481">
        <v>43054</v>
      </c>
      <c r="AA60" s="22"/>
      <c r="AB60" s="481">
        <v>43069</v>
      </c>
      <c r="AC60" s="481">
        <v>43069</v>
      </c>
      <c r="AD60" s="29"/>
      <c r="AE60" s="29"/>
      <c r="AF60" s="22" t="s">
        <v>221</v>
      </c>
      <c r="AG60" s="481" t="s">
        <v>101</v>
      </c>
      <c r="AH60" s="515">
        <f t="shared" si="4"/>
        <v>10800</v>
      </c>
      <c r="AI60" s="482"/>
      <c r="AJ60" s="533"/>
      <c r="AK60" s="533"/>
      <c r="AL60" s="533"/>
      <c r="AM60" s="533"/>
      <c r="AN60" s="533"/>
      <c r="AO60" s="533"/>
      <c r="AP60" s="533"/>
      <c r="AQ60" s="533"/>
      <c r="AR60" s="533"/>
    </row>
    <row r="61" spans="1:44" ht="63.75" customHeight="1" x14ac:dyDescent="0.25">
      <c r="A61" s="476"/>
      <c r="B61" s="477">
        <v>0</v>
      </c>
      <c r="C61" s="478">
        <v>4</v>
      </c>
      <c r="D61" s="479" t="s">
        <v>86</v>
      </c>
      <c r="E61" s="575"/>
      <c r="F61" s="577"/>
      <c r="G61" s="480" t="s">
        <v>230</v>
      </c>
      <c r="H61" s="480"/>
      <c r="I61" s="480"/>
      <c r="J61" s="476"/>
      <c r="K61" s="480"/>
      <c r="L61" s="486" t="s">
        <v>231</v>
      </c>
      <c r="M61" s="486"/>
      <c r="N61" s="487">
        <v>5</v>
      </c>
      <c r="O61" s="476"/>
      <c r="P61" s="488">
        <v>3.64</v>
      </c>
      <c r="Q61" s="483">
        <f t="shared" si="5"/>
        <v>18.2</v>
      </c>
      <c r="R61" s="28"/>
      <c r="S61" s="483">
        <v>99.9</v>
      </c>
      <c r="T61" s="62" t="s">
        <v>1950</v>
      </c>
      <c r="U61" s="496">
        <f t="shared" si="6"/>
        <v>-81.7</v>
      </c>
      <c r="V61" s="476" t="s">
        <v>232</v>
      </c>
      <c r="W61" s="476" t="s">
        <v>233</v>
      </c>
      <c r="X61" s="22"/>
      <c r="Y61" s="22"/>
      <c r="Z61" s="481">
        <v>42846</v>
      </c>
      <c r="AA61" s="22"/>
      <c r="AB61" s="481">
        <v>42857</v>
      </c>
      <c r="AC61" s="481">
        <v>42857</v>
      </c>
      <c r="AD61" s="29"/>
      <c r="AE61" s="29"/>
      <c r="AF61" s="22"/>
      <c r="AG61" s="481" t="s">
        <v>101</v>
      </c>
      <c r="AH61" s="515">
        <f t="shared" si="4"/>
        <v>99.9</v>
      </c>
      <c r="AI61" s="482"/>
      <c r="AJ61" s="533"/>
      <c r="AK61" s="533"/>
      <c r="AL61" s="533"/>
      <c r="AM61" s="533"/>
      <c r="AN61" s="533"/>
      <c r="AO61" s="533"/>
      <c r="AP61" s="533"/>
      <c r="AQ61" s="533"/>
      <c r="AR61" s="533"/>
    </row>
    <row r="62" spans="1:44" ht="13.5" customHeight="1" x14ac:dyDescent="0.25">
      <c r="A62" s="22"/>
      <c r="B62" s="351">
        <v>0</v>
      </c>
      <c r="C62" s="225">
        <v>3</v>
      </c>
      <c r="D62" s="382" t="s">
        <v>86</v>
      </c>
      <c r="E62" s="65"/>
      <c r="F62" s="23"/>
      <c r="G62" s="306" t="s">
        <v>234</v>
      </c>
      <c r="H62" s="306"/>
      <c r="I62" s="306"/>
      <c r="J62" s="22"/>
      <c r="K62" s="307"/>
      <c r="L62" s="25"/>
      <c r="M62" s="25"/>
      <c r="N62" s="320">
        <v>1</v>
      </c>
      <c r="O62" s="22"/>
      <c r="P62" s="321">
        <v>15765.96399999992</v>
      </c>
      <c r="Q62" s="28">
        <f t="shared" si="5"/>
        <v>15765.96399999992</v>
      </c>
      <c r="R62" s="28"/>
      <c r="S62" s="28"/>
      <c r="T62" s="62" t="s">
        <v>1950</v>
      </c>
      <c r="U62" s="28"/>
      <c r="V62" s="31"/>
      <c r="W62" s="31"/>
      <c r="X62" s="22"/>
      <c r="Y62" s="22"/>
      <c r="Z62" s="29"/>
      <c r="AA62" s="22"/>
      <c r="AB62" s="30"/>
      <c r="AC62" s="29"/>
      <c r="AD62" s="29"/>
      <c r="AE62" s="29"/>
      <c r="AF62" s="22"/>
      <c r="AG62" s="29"/>
      <c r="AH62" s="516"/>
      <c r="AI62" s="144"/>
      <c r="AJ62" s="143"/>
      <c r="AK62" s="143"/>
      <c r="AL62" s="143"/>
      <c r="AM62" s="143"/>
      <c r="AN62" s="143"/>
      <c r="AO62" s="143"/>
      <c r="AP62" s="143"/>
      <c r="AQ62" s="143"/>
      <c r="AR62" s="143"/>
    </row>
    <row r="63" spans="1:44" ht="13.5" customHeight="1" x14ac:dyDescent="0.25">
      <c r="A63" s="22"/>
      <c r="B63" s="351">
        <v>0</v>
      </c>
      <c r="C63" s="225">
        <v>3</v>
      </c>
      <c r="D63" s="382" t="s">
        <v>86</v>
      </c>
      <c r="E63" s="65"/>
      <c r="F63" s="23"/>
      <c r="G63" s="306" t="s">
        <v>235</v>
      </c>
      <c r="H63" s="306"/>
      <c r="I63" s="306"/>
      <c r="J63" s="22"/>
      <c r="K63" s="307"/>
      <c r="L63" s="25"/>
      <c r="M63" s="25"/>
      <c r="N63" s="320">
        <v>1</v>
      </c>
      <c r="O63" s="22"/>
      <c r="P63" s="321">
        <v>212250</v>
      </c>
      <c r="Q63" s="28">
        <f t="shared" si="5"/>
        <v>212250</v>
      </c>
      <c r="R63" s="28"/>
      <c r="S63" s="28"/>
      <c r="T63" s="62" t="s">
        <v>1950</v>
      </c>
      <c r="U63" s="28"/>
      <c r="V63" s="31"/>
      <c r="W63" s="31"/>
      <c r="X63" s="22"/>
      <c r="Y63" s="22"/>
      <c r="Z63" s="29"/>
      <c r="AA63" s="22"/>
      <c r="AB63" s="30"/>
      <c r="AC63" s="29"/>
      <c r="AD63" s="29"/>
      <c r="AE63" s="29"/>
      <c r="AF63" s="22"/>
      <c r="AG63" s="29"/>
      <c r="AH63" s="516"/>
      <c r="AI63" s="144"/>
      <c r="AJ63" s="143"/>
      <c r="AK63" s="143"/>
      <c r="AL63" s="143"/>
      <c r="AM63" s="143"/>
      <c r="AN63" s="143"/>
      <c r="AO63" s="143"/>
      <c r="AP63" s="143"/>
      <c r="AQ63" s="143"/>
      <c r="AR63" s="143"/>
    </row>
    <row r="64" spans="1:44" ht="13.5" customHeight="1" x14ac:dyDescent="0.25">
      <c r="A64" s="22"/>
      <c r="B64" s="351">
        <v>0</v>
      </c>
      <c r="C64" s="225">
        <v>3</v>
      </c>
      <c r="D64" s="382" t="s">
        <v>86</v>
      </c>
      <c r="E64" s="65"/>
      <c r="F64" s="23"/>
      <c r="G64" s="306" t="s">
        <v>236</v>
      </c>
      <c r="H64" s="306"/>
      <c r="I64" s="306"/>
      <c r="J64" s="22"/>
      <c r="K64" s="307"/>
      <c r="L64" s="25"/>
      <c r="M64" s="25"/>
      <c r="N64" s="320">
        <v>1</v>
      </c>
      <c r="O64" s="22"/>
      <c r="P64" s="321">
        <v>27710</v>
      </c>
      <c r="Q64" s="28">
        <f t="shared" si="5"/>
        <v>27710</v>
      </c>
      <c r="R64" s="28"/>
      <c r="S64" s="28"/>
      <c r="T64" s="62" t="s">
        <v>1950</v>
      </c>
      <c r="U64" s="28"/>
      <c r="V64" s="31"/>
      <c r="W64" s="31"/>
      <c r="X64" s="22"/>
      <c r="Y64" s="22"/>
      <c r="Z64" s="29"/>
      <c r="AA64" s="22"/>
      <c r="AB64" s="30"/>
      <c r="AC64" s="29"/>
      <c r="AD64" s="29"/>
      <c r="AE64" s="29"/>
      <c r="AF64" s="22"/>
      <c r="AG64" s="29"/>
      <c r="AH64" s="516"/>
      <c r="AI64" s="144"/>
      <c r="AJ64" s="143"/>
      <c r="AK64" s="143"/>
      <c r="AL64" s="143"/>
      <c r="AM64" s="143"/>
      <c r="AN64" s="143"/>
      <c r="AO64" s="143"/>
      <c r="AP64" s="143"/>
      <c r="AQ64" s="143"/>
      <c r="AR64" s="143"/>
    </row>
    <row r="65" spans="1:44" s="635" customFormat="1" ht="13.5" customHeight="1" x14ac:dyDescent="0.25">
      <c r="A65" s="87"/>
      <c r="B65" s="624">
        <v>0</v>
      </c>
      <c r="C65" s="625">
        <v>3</v>
      </c>
      <c r="D65" s="626" t="s">
        <v>86</v>
      </c>
      <c r="E65" s="627"/>
      <c r="F65" s="628"/>
      <c r="G65" s="629" t="s">
        <v>237</v>
      </c>
      <c r="H65" s="629" t="s">
        <v>238</v>
      </c>
      <c r="I65" s="629"/>
      <c r="J65" s="87"/>
      <c r="K65" s="630"/>
      <c r="L65" s="631"/>
      <c r="M65" s="631"/>
      <c r="N65" s="632">
        <v>1</v>
      </c>
      <c r="O65" s="87"/>
      <c r="P65" s="633">
        <v>487500</v>
      </c>
      <c r="Q65" s="634">
        <f t="shared" si="5"/>
        <v>487500</v>
      </c>
      <c r="R65" s="634"/>
      <c r="S65" s="634">
        <f>94646.75+37858.7+94646.75+19862</f>
        <v>247014.2</v>
      </c>
      <c r="T65" s="62" t="s">
        <v>1950</v>
      </c>
      <c r="U65" s="634">
        <f>S65-Q65</f>
        <v>-240485.8</v>
      </c>
      <c r="V65" s="87" t="s">
        <v>239</v>
      </c>
      <c r="W65" s="635" t="s">
        <v>240</v>
      </c>
      <c r="X65" s="87"/>
      <c r="Y65" s="87"/>
      <c r="Z65" s="636"/>
      <c r="AA65" s="87"/>
      <c r="AB65" s="637"/>
      <c r="AC65" s="636"/>
      <c r="AD65" s="636"/>
      <c r="AE65" s="636"/>
      <c r="AF65" s="87"/>
      <c r="AG65" s="636" t="s">
        <v>98</v>
      </c>
      <c r="AH65" s="638">
        <f>S65+153252.8</f>
        <v>400267</v>
      </c>
      <c r="AI65" s="639"/>
      <c r="AJ65" s="640"/>
      <c r="AK65" s="640"/>
      <c r="AL65" s="641"/>
      <c r="AM65" s="634"/>
      <c r="AN65" s="640"/>
      <c r="AO65" s="640"/>
      <c r="AP65" s="640"/>
      <c r="AQ65" s="640"/>
      <c r="AR65" s="640"/>
    </row>
    <row r="66" spans="1:44" ht="13.5" customHeight="1" x14ac:dyDescent="0.25">
      <c r="A66" s="22"/>
      <c r="B66" s="351">
        <v>0</v>
      </c>
      <c r="C66" s="225">
        <v>3</v>
      </c>
      <c r="D66" s="382" t="s">
        <v>86</v>
      </c>
      <c r="E66" s="65"/>
      <c r="F66" s="23"/>
      <c r="G66" s="306" t="s">
        <v>235</v>
      </c>
      <c r="H66" s="306"/>
      <c r="I66" s="306"/>
      <c r="J66" s="22"/>
      <c r="K66" s="307"/>
      <c r="L66" s="25"/>
      <c r="M66" s="25"/>
      <c r="N66" s="320">
        <v>1</v>
      </c>
      <c r="O66" s="22"/>
      <c r="P66" s="321">
        <v>24562.5</v>
      </c>
      <c r="Q66" s="28">
        <f t="shared" si="5"/>
        <v>24562.5</v>
      </c>
      <c r="R66" s="28"/>
      <c r="S66" s="28"/>
      <c r="T66" s="62" t="s">
        <v>1950</v>
      </c>
      <c r="U66" s="28"/>
      <c r="V66" s="31"/>
      <c r="W66" s="31"/>
      <c r="X66" s="22"/>
      <c r="Y66" s="22"/>
      <c r="Z66" s="29"/>
      <c r="AA66" s="22"/>
      <c r="AB66" s="30"/>
      <c r="AC66" s="29"/>
      <c r="AD66" s="29"/>
      <c r="AE66" s="29"/>
      <c r="AF66" s="22"/>
      <c r="AG66" s="29"/>
      <c r="AH66" s="516"/>
      <c r="AI66" s="144"/>
      <c r="AJ66" s="143"/>
      <c r="AK66" s="143"/>
      <c r="AL66" s="143"/>
      <c r="AM66" s="143"/>
      <c r="AN66" s="143"/>
      <c r="AO66" s="143"/>
      <c r="AP66" s="143"/>
      <c r="AQ66" s="143"/>
      <c r="AR66" s="143"/>
    </row>
    <row r="67" spans="1:44" ht="13.5" customHeight="1" x14ac:dyDescent="0.25">
      <c r="A67" s="22"/>
      <c r="B67" s="351">
        <v>0</v>
      </c>
      <c r="C67" s="225">
        <v>3</v>
      </c>
      <c r="D67" s="382" t="s">
        <v>86</v>
      </c>
      <c r="E67" s="65"/>
      <c r="F67" s="23"/>
      <c r="G67" s="306" t="s">
        <v>241</v>
      </c>
      <c r="H67" s="306"/>
      <c r="I67" s="306"/>
      <c r="J67" s="22"/>
      <c r="K67" s="307"/>
      <c r="L67" s="25"/>
      <c r="M67" s="25"/>
      <c r="N67" s="320">
        <v>1</v>
      </c>
      <c r="O67" s="22"/>
      <c r="P67" s="321">
        <v>33043.753999999957</v>
      </c>
      <c r="Q67" s="28">
        <f t="shared" si="5"/>
        <v>33043.753999999957</v>
      </c>
      <c r="R67" s="28"/>
      <c r="S67" s="28"/>
      <c r="T67" s="62" t="s">
        <v>1950</v>
      </c>
      <c r="U67" s="28"/>
      <c r="V67" s="31"/>
      <c r="W67" s="31"/>
      <c r="X67" s="22"/>
      <c r="Y67" s="22"/>
      <c r="Z67" s="29"/>
      <c r="AA67" s="22"/>
      <c r="AB67" s="30"/>
      <c r="AC67" s="29"/>
      <c r="AD67" s="29"/>
      <c r="AE67" s="29"/>
      <c r="AF67" s="22"/>
      <c r="AG67" s="29"/>
      <c r="AH67" s="516"/>
      <c r="AI67" s="144"/>
      <c r="AJ67" s="143"/>
      <c r="AK67" s="143"/>
      <c r="AL67" s="143"/>
      <c r="AM67" s="143"/>
      <c r="AN67" s="143"/>
      <c r="AO67" s="143"/>
      <c r="AP67" s="143"/>
      <c r="AQ67" s="143"/>
      <c r="AR67" s="143"/>
    </row>
    <row r="68" spans="1:44" ht="25.5" customHeight="1" x14ac:dyDescent="0.25">
      <c r="A68" s="476"/>
      <c r="B68" s="485">
        <v>0</v>
      </c>
      <c r="C68" s="478">
        <v>3</v>
      </c>
      <c r="D68" s="479" t="s">
        <v>86</v>
      </c>
      <c r="E68" s="575"/>
      <c r="F68" s="577"/>
      <c r="G68" s="480" t="s">
        <v>242</v>
      </c>
      <c r="H68" s="480" t="s">
        <v>243</v>
      </c>
      <c r="I68" s="480"/>
      <c r="J68" s="476"/>
      <c r="K68" s="480" t="s">
        <v>244</v>
      </c>
      <c r="L68" s="486" t="s">
        <v>245</v>
      </c>
      <c r="M68" s="486"/>
      <c r="N68" s="528">
        <v>3000</v>
      </c>
      <c r="O68" s="476"/>
      <c r="P68" s="488">
        <v>3.6</v>
      </c>
      <c r="Q68" s="483">
        <f t="shared" si="5"/>
        <v>10800</v>
      </c>
      <c r="R68" s="28"/>
      <c r="S68" s="483">
        <v>9205</v>
      </c>
      <c r="T68" s="62" t="s">
        <v>1950</v>
      </c>
      <c r="U68" s="483">
        <f t="shared" ref="U68:U99" si="7">Q68-S68</f>
        <v>1595</v>
      </c>
      <c r="V68" s="476" t="s">
        <v>246</v>
      </c>
      <c r="W68" s="476">
        <v>443278</v>
      </c>
      <c r="X68" s="22"/>
      <c r="Y68" s="22"/>
      <c r="Z68" s="481">
        <v>43019</v>
      </c>
      <c r="AA68" s="29"/>
      <c r="AB68" s="481">
        <v>43028</v>
      </c>
      <c r="AC68" s="481"/>
      <c r="AD68" s="29"/>
      <c r="AE68" s="29"/>
      <c r="AF68" s="22"/>
      <c r="AG68" s="481" t="s">
        <v>101</v>
      </c>
      <c r="AH68" s="515">
        <f>S68</f>
        <v>9205</v>
      </c>
      <c r="AI68" s="482"/>
      <c r="AJ68" s="533"/>
      <c r="AK68" s="533"/>
      <c r="AL68" s="533"/>
      <c r="AM68" s="533"/>
      <c r="AN68" s="533"/>
      <c r="AO68" s="533"/>
      <c r="AP68" s="533"/>
      <c r="AQ68" s="533"/>
      <c r="AR68" s="533"/>
    </row>
    <row r="69" spans="1:44" ht="38.25" customHeight="1" x14ac:dyDescent="0.25">
      <c r="A69" s="22"/>
      <c r="B69" s="352">
        <v>0</v>
      </c>
      <c r="C69" s="80">
        <v>3</v>
      </c>
      <c r="D69" s="382" t="s">
        <v>86</v>
      </c>
      <c r="E69" s="65" t="s">
        <v>247</v>
      </c>
      <c r="F69" s="22" t="s">
        <v>91</v>
      </c>
      <c r="G69" s="42" t="s">
        <v>248</v>
      </c>
      <c r="H69" s="42" t="s">
        <v>249</v>
      </c>
      <c r="I69" s="446"/>
      <c r="J69" s="32" t="s">
        <v>250</v>
      </c>
      <c r="K69" s="42" t="s">
        <v>251</v>
      </c>
      <c r="L69" s="25"/>
      <c r="M69" s="25"/>
      <c r="N69" s="50">
        <v>4</v>
      </c>
      <c r="O69" s="22"/>
      <c r="P69" s="81">
        <v>1060</v>
      </c>
      <c r="Q69" s="28">
        <f t="shared" si="5"/>
        <v>4240</v>
      </c>
      <c r="R69" s="28"/>
      <c r="S69" s="28">
        <v>5533.32</v>
      </c>
      <c r="T69" s="62" t="s">
        <v>1950</v>
      </c>
      <c r="U69" s="28">
        <f t="shared" si="7"/>
        <v>-1293.3199999999997</v>
      </c>
      <c r="V69" s="22" t="s">
        <v>252</v>
      </c>
      <c r="W69" s="22">
        <v>444174</v>
      </c>
      <c r="X69" s="22"/>
      <c r="Y69" s="22"/>
      <c r="Z69" s="29">
        <v>43047</v>
      </c>
      <c r="AA69" s="29"/>
      <c r="AB69" s="29">
        <v>43112</v>
      </c>
      <c r="AC69" s="29"/>
      <c r="AD69" s="29" t="s">
        <v>253</v>
      </c>
      <c r="AE69" s="29"/>
      <c r="AF69" s="22"/>
      <c r="AG69" s="29" t="s">
        <v>98</v>
      </c>
      <c r="AH69" s="516">
        <v>19273.32</v>
      </c>
      <c r="AI69" s="144"/>
      <c r="AJ69" s="143"/>
      <c r="AK69" s="143"/>
      <c r="AL69" s="143"/>
      <c r="AM69" s="143"/>
      <c r="AN69" s="143"/>
      <c r="AO69" s="143"/>
      <c r="AP69" s="143"/>
      <c r="AQ69" s="143"/>
      <c r="AR69" s="143"/>
    </row>
    <row r="70" spans="1:44" ht="38.25" customHeight="1" x14ac:dyDescent="0.25">
      <c r="A70" s="22"/>
      <c r="B70" s="352">
        <v>0</v>
      </c>
      <c r="C70" s="80">
        <v>3</v>
      </c>
      <c r="D70" s="382" t="s">
        <v>86</v>
      </c>
      <c r="E70" s="65" t="s">
        <v>254</v>
      </c>
      <c r="F70" s="23" t="s">
        <v>91</v>
      </c>
      <c r="G70" s="42" t="s">
        <v>255</v>
      </c>
      <c r="H70" s="42" t="s">
        <v>249</v>
      </c>
      <c r="I70" s="42"/>
      <c r="J70" s="22" t="s">
        <v>256</v>
      </c>
      <c r="K70" s="42" t="s">
        <v>257</v>
      </c>
      <c r="L70" s="22"/>
      <c r="M70" s="22"/>
      <c r="N70" s="50">
        <v>2</v>
      </c>
      <c r="O70" s="22"/>
      <c r="P70" s="81">
        <v>1826</v>
      </c>
      <c r="Q70" s="28">
        <f t="shared" si="5"/>
        <v>3652</v>
      </c>
      <c r="R70" s="28"/>
      <c r="S70" s="28">
        <v>3780</v>
      </c>
      <c r="T70" s="62" t="s">
        <v>1950</v>
      </c>
      <c r="U70" s="28">
        <f t="shared" si="7"/>
        <v>-128</v>
      </c>
      <c r="V70" s="22" t="s">
        <v>252</v>
      </c>
      <c r="W70" s="22">
        <v>444174</v>
      </c>
      <c r="X70" s="22"/>
      <c r="Y70" s="22"/>
      <c r="Z70" s="29">
        <v>43047</v>
      </c>
      <c r="AA70" s="29"/>
      <c r="AB70" s="29">
        <v>43112</v>
      </c>
      <c r="AC70" s="29"/>
      <c r="AD70" s="29" t="s">
        <v>253</v>
      </c>
      <c r="AE70" s="29"/>
      <c r="AF70" s="22"/>
      <c r="AG70" s="29" t="s">
        <v>98</v>
      </c>
      <c r="AH70" s="516">
        <v>12417.82</v>
      </c>
      <c r="AI70" s="144"/>
      <c r="AJ70" s="143"/>
      <c r="AK70" s="143"/>
      <c r="AL70" s="143"/>
      <c r="AM70" s="143"/>
      <c r="AN70" s="143"/>
      <c r="AO70" s="143"/>
      <c r="AP70" s="143"/>
      <c r="AQ70" s="143"/>
      <c r="AR70" s="143"/>
    </row>
    <row r="71" spans="1:44" ht="38.25" customHeight="1" x14ac:dyDescent="0.25">
      <c r="A71" s="22"/>
      <c r="B71" s="352">
        <v>0</v>
      </c>
      <c r="C71" s="80">
        <v>3</v>
      </c>
      <c r="D71" s="382" t="s">
        <v>86</v>
      </c>
      <c r="E71" s="65" t="s">
        <v>258</v>
      </c>
      <c r="F71" s="23" t="s">
        <v>91</v>
      </c>
      <c r="G71" s="42" t="s">
        <v>259</v>
      </c>
      <c r="H71" s="42" t="s">
        <v>249</v>
      </c>
      <c r="I71" s="42"/>
      <c r="J71" s="22" t="s">
        <v>260</v>
      </c>
      <c r="K71" s="42" t="s">
        <v>147</v>
      </c>
      <c r="L71" s="22"/>
      <c r="M71" s="22"/>
      <c r="N71" s="50">
        <v>2</v>
      </c>
      <c r="O71" s="22"/>
      <c r="P71" s="81">
        <v>1684</v>
      </c>
      <c r="Q71" s="28">
        <f t="shared" si="5"/>
        <v>3368</v>
      </c>
      <c r="R71" s="28"/>
      <c r="S71" s="28">
        <v>7376.67</v>
      </c>
      <c r="T71" s="62" t="s">
        <v>1950</v>
      </c>
      <c r="U71" s="28">
        <f t="shared" si="7"/>
        <v>-4008.67</v>
      </c>
      <c r="V71" s="22" t="s">
        <v>252</v>
      </c>
      <c r="W71" s="22">
        <v>444174</v>
      </c>
      <c r="X71" s="22"/>
      <c r="Y71" s="22"/>
      <c r="Z71" s="29">
        <v>43047</v>
      </c>
      <c r="AA71" s="29"/>
      <c r="AB71" s="29">
        <v>43112</v>
      </c>
      <c r="AC71" s="29"/>
      <c r="AD71" s="29" t="s">
        <v>253</v>
      </c>
      <c r="AE71" s="29"/>
      <c r="AF71" s="22"/>
      <c r="AG71" s="29" t="s">
        <v>98</v>
      </c>
      <c r="AH71" s="516">
        <v>9960</v>
      </c>
      <c r="AI71" s="144"/>
      <c r="AJ71" s="143"/>
      <c r="AK71" s="143"/>
      <c r="AL71" s="143"/>
      <c r="AM71" s="143"/>
      <c r="AN71" s="143"/>
      <c r="AO71" s="143"/>
      <c r="AP71" s="143"/>
      <c r="AQ71" s="143"/>
      <c r="AR71" s="143"/>
    </row>
    <row r="72" spans="1:44" ht="38.25" customHeight="1" x14ac:dyDescent="0.25">
      <c r="A72" s="22"/>
      <c r="B72" s="352">
        <v>0</v>
      </c>
      <c r="C72" s="80">
        <v>3</v>
      </c>
      <c r="D72" s="382" t="s">
        <v>86</v>
      </c>
      <c r="E72" s="65" t="s">
        <v>261</v>
      </c>
      <c r="F72" s="23" t="s">
        <v>91</v>
      </c>
      <c r="G72" s="42" t="s">
        <v>262</v>
      </c>
      <c r="H72" s="42" t="s">
        <v>249</v>
      </c>
      <c r="I72" s="42"/>
      <c r="J72" s="33" t="s">
        <v>263</v>
      </c>
      <c r="K72" s="42" t="s">
        <v>263</v>
      </c>
      <c r="L72" s="25"/>
      <c r="M72" s="25"/>
      <c r="N72" s="50">
        <v>3</v>
      </c>
      <c r="O72" s="22"/>
      <c r="P72" s="81">
        <v>3341</v>
      </c>
      <c r="Q72" s="28">
        <f t="shared" si="5"/>
        <v>10023</v>
      </c>
      <c r="R72" s="28"/>
      <c r="S72" s="28">
        <v>9960</v>
      </c>
      <c r="T72" s="62" t="s">
        <v>1950</v>
      </c>
      <c r="U72" s="28">
        <f t="shared" si="7"/>
        <v>63</v>
      </c>
      <c r="V72" s="22" t="s">
        <v>252</v>
      </c>
      <c r="W72" s="22">
        <v>444174</v>
      </c>
      <c r="X72" s="22"/>
      <c r="Y72" s="22"/>
      <c r="Z72" s="29">
        <v>43047</v>
      </c>
      <c r="AA72" s="29"/>
      <c r="AB72" s="29">
        <v>43112</v>
      </c>
      <c r="AC72" s="29"/>
      <c r="AD72" s="29" t="s">
        <v>253</v>
      </c>
      <c r="AE72" s="29"/>
      <c r="AF72" s="22"/>
      <c r="AG72" s="29" t="s">
        <v>98</v>
      </c>
      <c r="AH72" s="516">
        <v>5463.33</v>
      </c>
      <c r="AI72" s="144"/>
      <c r="AJ72" s="143"/>
      <c r="AK72" s="143"/>
      <c r="AL72" s="143"/>
      <c r="AM72" s="143"/>
      <c r="AN72" s="143"/>
      <c r="AO72" s="143"/>
      <c r="AP72" s="143"/>
      <c r="AQ72" s="143"/>
      <c r="AR72" s="143"/>
    </row>
    <row r="73" spans="1:44" ht="38.25" customHeight="1" x14ac:dyDescent="0.25">
      <c r="A73" s="22"/>
      <c r="B73" s="352">
        <v>0</v>
      </c>
      <c r="C73" s="80">
        <v>3</v>
      </c>
      <c r="D73" s="382" t="s">
        <v>86</v>
      </c>
      <c r="E73" s="65" t="s">
        <v>264</v>
      </c>
      <c r="F73" s="23" t="s">
        <v>91</v>
      </c>
      <c r="G73" s="42" t="s">
        <v>265</v>
      </c>
      <c r="H73" s="42" t="s">
        <v>249</v>
      </c>
      <c r="I73" s="42"/>
      <c r="J73" s="33" t="s">
        <v>266</v>
      </c>
      <c r="K73" s="42" t="s">
        <v>266</v>
      </c>
      <c r="L73" s="25"/>
      <c r="M73" s="25"/>
      <c r="N73" s="50">
        <v>3</v>
      </c>
      <c r="O73" s="22"/>
      <c r="P73" s="81">
        <v>3341</v>
      </c>
      <c r="Q73" s="28">
        <f t="shared" si="5"/>
        <v>10023</v>
      </c>
      <c r="R73" s="28"/>
      <c r="S73" s="28">
        <v>9960</v>
      </c>
      <c r="T73" s="62" t="s">
        <v>1950</v>
      </c>
      <c r="U73" s="28">
        <f t="shared" si="7"/>
        <v>63</v>
      </c>
      <c r="V73" s="22" t="s">
        <v>252</v>
      </c>
      <c r="W73" s="22">
        <v>444174</v>
      </c>
      <c r="X73" s="22"/>
      <c r="Y73" s="22"/>
      <c r="Z73" s="29">
        <v>43047</v>
      </c>
      <c r="AA73" s="29"/>
      <c r="AB73" s="29">
        <v>43112</v>
      </c>
      <c r="AC73" s="29"/>
      <c r="AD73" s="29" t="s">
        <v>253</v>
      </c>
      <c r="AE73" s="29"/>
      <c r="AF73" s="22"/>
      <c r="AG73" s="29" t="s">
        <v>98</v>
      </c>
      <c r="AH73" s="516">
        <v>10926.66</v>
      </c>
      <c r="AI73" s="144"/>
      <c r="AJ73" s="143"/>
      <c r="AK73" s="143"/>
      <c r="AL73" s="143"/>
      <c r="AM73" s="143"/>
      <c r="AN73" s="143"/>
      <c r="AO73" s="143"/>
      <c r="AP73" s="143"/>
      <c r="AQ73" s="143"/>
      <c r="AR73" s="143"/>
    </row>
    <row r="74" spans="1:44" ht="38.25" customHeight="1" x14ac:dyDescent="0.25">
      <c r="A74" s="22"/>
      <c r="B74" s="352">
        <v>0</v>
      </c>
      <c r="C74" s="80">
        <v>3</v>
      </c>
      <c r="D74" s="382" t="s">
        <v>86</v>
      </c>
      <c r="E74" s="65" t="s">
        <v>267</v>
      </c>
      <c r="F74" s="23" t="s">
        <v>91</v>
      </c>
      <c r="G74" s="42" t="s">
        <v>268</v>
      </c>
      <c r="H74" s="42" t="s">
        <v>249</v>
      </c>
      <c r="I74" s="42"/>
      <c r="J74" s="22" t="s">
        <v>269</v>
      </c>
      <c r="K74" s="42" t="s">
        <v>269</v>
      </c>
      <c r="L74" s="25"/>
      <c r="M74" s="25"/>
      <c r="N74" s="50">
        <v>3</v>
      </c>
      <c r="O74" s="22"/>
      <c r="P74" s="81">
        <v>1826</v>
      </c>
      <c r="Q74" s="28">
        <f t="shared" si="5"/>
        <v>5478</v>
      </c>
      <c r="R74" s="28"/>
      <c r="S74" s="28">
        <v>5463.33</v>
      </c>
      <c r="T74" s="62" t="s">
        <v>1950</v>
      </c>
      <c r="U74" s="28">
        <f t="shared" si="7"/>
        <v>14.670000000000073</v>
      </c>
      <c r="V74" s="22" t="s">
        <v>252</v>
      </c>
      <c r="W74" s="22">
        <v>444174</v>
      </c>
      <c r="X74" s="22"/>
      <c r="Y74" s="22"/>
      <c r="Z74" s="29">
        <v>43047</v>
      </c>
      <c r="AA74" s="29"/>
      <c r="AB74" s="29">
        <v>43112</v>
      </c>
      <c r="AC74" s="29"/>
      <c r="AD74" s="29" t="s">
        <v>253</v>
      </c>
      <c r="AE74" s="29"/>
      <c r="AF74" s="22"/>
      <c r="AG74" s="29" t="s">
        <v>98</v>
      </c>
      <c r="AH74" s="516">
        <v>10926.66</v>
      </c>
      <c r="AI74" s="144"/>
      <c r="AJ74" s="143"/>
      <c r="AK74" s="143"/>
      <c r="AL74" s="143"/>
      <c r="AM74" s="143"/>
      <c r="AN74" s="143"/>
      <c r="AO74" s="143"/>
      <c r="AP74" s="143"/>
      <c r="AQ74" s="143"/>
      <c r="AR74" s="143"/>
    </row>
    <row r="75" spans="1:44" ht="38.25" customHeight="1" x14ac:dyDescent="0.25">
      <c r="A75" s="22"/>
      <c r="B75" s="352">
        <v>0</v>
      </c>
      <c r="C75" s="80">
        <v>3</v>
      </c>
      <c r="D75" s="382" t="s">
        <v>86</v>
      </c>
      <c r="E75" s="65" t="s">
        <v>270</v>
      </c>
      <c r="F75" s="23" t="s">
        <v>91</v>
      </c>
      <c r="G75" s="42" t="s">
        <v>271</v>
      </c>
      <c r="H75" s="42" t="s">
        <v>249</v>
      </c>
      <c r="I75" s="42"/>
      <c r="J75" s="22" t="s">
        <v>272</v>
      </c>
      <c r="K75" s="42" t="s">
        <v>272</v>
      </c>
      <c r="L75" s="25"/>
      <c r="M75" s="25"/>
      <c r="N75" s="50">
        <v>3</v>
      </c>
      <c r="O75" s="22"/>
      <c r="P75" s="81">
        <v>1684</v>
      </c>
      <c r="Q75" s="28">
        <f t="shared" si="5"/>
        <v>5052</v>
      </c>
      <c r="R75" s="28"/>
      <c r="S75" s="28">
        <v>5463.33</v>
      </c>
      <c r="T75" s="62" t="s">
        <v>1950</v>
      </c>
      <c r="U75" s="28">
        <f t="shared" si="7"/>
        <v>-411.32999999999993</v>
      </c>
      <c r="V75" s="22" t="s">
        <v>252</v>
      </c>
      <c r="W75" s="22">
        <v>444174</v>
      </c>
      <c r="X75" s="22"/>
      <c r="Y75" s="22"/>
      <c r="Z75" s="29">
        <v>43047</v>
      </c>
      <c r="AA75" s="29"/>
      <c r="AB75" s="29">
        <v>43112</v>
      </c>
      <c r="AC75" s="29"/>
      <c r="AD75" s="29" t="s">
        <v>253</v>
      </c>
      <c r="AE75" s="29"/>
      <c r="AF75" s="22"/>
      <c r="AG75" s="29" t="s">
        <v>98</v>
      </c>
      <c r="AH75" s="516">
        <v>0</v>
      </c>
      <c r="AI75" s="144"/>
      <c r="AJ75" s="143"/>
      <c r="AK75" s="143"/>
      <c r="AL75" s="143"/>
      <c r="AM75" s="143"/>
      <c r="AN75" s="143"/>
      <c r="AO75" s="143"/>
      <c r="AP75" s="143"/>
      <c r="AQ75" s="143"/>
      <c r="AR75" s="143"/>
    </row>
    <row r="76" spans="1:44" ht="38.25" customHeight="1" x14ac:dyDescent="0.25">
      <c r="A76" s="22"/>
      <c r="B76" s="352">
        <v>0</v>
      </c>
      <c r="C76" s="80">
        <v>3</v>
      </c>
      <c r="D76" s="382" t="s">
        <v>86</v>
      </c>
      <c r="E76" s="65" t="s">
        <v>267</v>
      </c>
      <c r="F76" s="23" t="s">
        <v>91</v>
      </c>
      <c r="G76" s="42" t="s">
        <v>273</v>
      </c>
      <c r="H76" s="42" t="s">
        <v>249</v>
      </c>
      <c r="I76" s="446"/>
      <c r="J76" s="21" t="s">
        <v>274</v>
      </c>
      <c r="K76" s="42" t="s">
        <v>274</v>
      </c>
      <c r="L76" s="25"/>
      <c r="M76" s="25"/>
      <c r="N76" s="50">
        <v>3</v>
      </c>
      <c r="O76" s="22"/>
      <c r="P76" s="81">
        <v>3341</v>
      </c>
      <c r="Q76" s="28">
        <f t="shared" si="5"/>
        <v>10023</v>
      </c>
      <c r="R76" s="35"/>
      <c r="S76" s="35">
        <v>5463.33</v>
      </c>
      <c r="T76" s="62" t="s">
        <v>1950</v>
      </c>
      <c r="U76" s="28">
        <f t="shared" si="7"/>
        <v>4559.67</v>
      </c>
      <c r="V76" s="22" t="s">
        <v>252</v>
      </c>
      <c r="W76" s="22">
        <v>444174</v>
      </c>
      <c r="X76" s="22"/>
      <c r="Y76" s="22"/>
      <c r="Z76" s="29">
        <v>43047</v>
      </c>
      <c r="AA76" s="29"/>
      <c r="AB76" s="29">
        <v>43112</v>
      </c>
      <c r="AC76" s="29"/>
      <c r="AD76" s="29" t="s">
        <v>253</v>
      </c>
      <c r="AE76" s="29"/>
      <c r="AF76" s="22"/>
      <c r="AG76" s="29" t="s">
        <v>98</v>
      </c>
      <c r="AH76" s="516">
        <v>0</v>
      </c>
      <c r="AI76" s="144"/>
      <c r="AJ76" s="143"/>
      <c r="AK76" s="143"/>
      <c r="AL76" s="143"/>
      <c r="AM76" s="143"/>
      <c r="AN76" s="143"/>
      <c r="AO76" s="143"/>
      <c r="AP76" s="143"/>
      <c r="AQ76" s="143"/>
      <c r="AR76" s="143"/>
    </row>
    <row r="77" spans="1:44" ht="38.25" customHeight="1" x14ac:dyDescent="0.25">
      <c r="A77" s="22"/>
      <c r="B77" s="352">
        <v>0</v>
      </c>
      <c r="C77" s="80">
        <v>3</v>
      </c>
      <c r="D77" s="382" t="s">
        <v>86</v>
      </c>
      <c r="E77" s="65" t="s">
        <v>270</v>
      </c>
      <c r="F77" s="23" t="s">
        <v>91</v>
      </c>
      <c r="G77" s="42" t="s">
        <v>275</v>
      </c>
      <c r="H77" s="42" t="s">
        <v>249</v>
      </c>
      <c r="I77" s="42"/>
      <c r="J77" s="22" t="s">
        <v>276</v>
      </c>
      <c r="K77" s="42" t="s">
        <v>276</v>
      </c>
      <c r="L77" s="25"/>
      <c r="M77" s="25"/>
      <c r="N77" s="50">
        <v>3</v>
      </c>
      <c r="O77" s="22"/>
      <c r="P77" s="81"/>
      <c r="Q77" s="28">
        <v>0</v>
      </c>
      <c r="R77" s="35"/>
      <c r="S77" s="35">
        <v>5463.33</v>
      </c>
      <c r="T77" s="62" t="s">
        <v>1950</v>
      </c>
      <c r="U77" s="28">
        <f t="shared" si="7"/>
        <v>-5463.33</v>
      </c>
      <c r="V77" s="22" t="s">
        <v>252</v>
      </c>
      <c r="W77" s="22">
        <v>444174</v>
      </c>
      <c r="X77" s="22"/>
      <c r="Y77" s="22"/>
      <c r="Z77" s="29">
        <v>43047</v>
      </c>
      <c r="AA77" s="29"/>
      <c r="AB77" s="29">
        <v>43112</v>
      </c>
      <c r="AC77" s="29"/>
      <c r="AD77" s="29" t="s">
        <v>253</v>
      </c>
      <c r="AE77" s="29"/>
      <c r="AF77" s="22"/>
      <c r="AG77" s="29" t="s">
        <v>98</v>
      </c>
      <c r="AH77" s="516">
        <v>0</v>
      </c>
      <c r="AI77" s="144"/>
      <c r="AJ77" s="143"/>
      <c r="AK77" s="143"/>
      <c r="AL77" s="143"/>
      <c r="AM77" s="143"/>
      <c r="AN77" s="143"/>
      <c r="AO77" s="143"/>
      <c r="AP77" s="143"/>
      <c r="AQ77" s="143"/>
      <c r="AR77" s="143"/>
    </row>
    <row r="78" spans="1:44" ht="38.25" customHeight="1" x14ac:dyDescent="0.25">
      <c r="A78" s="22"/>
      <c r="B78" s="352">
        <v>0</v>
      </c>
      <c r="C78" s="80">
        <v>3</v>
      </c>
      <c r="D78" s="382" t="s">
        <v>86</v>
      </c>
      <c r="E78" s="65" t="s">
        <v>270</v>
      </c>
      <c r="F78" s="23" t="s">
        <v>91</v>
      </c>
      <c r="G78" s="42" t="s">
        <v>277</v>
      </c>
      <c r="H78" s="42" t="s">
        <v>249</v>
      </c>
      <c r="I78" s="42"/>
      <c r="J78" s="22" t="s">
        <v>278</v>
      </c>
      <c r="K78" s="42" t="s">
        <v>278</v>
      </c>
      <c r="L78" s="25"/>
      <c r="M78" s="25"/>
      <c r="N78" s="50">
        <v>3</v>
      </c>
      <c r="O78" s="22"/>
      <c r="P78" s="81"/>
      <c r="Q78" s="28">
        <v>0</v>
      </c>
      <c r="R78" s="35"/>
      <c r="S78" s="35">
        <v>5463.33</v>
      </c>
      <c r="T78" s="62" t="s">
        <v>1950</v>
      </c>
      <c r="U78" s="28">
        <f t="shared" si="7"/>
        <v>-5463.33</v>
      </c>
      <c r="V78" s="22" t="s">
        <v>252</v>
      </c>
      <c r="W78" s="22">
        <v>444174</v>
      </c>
      <c r="X78" s="22"/>
      <c r="Y78" s="22"/>
      <c r="Z78" s="29">
        <v>43047</v>
      </c>
      <c r="AA78" s="29"/>
      <c r="AB78" s="29">
        <v>43112</v>
      </c>
      <c r="AC78" s="29"/>
      <c r="AD78" s="29" t="s">
        <v>253</v>
      </c>
      <c r="AE78" s="29"/>
      <c r="AF78" s="22"/>
      <c r="AG78" s="29" t="s">
        <v>98</v>
      </c>
      <c r="AH78" s="516">
        <v>0</v>
      </c>
      <c r="AI78" s="144"/>
      <c r="AJ78" s="143"/>
      <c r="AK78" s="143"/>
      <c r="AL78" s="143"/>
      <c r="AM78" s="143"/>
      <c r="AN78" s="143"/>
      <c r="AO78" s="143"/>
      <c r="AP78" s="143"/>
      <c r="AQ78" s="143"/>
      <c r="AR78" s="143"/>
    </row>
    <row r="79" spans="1:44" ht="38.25" customHeight="1" x14ac:dyDescent="0.25">
      <c r="A79" s="22"/>
      <c r="B79" s="352">
        <v>0</v>
      </c>
      <c r="C79" s="80">
        <v>3</v>
      </c>
      <c r="D79" s="382" t="s">
        <v>86</v>
      </c>
      <c r="E79" s="65" t="s">
        <v>279</v>
      </c>
      <c r="F79" s="23" t="s">
        <v>91</v>
      </c>
      <c r="G79" s="42" t="s">
        <v>280</v>
      </c>
      <c r="H79" s="42" t="s">
        <v>249</v>
      </c>
      <c r="I79" s="42"/>
      <c r="J79" s="22" t="s">
        <v>281</v>
      </c>
      <c r="K79" s="42" t="s">
        <v>281</v>
      </c>
      <c r="L79" s="25"/>
      <c r="M79" s="25"/>
      <c r="N79" s="50">
        <v>10</v>
      </c>
      <c r="O79" s="22"/>
      <c r="P79" s="81"/>
      <c r="Q79" s="28">
        <v>0</v>
      </c>
      <c r="R79" s="35"/>
      <c r="S79" s="35">
        <v>12366.7</v>
      </c>
      <c r="T79" s="62" t="s">
        <v>1950</v>
      </c>
      <c r="U79" s="28">
        <f t="shared" si="7"/>
        <v>-12366.7</v>
      </c>
      <c r="V79" s="22" t="s">
        <v>252</v>
      </c>
      <c r="W79" s="22">
        <v>444174</v>
      </c>
      <c r="X79" s="22"/>
      <c r="Y79" s="22"/>
      <c r="Z79" s="29">
        <v>43047</v>
      </c>
      <c r="AA79" s="29"/>
      <c r="AB79" s="29">
        <v>43112</v>
      </c>
      <c r="AC79" s="29"/>
      <c r="AD79" s="29" t="s">
        <v>253</v>
      </c>
      <c r="AE79" s="29"/>
      <c r="AF79" s="22"/>
      <c r="AG79" s="29" t="s">
        <v>98</v>
      </c>
      <c r="AH79" s="516">
        <v>0</v>
      </c>
      <c r="AI79" s="144"/>
      <c r="AJ79" s="143"/>
      <c r="AK79" s="143"/>
      <c r="AL79" s="143"/>
      <c r="AM79" s="143"/>
      <c r="AN79" s="143"/>
      <c r="AO79" s="143"/>
      <c r="AP79" s="143"/>
      <c r="AQ79" s="143"/>
      <c r="AR79" s="143"/>
    </row>
    <row r="80" spans="1:44" ht="38.25" customHeight="1" x14ac:dyDescent="0.25">
      <c r="A80" s="22"/>
      <c r="B80" s="352">
        <v>0</v>
      </c>
      <c r="C80" s="80">
        <v>3</v>
      </c>
      <c r="D80" s="382" t="s">
        <v>86</v>
      </c>
      <c r="E80" s="65"/>
      <c r="F80" s="23" t="s">
        <v>91</v>
      </c>
      <c r="G80" s="42" t="s">
        <v>282</v>
      </c>
      <c r="H80" s="42" t="s">
        <v>249</v>
      </c>
      <c r="I80" s="42"/>
      <c r="J80" s="22" t="s">
        <v>283</v>
      </c>
      <c r="K80" s="42" t="s">
        <v>283</v>
      </c>
      <c r="L80" s="25"/>
      <c r="M80" s="25"/>
      <c r="N80" s="50">
        <v>2</v>
      </c>
      <c r="O80" s="22"/>
      <c r="P80" s="81"/>
      <c r="Q80" s="28">
        <v>0</v>
      </c>
      <c r="R80" s="35"/>
      <c r="S80" s="35">
        <v>51.12</v>
      </c>
      <c r="T80" s="62" t="s">
        <v>1950</v>
      </c>
      <c r="U80" s="28">
        <f t="shared" si="7"/>
        <v>-51.12</v>
      </c>
      <c r="V80" s="22" t="s">
        <v>252</v>
      </c>
      <c r="W80" s="22">
        <v>444174</v>
      </c>
      <c r="X80" s="22"/>
      <c r="Y80" s="22"/>
      <c r="Z80" s="29">
        <v>43047</v>
      </c>
      <c r="AA80" s="29"/>
      <c r="AB80" s="29">
        <v>43112</v>
      </c>
      <c r="AC80" s="29"/>
      <c r="AD80" s="29" t="s">
        <v>253</v>
      </c>
      <c r="AE80" s="29"/>
      <c r="AF80" s="22"/>
      <c r="AG80" s="29" t="s">
        <v>98</v>
      </c>
      <c r="AH80" s="516">
        <v>0</v>
      </c>
      <c r="AI80" s="144"/>
      <c r="AJ80" s="143"/>
      <c r="AK80" s="143"/>
      <c r="AL80" s="143"/>
      <c r="AM80" s="143"/>
      <c r="AN80" s="143"/>
      <c r="AO80" s="143"/>
      <c r="AP80" s="143"/>
      <c r="AQ80" s="143"/>
      <c r="AR80" s="143"/>
    </row>
    <row r="81" spans="1:44" ht="38.25" customHeight="1" x14ac:dyDescent="0.25">
      <c r="A81" s="476"/>
      <c r="B81" s="485">
        <v>0</v>
      </c>
      <c r="C81" s="478">
        <v>3</v>
      </c>
      <c r="D81" s="479" t="s">
        <v>86</v>
      </c>
      <c r="E81" s="575"/>
      <c r="F81" s="476"/>
      <c r="G81" s="480" t="s">
        <v>284</v>
      </c>
      <c r="H81" s="480" t="s">
        <v>285</v>
      </c>
      <c r="I81" s="480"/>
      <c r="J81" s="476" t="s">
        <v>286</v>
      </c>
      <c r="K81" s="480" t="s">
        <v>286</v>
      </c>
      <c r="L81" s="486"/>
      <c r="M81" s="486"/>
      <c r="N81" s="487">
        <v>24</v>
      </c>
      <c r="O81" s="476"/>
      <c r="P81" s="488">
        <v>16.3</v>
      </c>
      <c r="Q81" s="483">
        <f t="shared" ref="Q81:Q87" si="8">N81*P81</f>
        <v>391.20000000000005</v>
      </c>
      <c r="R81" s="483"/>
      <c r="S81" s="483">
        <v>278.39999999999998</v>
      </c>
      <c r="T81" s="62" t="s">
        <v>1950</v>
      </c>
      <c r="U81" s="483">
        <f t="shared" si="7"/>
        <v>112.80000000000007</v>
      </c>
      <c r="V81" s="476" t="s">
        <v>287</v>
      </c>
      <c r="W81" s="476" t="s">
        <v>288</v>
      </c>
      <c r="X81" s="22"/>
      <c r="Y81" s="22"/>
      <c r="Z81" s="481">
        <v>43020</v>
      </c>
      <c r="AA81" s="29"/>
      <c r="AB81" s="481">
        <v>43026</v>
      </c>
      <c r="AC81" s="481"/>
      <c r="AD81" s="29"/>
      <c r="AE81" s="29"/>
      <c r="AF81" s="22"/>
      <c r="AG81" s="481" t="s">
        <v>101</v>
      </c>
      <c r="AH81" s="515">
        <f>S81</f>
        <v>278.39999999999998</v>
      </c>
      <c r="AI81" s="482"/>
      <c r="AJ81" s="533"/>
      <c r="AK81" s="533"/>
      <c r="AL81" s="533"/>
      <c r="AM81" s="533"/>
      <c r="AN81" s="533"/>
      <c r="AO81" s="533"/>
      <c r="AP81" s="533"/>
      <c r="AQ81" s="533"/>
      <c r="AR81" s="533"/>
    </row>
    <row r="82" spans="1:44" ht="12.75" customHeight="1" x14ac:dyDescent="0.25">
      <c r="A82" s="484"/>
      <c r="B82" s="485">
        <v>0</v>
      </c>
      <c r="C82" s="478">
        <v>3</v>
      </c>
      <c r="D82" s="479" t="s">
        <v>86</v>
      </c>
      <c r="E82" s="575"/>
      <c r="F82" s="476"/>
      <c r="G82" s="480" t="s">
        <v>289</v>
      </c>
      <c r="H82" s="480" t="s">
        <v>285</v>
      </c>
      <c r="I82" s="489"/>
      <c r="J82" s="490" t="s">
        <v>290</v>
      </c>
      <c r="K82" s="480" t="s">
        <v>290</v>
      </c>
      <c r="L82" s="491"/>
      <c r="M82" s="491"/>
      <c r="N82" s="487">
        <v>12</v>
      </c>
      <c r="O82" s="476"/>
      <c r="P82" s="488">
        <v>30</v>
      </c>
      <c r="Q82" s="483">
        <f t="shared" si="8"/>
        <v>360</v>
      </c>
      <c r="R82" s="483"/>
      <c r="S82" s="483">
        <v>32.4</v>
      </c>
      <c r="T82" s="62" t="s">
        <v>1950</v>
      </c>
      <c r="U82" s="483">
        <f t="shared" si="7"/>
        <v>327.60000000000002</v>
      </c>
      <c r="V82" s="476" t="s">
        <v>287</v>
      </c>
      <c r="W82" s="476" t="s">
        <v>288</v>
      </c>
      <c r="X82" s="22"/>
      <c r="Y82" s="22"/>
      <c r="Z82" s="481">
        <v>43020</v>
      </c>
      <c r="AA82" s="29"/>
      <c r="AB82" s="481">
        <v>43026</v>
      </c>
      <c r="AC82" s="481"/>
      <c r="AD82" s="29"/>
      <c r="AE82" s="29"/>
      <c r="AF82" s="22"/>
      <c r="AG82" s="481" t="s">
        <v>101</v>
      </c>
      <c r="AH82" s="515">
        <f t="shared" ref="AH82:AH93" si="9">S82</f>
        <v>32.4</v>
      </c>
      <c r="AI82" s="482"/>
      <c r="AJ82" s="533"/>
      <c r="AK82" s="533"/>
      <c r="AL82" s="533"/>
      <c r="AM82" s="533"/>
      <c r="AN82" s="533"/>
      <c r="AO82" s="533"/>
      <c r="AP82" s="533"/>
      <c r="AQ82" s="533"/>
      <c r="AR82" s="533"/>
    </row>
    <row r="83" spans="1:44" ht="38.25" customHeight="1" x14ac:dyDescent="0.25">
      <c r="A83" s="476"/>
      <c r="B83" s="485">
        <v>0</v>
      </c>
      <c r="C83" s="478">
        <v>3</v>
      </c>
      <c r="D83" s="479" t="s">
        <v>86</v>
      </c>
      <c r="E83" s="575"/>
      <c r="F83" s="577"/>
      <c r="G83" s="480" t="s">
        <v>291</v>
      </c>
      <c r="H83" s="480" t="s">
        <v>285</v>
      </c>
      <c r="I83" s="480"/>
      <c r="J83" s="476" t="s">
        <v>292</v>
      </c>
      <c r="K83" s="480" t="s">
        <v>292</v>
      </c>
      <c r="L83" s="476"/>
      <c r="M83" s="476"/>
      <c r="N83" s="487">
        <v>14</v>
      </c>
      <c r="O83" s="476"/>
      <c r="P83" s="488">
        <v>185</v>
      </c>
      <c r="Q83" s="483">
        <f t="shared" si="8"/>
        <v>2590</v>
      </c>
      <c r="R83" s="483"/>
      <c r="S83" s="483">
        <v>420</v>
      </c>
      <c r="T83" s="62" t="s">
        <v>1950</v>
      </c>
      <c r="U83" s="483">
        <f t="shared" si="7"/>
        <v>2170</v>
      </c>
      <c r="V83" s="476" t="s">
        <v>287</v>
      </c>
      <c r="W83" s="476" t="s">
        <v>288</v>
      </c>
      <c r="X83" s="22"/>
      <c r="Y83" s="22"/>
      <c r="Z83" s="481">
        <v>43020</v>
      </c>
      <c r="AA83" s="29"/>
      <c r="AB83" s="481">
        <v>43026</v>
      </c>
      <c r="AC83" s="481"/>
      <c r="AD83" s="29"/>
      <c r="AE83" s="29"/>
      <c r="AF83" s="22"/>
      <c r="AG83" s="481" t="s">
        <v>101</v>
      </c>
      <c r="AH83" s="515">
        <f t="shared" si="9"/>
        <v>420</v>
      </c>
      <c r="AI83" s="482"/>
      <c r="AJ83" s="533"/>
      <c r="AK83" s="533"/>
      <c r="AL83" s="533"/>
      <c r="AM83" s="533"/>
      <c r="AN83" s="533"/>
      <c r="AO83" s="533"/>
      <c r="AP83" s="533"/>
      <c r="AQ83" s="533"/>
      <c r="AR83" s="533"/>
    </row>
    <row r="84" spans="1:44" ht="38.25" customHeight="1" x14ac:dyDescent="0.25">
      <c r="A84" s="476"/>
      <c r="B84" s="485">
        <v>0</v>
      </c>
      <c r="C84" s="478">
        <v>3</v>
      </c>
      <c r="D84" s="479" t="s">
        <v>86</v>
      </c>
      <c r="E84" s="575"/>
      <c r="F84" s="476"/>
      <c r="G84" s="480" t="s">
        <v>293</v>
      </c>
      <c r="H84" s="480" t="s">
        <v>285</v>
      </c>
      <c r="I84" s="480"/>
      <c r="J84" s="486" t="s">
        <v>294</v>
      </c>
      <c r="K84" s="480" t="s">
        <v>295</v>
      </c>
      <c r="L84" s="476"/>
      <c r="M84" s="486"/>
      <c r="N84" s="487">
        <v>6</v>
      </c>
      <c r="O84" s="476"/>
      <c r="P84" s="488">
        <v>14.25</v>
      </c>
      <c r="Q84" s="483">
        <f t="shared" si="8"/>
        <v>85.5</v>
      </c>
      <c r="R84" s="483"/>
      <c r="S84" s="483">
        <v>60</v>
      </c>
      <c r="T84" s="62" t="s">
        <v>1950</v>
      </c>
      <c r="U84" s="483">
        <f t="shared" si="7"/>
        <v>25.5</v>
      </c>
      <c r="V84" s="476" t="s">
        <v>287</v>
      </c>
      <c r="W84" s="476" t="s">
        <v>288</v>
      </c>
      <c r="X84" s="22"/>
      <c r="Y84" s="22"/>
      <c r="Z84" s="481">
        <v>43020</v>
      </c>
      <c r="AA84" s="29"/>
      <c r="AB84" s="481">
        <v>43026</v>
      </c>
      <c r="AC84" s="481"/>
      <c r="AD84" s="29"/>
      <c r="AE84" s="29"/>
      <c r="AF84" s="22"/>
      <c r="AG84" s="481" t="s">
        <v>101</v>
      </c>
      <c r="AH84" s="515">
        <f t="shared" si="9"/>
        <v>60</v>
      </c>
      <c r="AI84" s="482"/>
      <c r="AJ84" s="533"/>
      <c r="AK84" s="533"/>
      <c r="AL84" s="533"/>
      <c r="AM84" s="533"/>
      <c r="AN84" s="533"/>
      <c r="AO84" s="533"/>
      <c r="AP84" s="533"/>
      <c r="AQ84" s="533"/>
      <c r="AR84" s="533"/>
    </row>
    <row r="85" spans="1:44" ht="38.25" customHeight="1" x14ac:dyDescent="0.25">
      <c r="A85" s="476"/>
      <c r="B85" s="485">
        <v>0</v>
      </c>
      <c r="C85" s="478">
        <v>3</v>
      </c>
      <c r="D85" s="479" t="s">
        <v>86</v>
      </c>
      <c r="E85" s="575"/>
      <c r="F85" s="476"/>
      <c r="G85" s="480" t="s">
        <v>296</v>
      </c>
      <c r="H85" s="480" t="s">
        <v>285</v>
      </c>
      <c r="I85" s="480"/>
      <c r="J85" s="486" t="s">
        <v>297</v>
      </c>
      <c r="K85" s="480" t="s">
        <v>297</v>
      </c>
      <c r="L85" s="476"/>
      <c r="M85" s="486"/>
      <c r="N85" s="487">
        <v>1</v>
      </c>
      <c r="O85" s="476"/>
      <c r="P85" s="488">
        <v>2.85</v>
      </c>
      <c r="Q85" s="483">
        <f t="shared" si="8"/>
        <v>2.85</v>
      </c>
      <c r="R85" s="483"/>
      <c r="S85" s="483">
        <v>258.3</v>
      </c>
      <c r="T85" s="62" t="s">
        <v>1950</v>
      </c>
      <c r="U85" s="483">
        <f t="shared" si="7"/>
        <v>-255.45000000000002</v>
      </c>
      <c r="V85" s="476" t="s">
        <v>287</v>
      </c>
      <c r="W85" s="476" t="s">
        <v>288</v>
      </c>
      <c r="X85" s="22"/>
      <c r="Y85" s="22"/>
      <c r="Z85" s="481">
        <v>43020</v>
      </c>
      <c r="AA85" s="29"/>
      <c r="AB85" s="481">
        <v>43026</v>
      </c>
      <c r="AC85" s="481"/>
      <c r="AD85" s="29"/>
      <c r="AE85" s="29"/>
      <c r="AF85" s="22"/>
      <c r="AG85" s="481" t="s">
        <v>101</v>
      </c>
      <c r="AH85" s="515">
        <f t="shared" si="9"/>
        <v>258.3</v>
      </c>
      <c r="AI85" s="482"/>
      <c r="AJ85" s="533"/>
      <c r="AK85" s="533"/>
      <c r="AL85" s="533"/>
      <c r="AM85" s="533"/>
      <c r="AN85" s="533"/>
      <c r="AO85" s="533"/>
      <c r="AP85" s="533"/>
      <c r="AQ85" s="533"/>
      <c r="AR85" s="533"/>
    </row>
    <row r="86" spans="1:44" ht="89.25" customHeight="1" x14ac:dyDescent="0.25">
      <c r="A86" s="476"/>
      <c r="B86" s="485">
        <v>0</v>
      </c>
      <c r="C86" s="478">
        <v>3</v>
      </c>
      <c r="D86" s="479" t="s">
        <v>86</v>
      </c>
      <c r="E86" s="575"/>
      <c r="F86" s="577"/>
      <c r="G86" s="480" t="s">
        <v>298</v>
      </c>
      <c r="H86" s="480" t="s">
        <v>285</v>
      </c>
      <c r="I86" s="480"/>
      <c r="J86" s="476" t="s">
        <v>299</v>
      </c>
      <c r="K86" s="480" t="s">
        <v>299</v>
      </c>
      <c r="L86" s="486"/>
      <c r="M86" s="486"/>
      <c r="N86" s="487">
        <v>7</v>
      </c>
      <c r="O86" s="476"/>
      <c r="P86" s="488">
        <v>795</v>
      </c>
      <c r="Q86" s="483">
        <f t="shared" si="8"/>
        <v>5565</v>
      </c>
      <c r="R86" s="483"/>
      <c r="S86" s="483">
        <v>265.64999999999998</v>
      </c>
      <c r="T86" s="62" t="s">
        <v>1950</v>
      </c>
      <c r="U86" s="483">
        <f t="shared" si="7"/>
        <v>5299.35</v>
      </c>
      <c r="V86" s="476" t="s">
        <v>287</v>
      </c>
      <c r="W86" s="476" t="s">
        <v>288</v>
      </c>
      <c r="X86" s="22"/>
      <c r="Y86" s="22"/>
      <c r="Z86" s="481">
        <v>43020</v>
      </c>
      <c r="AA86" s="29"/>
      <c r="AB86" s="481">
        <v>43026</v>
      </c>
      <c r="AC86" s="481"/>
      <c r="AD86" s="29"/>
      <c r="AE86" s="29"/>
      <c r="AF86" s="22"/>
      <c r="AG86" s="481" t="s">
        <v>101</v>
      </c>
      <c r="AH86" s="515">
        <f t="shared" si="9"/>
        <v>265.64999999999998</v>
      </c>
      <c r="AI86" s="482"/>
      <c r="AJ86" s="533"/>
      <c r="AK86" s="533"/>
      <c r="AL86" s="533"/>
      <c r="AM86" s="533"/>
      <c r="AN86" s="533"/>
      <c r="AO86" s="533"/>
      <c r="AP86" s="533"/>
      <c r="AQ86" s="533"/>
      <c r="AR86" s="533"/>
    </row>
    <row r="87" spans="1:44" ht="25.5" customHeight="1" x14ac:dyDescent="0.25">
      <c r="A87" s="476"/>
      <c r="B87" s="485">
        <v>0</v>
      </c>
      <c r="C87" s="478">
        <v>3</v>
      </c>
      <c r="D87" s="479" t="s">
        <v>86</v>
      </c>
      <c r="E87" s="575"/>
      <c r="F87" s="577"/>
      <c r="G87" s="480" t="s">
        <v>300</v>
      </c>
      <c r="H87" s="480" t="s">
        <v>285</v>
      </c>
      <c r="I87" s="480"/>
      <c r="J87" s="476" t="s">
        <v>301</v>
      </c>
      <c r="K87" s="480" t="s">
        <v>301</v>
      </c>
      <c r="L87" s="486"/>
      <c r="M87" s="486"/>
      <c r="N87" s="487">
        <v>13</v>
      </c>
      <c r="O87" s="476"/>
      <c r="P87" s="488">
        <v>14.25</v>
      </c>
      <c r="Q87" s="483">
        <f t="shared" si="8"/>
        <v>185.25</v>
      </c>
      <c r="R87" s="483"/>
      <c r="S87" s="483">
        <v>195.65</v>
      </c>
      <c r="T87" s="62" t="s">
        <v>1950</v>
      </c>
      <c r="U87" s="483">
        <f t="shared" si="7"/>
        <v>-10.400000000000006</v>
      </c>
      <c r="V87" s="476" t="s">
        <v>287</v>
      </c>
      <c r="W87" s="476" t="s">
        <v>288</v>
      </c>
      <c r="X87" s="22"/>
      <c r="Y87" s="22"/>
      <c r="Z87" s="481">
        <v>43020</v>
      </c>
      <c r="AA87" s="29"/>
      <c r="AB87" s="481">
        <v>43026</v>
      </c>
      <c r="AC87" s="481"/>
      <c r="AD87" s="29"/>
      <c r="AE87" s="29"/>
      <c r="AF87" s="22"/>
      <c r="AG87" s="481" t="s">
        <v>101</v>
      </c>
      <c r="AH87" s="515">
        <f t="shared" si="9"/>
        <v>195.65</v>
      </c>
      <c r="AI87" s="482"/>
      <c r="AJ87" s="533"/>
      <c r="AK87" s="533"/>
      <c r="AL87" s="533"/>
      <c r="AM87" s="533"/>
      <c r="AN87" s="533"/>
      <c r="AO87" s="533"/>
      <c r="AP87" s="533"/>
      <c r="AQ87" s="533"/>
      <c r="AR87" s="533"/>
    </row>
    <row r="88" spans="1:44" ht="51" customHeight="1" x14ac:dyDescent="0.25">
      <c r="A88" s="476"/>
      <c r="B88" s="485">
        <v>0</v>
      </c>
      <c r="C88" s="478">
        <v>3</v>
      </c>
      <c r="D88" s="479" t="s">
        <v>86</v>
      </c>
      <c r="E88" s="575"/>
      <c r="F88" s="577"/>
      <c r="G88" s="480" t="s">
        <v>302</v>
      </c>
      <c r="H88" s="480" t="s">
        <v>285</v>
      </c>
      <c r="I88" s="480"/>
      <c r="J88" s="476" t="s">
        <v>303</v>
      </c>
      <c r="K88" s="480" t="s">
        <v>303</v>
      </c>
      <c r="L88" s="486"/>
      <c r="M88" s="486"/>
      <c r="N88" s="487">
        <v>2</v>
      </c>
      <c r="O88" s="476"/>
      <c r="P88" s="488"/>
      <c r="Q88" s="483">
        <v>0.23400000000000001</v>
      </c>
      <c r="R88" s="483"/>
      <c r="S88" s="483">
        <v>1431</v>
      </c>
      <c r="T88" s="62" t="s">
        <v>1950</v>
      </c>
      <c r="U88" s="483">
        <f t="shared" si="7"/>
        <v>-1430.7660000000001</v>
      </c>
      <c r="V88" s="476" t="s">
        <v>287</v>
      </c>
      <c r="W88" s="476" t="s">
        <v>288</v>
      </c>
      <c r="X88" s="22"/>
      <c r="Y88" s="22"/>
      <c r="Z88" s="481">
        <v>43020</v>
      </c>
      <c r="AA88" s="29"/>
      <c r="AB88" s="481">
        <v>43026</v>
      </c>
      <c r="AC88" s="481"/>
      <c r="AD88" s="29"/>
      <c r="AE88" s="29"/>
      <c r="AF88" s="22"/>
      <c r="AG88" s="481" t="s">
        <v>101</v>
      </c>
      <c r="AH88" s="515">
        <f t="shared" si="9"/>
        <v>1431</v>
      </c>
      <c r="AI88" s="482"/>
      <c r="AJ88" s="533"/>
      <c r="AK88" s="533"/>
      <c r="AL88" s="533"/>
      <c r="AM88" s="533"/>
      <c r="AN88" s="533"/>
      <c r="AO88" s="533"/>
      <c r="AP88" s="533"/>
      <c r="AQ88" s="533"/>
      <c r="AR88" s="533"/>
    </row>
    <row r="89" spans="1:44" ht="102" customHeight="1" x14ac:dyDescent="0.25">
      <c r="A89" s="476"/>
      <c r="B89" s="485">
        <v>0</v>
      </c>
      <c r="C89" s="478">
        <v>3</v>
      </c>
      <c r="D89" s="479" t="s">
        <v>86</v>
      </c>
      <c r="E89" s="575"/>
      <c r="F89" s="577"/>
      <c r="G89" s="480" t="s">
        <v>304</v>
      </c>
      <c r="H89" s="480" t="s">
        <v>285</v>
      </c>
      <c r="I89" s="480"/>
      <c r="J89" s="476" t="s">
        <v>305</v>
      </c>
      <c r="K89" s="480" t="s">
        <v>305</v>
      </c>
      <c r="L89" s="486"/>
      <c r="M89" s="486"/>
      <c r="N89" s="487">
        <v>1</v>
      </c>
      <c r="O89" s="476"/>
      <c r="P89" s="488"/>
      <c r="Q89" s="483">
        <v>0</v>
      </c>
      <c r="R89" s="483"/>
      <c r="S89" s="483">
        <v>170.2</v>
      </c>
      <c r="T89" s="62" t="s">
        <v>1950</v>
      </c>
      <c r="U89" s="483">
        <f t="shared" si="7"/>
        <v>-170.2</v>
      </c>
      <c r="V89" s="476" t="s">
        <v>287</v>
      </c>
      <c r="W89" s="476" t="s">
        <v>288</v>
      </c>
      <c r="X89" s="22"/>
      <c r="Y89" s="22"/>
      <c r="Z89" s="481">
        <v>43020</v>
      </c>
      <c r="AA89" s="29"/>
      <c r="AB89" s="481">
        <v>43026</v>
      </c>
      <c r="AC89" s="481"/>
      <c r="AD89" s="29"/>
      <c r="AE89" s="29"/>
      <c r="AF89" s="22"/>
      <c r="AG89" s="481" t="s">
        <v>101</v>
      </c>
      <c r="AH89" s="515">
        <f t="shared" si="9"/>
        <v>170.2</v>
      </c>
      <c r="AI89" s="482"/>
      <c r="AJ89" s="533"/>
      <c r="AK89" s="533"/>
      <c r="AL89" s="533"/>
      <c r="AM89" s="533"/>
      <c r="AN89" s="533"/>
      <c r="AO89" s="533"/>
      <c r="AP89" s="533"/>
      <c r="AQ89" s="533"/>
      <c r="AR89" s="533"/>
    </row>
    <row r="90" spans="1:44" ht="51" customHeight="1" x14ac:dyDescent="0.25">
      <c r="A90" s="476"/>
      <c r="B90" s="485">
        <v>1</v>
      </c>
      <c r="C90" s="478">
        <v>3</v>
      </c>
      <c r="D90" s="479" t="s">
        <v>86</v>
      </c>
      <c r="E90" s="575"/>
      <c r="F90" s="577"/>
      <c r="G90" s="480" t="s">
        <v>306</v>
      </c>
      <c r="H90" s="480" t="s">
        <v>307</v>
      </c>
      <c r="I90" s="480"/>
      <c r="J90" s="476">
        <v>4628</v>
      </c>
      <c r="K90" s="476">
        <v>4628</v>
      </c>
      <c r="L90" s="476"/>
      <c r="M90" s="476"/>
      <c r="N90" s="487">
        <v>1</v>
      </c>
      <c r="O90" s="476"/>
      <c r="P90" s="488">
        <v>420</v>
      </c>
      <c r="Q90" s="483">
        <f t="shared" ref="Q90:Q127" si="10">N90*P90</f>
        <v>420</v>
      </c>
      <c r="R90" s="483"/>
      <c r="S90" s="483">
        <v>400</v>
      </c>
      <c r="T90" s="62" t="s">
        <v>1950</v>
      </c>
      <c r="U90" s="483">
        <f t="shared" si="7"/>
        <v>20</v>
      </c>
      <c r="V90" s="476" t="s">
        <v>308</v>
      </c>
      <c r="W90" s="476" t="s">
        <v>309</v>
      </c>
      <c r="X90" s="22"/>
      <c r="Y90" s="22"/>
      <c r="Z90" s="492">
        <v>42999</v>
      </c>
      <c r="AA90" s="34"/>
      <c r="AB90" s="481">
        <v>43055</v>
      </c>
      <c r="AC90" s="481"/>
      <c r="AD90" s="29"/>
      <c r="AE90" s="29"/>
      <c r="AF90" s="22"/>
      <c r="AG90" s="481" t="s">
        <v>101</v>
      </c>
      <c r="AH90" s="515">
        <f t="shared" si="9"/>
        <v>400</v>
      </c>
      <c r="AI90" s="482"/>
      <c r="AJ90" s="533"/>
      <c r="AK90" s="533"/>
      <c r="AL90" s="533"/>
      <c r="AM90" s="533"/>
      <c r="AN90" s="533"/>
      <c r="AO90" s="533"/>
      <c r="AP90" s="533"/>
      <c r="AQ90" s="533"/>
      <c r="AR90" s="533"/>
    </row>
    <row r="91" spans="1:44" ht="63.75" customHeight="1" x14ac:dyDescent="0.25">
      <c r="A91" s="476"/>
      <c r="B91" s="485">
        <v>1</v>
      </c>
      <c r="C91" s="478">
        <v>3</v>
      </c>
      <c r="D91" s="479" t="s">
        <v>86</v>
      </c>
      <c r="E91" s="575"/>
      <c r="F91" s="577"/>
      <c r="G91" s="480" t="s">
        <v>310</v>
      </c>
      <c r="H91" s="480" t="s">
        <v>307</v>
      </c>
      <c r="I91" s="480"/>
      <c r="J91" s="476">
        <v>4630</v>
      </c>
      <c r="K91" s="476">
        <v>4630</v>
      </c>
      <c r="L91" s="486"/>
      <c r="M91" s="486"/>
      <c r="N91" s="487">
        <v>1</v>
      </c>
      <c r="O91" s="476"/>
      <c r="P91" s="488">
        <v>640</v>
      </c>
      <c r="Q91" s="483">
        <f t="shared" si="10"/>
        <v>640</v>
      </c>
      <c r="R91" s="483"/>
      <c r="S91" s="483">
        <v>640</v>
      </c>
      <c r="T91" s="62" t="s">
        <v>1950</v>
      </c>
      <c r="U91" s="483">
        <f t="shared" si="7"/>
        <v>0</v>
      </c>
      <c r="V91" s="476" t="s">
        <v>308</v>
      </c>
      <c r="W91" s="476" t="s">
        <v>309</v>
      </c>
      <c r="X91" s="22"/>
      <c r="Y91" s="22"/>
      <c r="Z91" s="492">
        <v>42999</v>
      </c>
      <c r="AA91" s="34"/>
      <c r="AB91" s="481">
        <v>43055</v>
      </c>
      <c r="AC91" s="481"/>
      <c r="AD91" s="29"/>
      <c r="AE91" s="29"/>
      <c r="AF91" s="22"/>
      <c r="AG91" s="481" t="s">
        <v>101</v>
      </c>
      <c r="AH91" s="515">
        <f t="shared" si="9"/>
        <v>640</v>
      </c>
      <c r="AI91" s="482"/>
      <c r="AJ91" s="533"/>
      <c r="AK91" s="533"/>
      <c r="AL91" s="533"/>
      <c r="AM91" s="533"/>
      <c r="AN91" s="533"/>
      <c r="AO91" s="533"/>
      <c r="AP91" s="533"/>
      <c r="AQ91" s="533"/>
      <c r="AR91" s="533"/>
    </row>
    <row r="92" spans="1:44" ht="25.5" customHeight="1" x14ac:dyDescent="0.25">
      <c r="A92" s="476"/>
      <c r="B92" s="485">
        <v>1</v>
      </c>
      <c r="C92" s="478">
        <v>3</v>
      </c>
      <c r="D92" s="479" t="s">
        <v>86</v>
      </c>
      <c r="E92" s="575"/>
      <c r="F92" s="476"/>
      <c r="G92" s="480" t="s">
        <v>311</v>
      </c>
      <c r="H92" s="480" t="s">
        <v>307</v>
      </c>
      <c r="I92" s="480"/>
      <c r="J92" s="476" t="s">
        <v>312</v>
      </c>
      <c r="K92" s="480" t="s">
        <v>312</v>
      </c>
      <c r="L92" s="491"/>
      <c r="M92" s="491"/>
      <c r="N92" s="487">
        <v>1</v>
      </c>
      <c r="O92" s="476"/>
      <c r="P92" s="488">
        <v>586</v>
      </c>
      <c r="Q92" s="483">
        <f t="shared" si="10"/>
        <v>586</v>
      </c>
      <c r="R92" s="483"/>
      <c r="S92" s="483">
        <v>586</v>
      </c>
      <c r="T92" s="62" t="s">
        <v>1950</v>
      </c>
      <c r="U92" s="483">
        <f t="shared" si="7"/>
        <v>0</v>
      </c>
      <c r="V92" s="476" t="s">
        <v>308</v>
      </c>
      <c r="W92" s="476" t="s">
        <v>309</v>
      </c>
      <c r="X92" s="22"/>
      <c r="Y92" s="22"/>
      <c r="Z92" s="492">
        <v>42999</v>
      </c>
      <c r="AA92" s="34"/>
      <c r="AB92" s="481">
        <v>43055</v>
      </c>
      <c r="AC92" s="481"/>
      <c r="AD92" s="29"/>
      <c r="AE92" s="29"/>
      <c r="AF92" s="22"/>
      <c r="AG92" s="481" t="s">
        <v>101</v>
      </c>
      <c r="AH92" s="515">
        <f t="shared" si="9"/>
        <v>586</v>
      </c>
      <c r="AI92" s="482"/>
      <c r="AJ92" s="533"/>
      <c r="AK92" s="533"/>
      <c r="AL92" s="533"/>
      <c r="AM92" s="533"/>
      <c r="AN92" s="533"/>
      <c r="AO92" s="533"/>
      <c r="AP92" s="533"/>
      <c r="AQ92" s="533"/>
      <c r="AR92" s="533"/>
    </row>
    <row r="93" spans="1:44" ht="25.5" customHeight="1" x14ac:dyDescent="0.25">
      <c r="A93" s="476"/>
      <c r="B93" s="485">
        <v>1</v>
      </c>
      <c r="C93" s="478">
        <v>3</v>
      </c>
      <c r="D93" s="479" t="s">
        <v>86</v>
      </c>
      <c r="E93" s="575"/>
      <c r="F93" s="476"/>
      <c r="G93" s="480" t="s">
        <v>313</v>
      </c>
      <c r="H93" s="480" t="s">
        <v>307</v>
      </c>
      <c r="I93" s="480"/>
      <c r="J93" s="476" t="s">
        <v>314</v>
      </c>
      <c r="K93" s="480" t="s">
        <v>314</v>
      </c>
      <c r="L93" s="491"/>
      <c r="M93" s="491"/>
      <c r="N93" s="487">
        <v>1</v>
      </c>
      <c r="O93" s="476"/>
      <c r="P93" s="488">
        <v>586</v>
      </c>
      <c r="Q93" s="483">
        <f t="shared" si="10"/>
        <v>586</v>
      </c>
      <c r="R93" s="483"/>
      <c r="S93" s="483">
        <v>586</v>
      </c>
      <c r="T93" s="62" t="s">
        <v>1950</v>
      </c>
      <c r="U93" s="483">
        <f t="shared" si="7"/>
        <v>0</v>
      </c>
      <c r="V93" s="476" t="s">
        <v>308</v>
      </c>
      <c r="W93" s="476" t="s">
        <v>309</v>
      </c>
      <c r="X93" s="22"/>
      <c r="Y93" s="22"/>
      <c r="Z93" s="492">
        <v>42999</v>
      </c>
      <c r="AA93" s="34"/>
      <c r="AB93" s="481">
        <v>43055</v>
      </c>
      <c r="AC93" s="481"/>
      <c r="AD93" s="29"/>
      <c r="AE93" s="29"/>
      <c r="AF93" s="22"/>
      <c r="AG93" s="481" t="s">
        <v>101</v>
      </c>
      <c r="AH93" s="515">
        <f t="shared" si="9"/>
        <v>586</v>
      </c>
      <c r="AI93" s="482"/>
      <c r="AJ93" s="533"/>
      <c r="AK93" s="533"/>
      <c r="AL93" s="533"/>
      <c r="AM93" s="533"/>
      <c r="AN93" s="533"/>
      <c r="AO93" s="533"/>
      <c r="AP93" s="533"/>
      <c r="AQ93" s="533"/>
      <c r="AR93" s="533"/>
    </row>
    <row r="94" spans="1:44" ht="12.75" customHeight="1" x14ac:dyDescent="0.25">
      <c r="A94" s="22"/>
      <c r="B94" s="352">
        <v>0</v>
      </c>
      <c r="C94" s="80">
        <v>3</v>
      </c>
      <c r="D94" s="382" t="s">
        <v>86</v>
      </c>
      <c r="E94" s="65"/>
      <c r="F94" s="23"/>
      <c r="G94" s="42" t="s">
        <v>315</v>
      </c>
      <c r="H94" s="42" t="s">
        <v>316</v>
      </c>
      <c r="I94" s="42"/>
      <c r="J94" s="22"/>
      <c r="K94" s="42" t="s">
        <v>317</v>
      </c>
      <c r="L94" s="22"/>
      <c r="M94" s="22"/>
      <c r="N94" s="50">
        <v>2</v>
      </c>
      <c r="O94" s="22"/>
      <c r="P94" s="81">
        <v>1864</v>
      </c>
      <c r="Q94" s="28">
        <f t="shared" si="10"/>
        <v>3728</v>
      </c>
      <c r="R94" s="28"/>
      <c r="S94" s="28">
        <v>3495</v>
      </c>
      <c r="T94" s="62" t="s">
        <v>1950</v>
      </c>
      <c r="U94" s="28">
        <f t="shared" si="7"/>
        <v>233</v>
      </c>
      <c r="V94" s="22" t="s">
        <v>318</v>
      </c>
      <c r="W94" s="22" t="s">
        <v>319</v>
      </c>
      <c r="X94" s="22"/>
      <c r="Y94" s="22"/>
      <c r="Z94" s="29">
        <v>43129</v>
      </c>
      <c r="AA94" s="29"/>
      <c r="AB94" s="29">
        <v>43161</v>
      </c>
      <c r="AC94" s="29"/>
      <c r="AD94" s="29"/>
      <c r="AE94" s="29"/>
      <c r="AF94" s="22"/>
      <c r="AG94" s="29" t="s">
        <v>98</v>
      </c>
      <c r="AH94" s="516">
        <v>3507.95</v>
      </c>
      <c r="AI94" s="144"/>
      <c r="AJ94" s="143"/>
      <c r="AK94" s="143"/>
      <c r="AL94" s="143"/>
      <c r="AM94" s="143"/>
      <c r="AN94" s="143"/>
      <c r="AO94" s="143"/>
      <c r="AP94" s="143"/>
      <c r="AQ94" s="143"/>
      <c r="AR94" s="143"/>
    </row>
    <row r="95" spans="1:44" ht="68.25" customHeight="1" x14ac:dyDescent="0.25">
      <c r="A95" s="476"/>
      <c r="B95" s="477">
        <v>1</v>
      </c>
      <c r="C95" s="478">
        <v>4</v>
      </c>
      <c r="D95" s="479" t="s">
        <v>86</v>
      </c>
      <c r="E95" s="575">
        <v>4.5</v>
      </c>
      <c r="F95" s="577"/>
      <c r="G95" s="480" t="s">
        <v>132</v>
      </c>
      <c r="H95" s="480" t="s">
        <v>133</v>
      </c>
      <c r="I95" s="480"/>
      <c r="J95" s="493"/>
      <c r="K95" s="480" t="s">
        <v>134</v>
      </c>
      <c r="L95" s="486" t="s">
        <v>133</v>
      </c>
      <c r="M95" s="486"/>
      <c r="N95" s="487">
        <v>1</v>
      </c>
      <c r="O95" s="494"/>
      <c r="P95" s="488">
        <v>175</v>
      </c>
      <c r="Q95" s="483">
        <f t="shared" si="10"/>
        <v>175</v>
      </c>
      <c r="R95" s="495"/>
      <c r="S95" s="483">
        <v>175</v>
      </c>
      <c r="T95" s="62" t="s">
        <v>1950</v>
      </c>
      <c r="U95" s="496">
        <f t="shared" si="7"/>
        <v>0</v>
      </c>
      <c r="V95" s="476" t="s">
        <v>320</v>
      </c>
      <c r="W95" s="476" t="s">
        <v>321</v>
      </c>
      <c r="X95" s="22"/>
      <c r="Y95" s="22"/>
      <c r="Z95" s="481">
        <v>43032</v>
      </c>
      <c r="AA95" s="29"/>
      <c r="AB95" s="481">
        <v>43038</v>
      </c>
      <c r="AC95" s="481">
        <v>43039</v>
      </c>
      <c r="AD95" s="29"/>
      <c r="AE95" s="29"/>
      <c r="AF95" s="22" t="s">
        <v>322</v>
      </c>
      <c r="AG95" s="481" t="s">
        <v>101</v>
      </c>
      <c r="AH95" s="515">
        <f>S95</f>
        <v>175</v>
      </c>
      <c r="AI95" s="482"/>
      <c r="AJ95" s="533"/>
      <c r="AK95" s="533"/>
      <c r="AL95" s="533"/>
      <c r="AM95" s="533"/>
      <c r="AN95" s="533"/>
      <c r="AO95" s="533"/>
      <c r="AP95" s="533"/>
      <c r="AQ95" s="533"/>
      <c r="AR95" s="533"/>
    </row>
    <row r="96" spans="1:44" ht="28.5" customHeight="1" x14ac:dyDescent="0.25">
      <c r="A96" s="476"/>
      <c r="B96" s="477">
        <v>1</v>
      </c>
      <c r="C96" s="478">
        <v>4</v>
      </c>
      <c r="D96" s="479" t="s">
        <v>86</v>
      </c>
      <c r="E96" s="575">
        <v>4.51</v>
      </c>
      <c r="F96" s="577"/>
      <c r="G96" s="480" t="s">
        <v>138</v>
      </c>
      <c r="H96" s="480" t="s">
        <v>133</v>
      </c>
      <c r="I96" s="480"/>
      <c r="J96" s="493"/>
      <c r="K96" s="480" t="s">
        <v>139</v>
      </c>
      <c r="L96" s="486" t="s">
        <v>133</v>
      </c>
      <c r="M96" s="486"/>
      <c r="N96" s="487">
        <v>1</v>
      </c>
      <c r="O96" s="494"/>
      <c r="P96" s="488">
        <v>325</v>
      </c>
      <c r="Q96" s="483">
        <f t="shared" si="10"/>
        <v>325</v>
      </c>
      <c r="R96" s="495"/>
      <c r="S96" s="483">
        <v>325</v>
      </c>
      <c r="T96" s="62" t="s">
        <v>1950</v>
      </c>
      <c r="U96" s="496">
        <f t="shared" si="7"/>
        <v>0</v>
      </c>
      <c r="V96" s="476" t="s">
        <v>320</v>
      </c>
      <c r="W96" s="476" t="s">
        <v>321</v>
      </c>
      <c r="X96" s="22"/>
      <c r="Y96" s="22"/>
      <c r="Z96" s="481">
        <v>43032</v>
      </c>
      <c r="AA96" s="29"/>
      <c r="AB96" s="481">
        <v>43038</v>
      </c>
      <c r="AC96" s="481">
        <v>43039</v>
      </c>
      <c r="AD96" s="29"/>
      <c r="AE96" s="29"/>
      <c r="AF96" s="22" t="s">
        <v>323</v>
      </c>
      <c r="AG96" s="481" t="s">
        <v>101</v>
      </c>
      <c r="AH96" s="515">
        <f t="shared" ref="AH96:AH102" si="11">S96</f>
        <v>325</v>
      </c>
      <c r="AI96" s="482"/>
      <c r="AJ96" s="533"/>
      <c r="AK96" s="533"/>
      <c r="AL96" s="533"/>
      <c r="AM96" s="533"/>
      <c r="AN96" s="533"/>
      <c r="AO96" s="533"/>
      <c r="AP96" s="533"/>
      <c r="AQ96" s="533"/>
      <c r="AR96" s="533"/>
    </row>
    <row r="97" spans="1:44" ht="33" customHeight="1" x14ac:dyDescent="0.25">
      <c r="A97" s="476"/>
      <c r="B97" s="477">
        <v>1</v>
      </c>
      <c r="C97" s="478">
        <v>4</v>
      </c>
      <c r="D97" s="479" t="s">
        <v>86</v>
      </c>
      <c r="E97" s="575">
        <v>4.5199999999999996</v>
      </c>
      <c r="F97" s="577"/>
      <c r="G97" s="480" t="s">
        <v>141</v>
      </c>
      <c r="H97" s="480" t="s">
        <v>133</v>
      </c>
      <c r="I97" s="480"/>
      <c r="J97" s="476"/>
      <c r="K97" s="480" t="s">
        <v>142</v>
      </c>
      <c r="L97" s="486" t="s">
        <v>133</v>
      </c>
      <c r="M97" s="486"/>
      <c r="N97" s="487">
        <v>1</v>
      </c>
      <c r="O97" s="494"/>
      <c r="P97" s="488">
        <v>99.95</v>
      </c>
      <c r="Q97" s="483">
        <f t="shared" si="10"/>
        <v>99.95</v>
      </c>
      <c r="R97" s="483"/>
      <c r="S97" s="483">
        <v>13.05</v>
      </c>
      <c r="T97" s="62" t="s">
        <v>1950</v>
      </c>
      <c r="U97" s="496">
        <f t="shared" si="7"/>
        <v>86.9</v>
      </c>
      <c r="V97" s="476" t="s">
        <v>320</v>
      </c>
      <c r="W97" s="476" t="s">
        <v>321</v>
      </c>
      <c r="X97" s="22"/>
      <c r="Y97" s="22"/>
      <c r="Z97" s="481">
        <v>43032</v>
      </c>
      <c r="AA97" s="29"/>
      <c r="AB97" s="481">
        <v>43038</v>
      </c>
      <c r="AC97" s="481">
        <v>43039</v>
      </c>
      <c r="AD97" s="29"/>
      <c r="AE97" s="29"/>
      <c r="AF97" s="22" t="s">
        <v>324</v>
      </c>
      <c r="AG97" s="481" t="s">
        <v>101</v>
      </c>
      <c r="AH97" s="515">
        <f t="shared" si="11"/>
        <v>13.05</v>
      </c>
      <c r="AI97" s="482"/>
      <c r="AJ97" s="533"/>
      <c r="AK97" s="533"/>
      <c r="AL97" s="533"/>
      <c r="AM97" s="533"/>
      <c r="AN97" s="533"/>
      <c r="AO97" s="533"/>
      <c r="AP97" s="533"/>
      <c r="AQ97" s="533"/>
      <c r="AR97" s="533"/>
    </row>
    <row r="98" spans="1:44" ht="33" customHeight="1" x14ac:dyDescent="0.25">
      <c r="A98" s="476"/>
      <c r="B98" s="477">
        <v>1</v>
      </c>
      <c r="C98" s="478">
        <v>4</v>
      </c>
      <c r="D98" s="479" t="s">
        <v>86</v>
      </c>
      <c r="E98" s="575"/>
      <c r="F98" s="577"/>
      <c r="G98" s="480" t="s">
        <v>325</v>
      </c>
      <c r="H98" s="480"/>
      <c r="I98" s="480"/>
      <c r="J98" s="476"/>
      <c r="K98" s="480"/>
      <c r="L98" s="486" t="s">
        <v>326</v>
      </c>
      <c r="M98" s="486"/>
      <c r="N98" s="487">
        <v>4</v>
      </c>
      <c r="O98" s="494"/>
      <c r="P98" s="488">
        <v>209.99</v>
      </c>
      <c r="Q98" s="483">
        <f t="shared" si="10"/>
        <v>839.96</v>
      </c>
      <c r="R98" s="483"/>
      <c r="S98" s="483">
        <v>860</v>
      </c>
      <c r="T98" s="62" t="s">
        <v>1950</v>
      </c>
      <c r="U98" s="496">
        <f t="shared" si="7"/>
        <v>-20.039999999999964</v>
      </c>
      <c r="V98" s="476" t="s">
        <v>327</v>
      </c>
      <c r="W98" s="476" t="s">
        <v>328</v>
      </c>
      <c r="X98" s="22"/>
      <c r="Y98" s="22"/>
      <c r="Z98" s="481">
        <v>42795</v>
      </c>
      <c r="AA98" s="29"/>
      <c r="AB98" s="481">
        <v>42801</v>
      </c>
      <c r="AC98" s="481">
        <v>42797</v>
      </c>
      <c r="AD98" s="29"/>
      <c r="AE98" s="29"/>
      <c r="AF98" s="22" t="s">
        <v>178</v>
      </c>
      <c r="AG98" s="481" t="s">
        <v>101</v>
      </c>
      <c r="AH98" s="515">
        <f t="shared" si="11"/>
        <v>860</v>
      </c>
      <c r="AI98" s="482"/>
      <c r="AJ98" s="533"/>
      <c r="AK98" s="533"/>
      <c r="AL98" s="533"/>
      <c r="AM98" s="533"/>
      <c r="AN98" s="533"/>
      <c r="AO98" s="533"/>
      <c r="AP98" s="533"/>
      <c r="AQ98" s="533"/>
      <c r="AR98" s="533"/>
    </row>
    <row r="99" spans="1:44" ht="33" customHeight="1" x14ac:dyDescent="0.25">
      <c r="A99" s="476"/>
      <c r="B99" s="477">
        <v>1</v>
      </c>
      <c r="C99" s="478">
        <v>4</v>
      </c>
      <c r="D99" s="479" t="s">
        <v>86</v>
      </c>
      <c r="E99" s="575"/>
      <c r="F99" s="577"/>
      <c r="G99" s="480" t="s">
        <v>329</v>
      </c>
      <c r="H99" s="480" t="s">
        <v>330</v>
      </c>
      <c r="I99" s="480"/>
      <c r="J99" s="476"/>
      <c r="K99" s="480"/>
      <c r="L99" s="486" t="s">
        <v>331</v>
      </c>
      <c r="M99" s="486"/>
      <c r="N99" s="487">
        <v>6</v>
      </c>
      <c r="O99" s="494"/>
      <c r="P99" s="488">
        <v>590.1</v>
      </c>
      <c r="Q99" s="483">
        <f t="shared" si="10"/>
        <v>3540.6000000000004</v>
      </c>
      <c r="R99" s="483"/>
      <c r="S99" s="483">
        <v>3431.52</v>
      </c>
      <c r="T99" s="62" t="s">
        <v>1950</v>
      </c>
      <c r="U99" s="496">
        <f t="shared" si="7"/>
        <v>109.08000000000038</v>
      </c>
      <c r="V99" s="476" t="s">
        <v>332</v>
      </c>
      <c r="W99" s="476">
        <v>444125</v>
      </c>
      <c r="X99" s="22"/>
      <c r="Y99" s="22"/>
      <c r="Z99" s="481">
        <v>43046</v>
      </c>
      <c r="AA99" s="29"/>
      <c r="AB99" s="481">
        <v>43049</v>
      </c>
      <c r="AC99" s="481">
        <v>43082</v>
      </c>
      <c r="AD99" s="29"/>
      <c r="AE99" s="29"/>
      <c r="AF99" s="22" t="s">
        <v>178</v>
      </c>
      <c r="AG99" s="481" t="s">
        <v>101</v>
      </c>
      <c r="AH99" s="515">
        <f t="shared" si="11"/>
        <v>3431.52</v>
      </c>
      <c r="AI99" s="482"/>
      <c r="AJ99" s="533"/>
      <c r="AK99" s="533"/>
      <c r="AL99" s="533"/>
      <c r="AM99" s="533"/>
      <c r="AN99" s="533"/>
      <c r="AO99" s="533"/>
      <c r="AP99" s="533"/>
      <c r="AQ99" s="533"/>
      <c r="AR99" s="533"/>
    </row>
    <row r="100" spans="1:44" ht="33" customHeight="1" x14ac:dyDescent="0.25">
      <c r="A100" s="476"/>
      <c r="B100" s="477">
        <v>1</v>
      </c>
      <c r="C100" s="478">
        <v>4</v>
      </c>
      <c r="D100" s="479" t="s">
        <v>86</v>
      </c>
      <c r="E100" s="575"/>
      <c r="F100" s="577"/>
      <c r="G100" s="480" t="s">
        <v>333</v>
      </c>
      <c r="H100" s="480" t="s">
        <v>88</v>
      </c>
      <c r="I100" s="480"/>
      <c r="J100" s="476"/>
      <c r="K100" s="480"/>
      <c r="L100" s="486"/>
      <c r="M100" s="486"/>
      <c r="N100" s="487">
        <v>1</v>
      </c>
      <c r="O100" s="494"/>
      <c r="P100" s="488">
        <v>10018.700000000001</v>
      </c>
      <c r="Q100" s="483">
        <f t="shared" si="10"/>
        <v>10018.700000000001</v>
      </c>
      <c r="R100" s="483"/>
      <c r="S100" s="483">
        <v>3034.44</v>
      </c>
      <c r="T100" s="62" t="s">
        <v>1950</v>
      </c>
      <c r="U100" s="496">
        <f t="shared" ref="U100:U123" si="12">Q100-S100</f>
        <v>6984.26</v>
      </c>
      <c r="V100" s="476" t="s">
        <v>334</v>
      </c>
      <c r="W100" s="476">
        <v>443721</v>
      </c>
      <c r="X100" s="22"/>
      <c r="Y100" s="22"/>
      <c r="Z100" s="481">
        <v>43032</v>
      </c>
      <c r="AA100" s="29"/>
      <c r="AB100" s="481">
        <v>43049</v>
      </c>
      <c r="AC100" s="481">
        <v>43049</v>
      </c>
      <c r="AD100" s="21"/>
      <c r="AE100" s="29"/>
      <c r="AF100" s="29" t="s">
        <v>335</v>
      </c>
      <c r="AG100" s="481" t="s">
        <v>101</v>
      </c>
      <c r="AH100" s="515">
        <f t="shared" si="11"/>
        <v>3034.44</v>
      </c>
      <c r="AI100" s="482"/>
      <c r="AJ100" s="533"/>
      <c r="AK100" s="533"/>
      <c r="AL100" s="533"/>
      <c r="AM100" s="533"/>
      <c r="AN100" s="533"/>
      <c r="AO100" s="533"/>
      <c r="AP100" s="533"/>
      <c r="AQ100" s="533"/>
      <c r="AR100" s="533"/>
    </row>
    <row r="101" spans="1:44" ht="33" customHeight="1" x14ac:dyDescent="0.25">
      <c r="A101" s="476"/>
      <c r="B101" s="477">
        <v>1</v>
      </c>
      <c r="C101" s="478">
        <v>4</v>
      </c>
      <c r="D101" s="479" t="s">
        <v>86</v>
      </c>
      <c r="E101" s="575"/>
      <c r="F101" s="577"/>
      <c r="G101" s="480" t="s">
        <v>336</v>
      </c>
      <c r="H101" s="480" t="s">
        <v>88</v>
      </c>
      <c r="I101" s="480"/>
      <c r="J101" s="476"/>
      <c r="K101" s="480"/>
      <c r="L101" s="486"/>
      <c r="M101" s="486"/>
      <c r="N101" s="487">
        <v>1</v>
      </c>
      <c r="O101" s="494"/>
      <c r="P101" s="488">
        <v>79.989999999999995</v>
      </c>
      <c r="Q101" s="483">
        <f t="shared" si="10"/>
        <v>79.989999999999995</v>
      </c>
      <c r="R101" s="483"/>
      <c r="S101" s="483">
        <v>52.71</v>
      </c>
      <c r="T101" s="62" t="s">
        <v>1950</v>
      </c>
      <c r="U101" s="496">
        <f t="shared" si="12"/>
        <v>27.279999999999994</v>
      </c>
      <c r="V101" s="476" t="s">
        <v>334</v>
      </c>
      <c r="W101" s="476">
        <v>443721</v>
      </c>
      <c r="X101" s="22"/>
      <c r="Y101" s="22"/>
      <c r="Z101" s="481">
        <v>43032</v>
      </c>
      <c r="AA101" s="29"/>
      <c r="AB101" s="481">
        <v>43049</v>
      </c>
      <c r="AC101" s="481">
        <v>43049</v>
      </c>
      <c r="AD101" s="29"/>
      <c r="AE101" s="29"/>
      <c r="AF101" s="29" t="s">
        <v>335</v>
      </c>
      <c r="AG101" s="481" t="s">
        <v>101</v>
      </c>
      <c r="AH101" s="515">
        <f t="shared" si="11"/>
        <v>52.71</v>
      </c>
      <c r="AI101" s="482"/>
      <c r="AJ101" s="533"/>
      <c r="AK101" s="533"/>
      <c r="AL101" s="533"/>
      <c r="AM101" s="533"/>
      <c r="AN101" s="533"/>
      <c r="AO101" s="533"/>
      <c r="AP101" s="533"/>
      <c r="AQ101" s="533"/>
      <c r="AR101" s="533"/>
    </row>
    <row r="102" spans="1:44" ht="33" customHeight="1" x14ac:dyDescent="0.25">
      <c r="A102" s="476"/>
      <c r="B102" s="477">
        <v>1</v>
      </c>
      <c r="C102" s="478">
        <v>4</v>
      </c>
      <c r="D102" s="479" t="s">
        <v>86</v>
      </c>
      <c r="E102" s="575"/>
      <c r="F102" s="577"/>
      <c r="G102" s="480" t="s">
        <v>337</v>
      </c>
      <c r="H102" s="480" t="s">
        <v>88</v>
      </c>
      <c r="I102" s="480"/>
      <c r="J102" s="476"/>
      <c r="K102" s="480"/>
      <c r="L102" s="486"/>
      <c r="M102" s="486"/>
      <c r="N102" s="487">
        <v>1</v>
      </c>
      <c r="O102" s="494"/>
      <c r="P102" s="488">
        <v>29.99</v>
      </c>
      <c r="Q102" s="483">
        <f t="shared" si="10"/>
        <v>29.99</v>
      </c>
      <c r="R102" s="483"/>
      <c r="S102" s="483">
        <v>19.760000000000002</v>
      </c>
      <c r="T102" s="62" t="s">
        <v>1950</v>
      </c>
      <c r="U102" s="496">
        <f t="shared" si="12"/>
        <v>10.229999999999997</v>
      </c>
      <c r="V102" s="476" t="s">
        <v>334</v>
      </c>
      <c r="W102" s="476">
        <v>443721</v>
      </c>
      <c r="X102" s="22"/>
      <c r="Y102" s="22"/>
      <c r="Z102" s="481">
        <v>43032</v>
      </c>
      <c r="AA102" s="29"/>
      <c r="AB102" s="481">
        <v>43049</v>
      </c>
      <c r="AC102" s="481">
        <v>43049</v>
      </c>
      <c r="AD102" s="29"/>
      <c r="AE102" s="29"/>
      <c r="AF102" s="29" t="s">
        <v>335</v>
      </c>
      <c r="AG102" s="481" t="s">
        <v>101</v>
      </c>
      <c r="AH102" s="515">
        <f t="shared" si="11"/>
        <v>19.760000000000002</v>
      </c>
      <c r="AI102" s="482"/>
      <c r="AJ102" s="533"/>
      <c r="AK102" s="533"/>
      <c r="AL102" s="533"/>
      <c r="AM102" s="533"/>
      <c r="AN102" s="533"/>
      <c r="AO102" s="533"/>
      <c r="AP102" s="533"/>
      <c r="AQ102" s="533"/>
      <c r="AR102" s="533"/>
    </row>
    <row r="103" spans="1:44" ht="25.5" customHeight="1" x14ac:dyDescent="0.25">
      <c r="A103" s="22"/>
      <c r="B103" s="352">
        <v>1</v>
      </c>
      <c r="C103" s="80">
        <v>4</v>
      </c>
      <c r="D103" s="382" t="s">
        <v>86</v>
      </c>
      <c r="E103" s="65">
        <v>4.29</v>
      </c>
      <c r="F103" s="22"/>
      <c r="G103" s="42" t="s">
        <v>338</v>
      </c>
      <c r="H103" s="42" t="s">
        <v>88</v>
      </c>
      <c r="I103" s="42"/>
      <c r="J103" s="22"/>
      <c r="K103" s="42" t="s">
        <v>339</v>
      </c>
      <c r="L103" s="25"/>
      <c r="M103" s="25"/>
      <c r="N103" s="50">
        <v>3</v>
      </c>
      <c r="O103" s="22"/>
      <c r="P103" s="81">
        <v>20698</v>
      </c>
      <c r="Q103" s="28">
        <f t="shared" si="10"/>
        <v>62094</v>
      </c>
      <c r="R103" s="28"/>
      <c r="S103" s="28">
        <v>36165.33</v>
      </c>
      <c r="T103" s="62" t="s">
        <v>1950</v>
      </c>
      <c r="U103" s="62">
        <f t="shared" si="12"/>
        <v>25928.67</v>
      </c>
      <c r="V103" s="22" t="s">
        <v>111</v>
      </c>
      <c r="W103" s="22">
        <v>444308</v>
      </c>
      <c r="X103" s="22"/>
      <c r="Y103" s="22"/>
      <c r="Z103" s="29">
        <v>43054</v>
      </c>
      <c r="AA103" s="29"/>
      <c r="AB103" s="29">
        <v>43077</v>
      </c>
      <c r="AC103" s="29">
        <v>43159</v>
      </c>
      <c r="AD103" s="29"/>
      <c r="AE103" s="29"/>
      <c r="AF103" s="22" t="s">
        <v>340</v>
      </c>
      <c r="AG103" s="29" t="s">
        <v>98</v>
      </c>
      <c r="AH103" s="516">
        <v>4499.9399999999996</v>
      </c>
      <c r="AI103" s="144"/>
      <c r="AJ103" s="143"/>
      <c r="AK103" s="143"/>
      <c r="AL103" s="143"/>
      <c r="AM103" s="143"/>
      <c r="AN103" s="143"/>
      <c r="AO103" s="143"/>
      <c r="AP103" s="143"/>
      <c r="AQ103" s="143"/>
      <c r="AR103" s="143"/>
    </row>
    <row r="104" spans="1:44" ht="38.25" customHeight="1" x14ac:dyDescent="0.25">
      <c r="A104" s="22"/>
      <c r="B104" s="352">
        <v>1</v>
      </c>
      <c r="C104" s="80">
        <v>4</v>
      </c>
      <c r="D104" s="382" t="s">
        <v>86</v>
      </c>
      <c r="E104" s="65">
        <v>4.3499999999999996</v>
      </c>
      <c r="F104" s="22"/>
      <c r="G104" s="42" t="s">
        <v>341</v>
      </c>
      <c r="H104" s="42" t="s">
        <v>88</v>
      </c>
      <c r="I104" s="42"/>
      <c r="J104" s="22"/>
      <c r="K104" s="42" t="s">
        <v>342</v>
      </c>
      <c r="L104" s="25"/>
      <c r="M104" s="25"/>
      <c r="N104" s="50">
        <v>2</v>
      </c>
      <c r="O104" s="22"/>
      <c r="P104" s="81">
        <v>22098</v>
      </c>
      <c r="Q104" s="28">
        <f t="shared" si="10"/>
        <v>44196</v>
      </c>
      <c r="R104" s="28"/>
      <c r="S104" s="28">
        <v>41746.620000000003</v>
      </c>
      <c r="T104" s="62" t="s">
        <v>1950</v>
      </c>
      <c r="U104" s="62">
        <f t="shared" si="12"/>
        <v>2449.3799999999974</v>
      </c>
      <c r="V104" s="22" t="s">
        <v>111</v>
      </c>
      <c r="W104" s="22">
        <v>444308</v>
      </c>
      <c r="X104" s="22"/>
      <c r="Y104" s="22"/>
      <c r="Z104" s="29">
        <v>43054</v>
      </c>
      <c r="AA104" s="29"/>
      <c r="AB104" s="29">
        <v>43077</v>
      </c>
      <c r="AC104" s="29">
        <v>43159</v>
      </c>
      <c r="AD104" s="29"/>
      <c r="AE104" s="29"/>
      <c r="AF104" s="22" t="s">
        <v>340</v>
      </c>
      <c r="AG104" s="29" t="s">
        <v>98</v>
      </c>
      <c r="AH104" s="516">
        <v>36165.33</v>
      </c>
      <c r="AI104" s="144"/>
      <c r="AJ104" s="143"/>
      <c r="AK104" s="143"/>
      <c r="AL104" s="143"/>
      <c r="AM104" s="143"/>
      <c r="AN104" s="143"/>
      <c r="AO104" s="143"/>
      <c r="AP104" s="143"/>
      <c r="AQ104" s="143"/>
      <c r="AR104" s="143"/>
    </row>
    <row r="105" spans="1:44" ht="25.5" customHeight="1" x14ac:dyDescent="0.25">
      <c r="A105" s="22"/>
      <c r="B105" s="352">
        <v>1</v>
      </c>
      <c r="C105" s="80">
        <v>4</v>
      </c>
      <c r="D105" s="382" t="s">
        <v>86</v>
      </c>
      <c r="E105" s="65">
        <v>4.37</v>
      </c>
      <c r="F105" s="22"/>
      <c r="G105" s="42" t="s">
        <v>343</v>
      </c>
      <c r="H105" s="42" t="s">
        <v>88</v>
      </c>
      <c r="I105" s="42"/>
      <c r="J105" s="22"/>
      <c r="K105" s="42" t="s">
        <v>344</v>
      </c>
      <c r="L105" s="25"/>
      <c r="M105" s="25"/>
      <c r="N105" s="50">
        <v>6</v>
      </c>
      <c r="O105" s="22"/>
      <c r="P105" s="81">
        <v>999.99</v>
      </c>
      <c r="Q105" s="28">
        <f t="shared" si="10"/>
        <v>5999.9400000000005</v>
      </c>
      <c r="R105" s="28"/>
      <c r="S105" s="28">
        <v>0</v>
      </c>
      <c r="T105" s="62" t="s">
        <v>1950</v>
      </c>
      <c r="U105" s="62">
        <f t="shared" si="12"/>
        <v>5999.9400000000005</v>
      </c>
      <c r="V105" s="22" t="s">
        <v>111</v>
      </c>
      <c r="W105" s="22">
        <v>444308</v>
      </c>
      <c r="X105" s="22"/>
      <c r="Y105" s="22"/>
      <c r="Z105" s="29">
        <v>43054</v>
      </c>
      <c r="AA105" s="29"/>
      <c r="AB105" s="29">
        <v>43077</v>
      </c>
      <c r="AC105" s="29">
        <v>43159</v>
      </c>
      <c r="AD105" s="29"/>
      <c r="AE105" s="29"/>
      <c r="AF105" s="22" t="s">
        <v>340</v>
      </c>
      <c r="AG105" s="29" t="s">
        <v>98</v>
      </c>
      <c r="AH105" s="516">
        <v>41746.620000000003</v>
      </c>
      <c r="AI105" s="144"/>
      <c r="AJ105" s="143"/>
      <c r="AK105" s="143"/>
      <c r="AL105" s="143"/>
      <c r="AM105" s="143"/>
      <c r="AN105" s="143"/>
      <c r="AO105" s="143"/>
      <c r="AP105" s="143"/>
      <c r="AQ105" s="143"/>
      <c r="AR105" s="143"/>
    </row>
    <row r="106" spans="1:44" ht="25.5" customHeight="1" x14ac:dyDescent="0.25">
      <c r="A106" s="22"/>
      <c r="B106" s="352">
        <v>1</v>
      </c>
      <c r="C106" s="80">
        <v>4</v>
      </c>
      <c r="D106" s="382" t="s">
        <v>86</v>
      </c>
      <c r="E106" s="65">
        <v>4.38</v>
      </c>
      <c r="F106" s="22"/>
      <c r="G106" s="42" t="s">
        <v>345</v>
      </c>
      <c r="H106" s="42" t="s">
        <v>88</v>
      </c>
      <c r="I106" s="42"/>
      <c r="J106" s="22"/>
      <c r="K106" s="42" t="s">
        <v>346</v>
      </c>
      <c r="L106" s="25"/>
      <c r="M106" s="25"/>
      <c r="N106" s="50">
        <v>6</v>
      </c>
      <c r="O106" s="22"/>
      <c r="P106" s="81">
        <v>999.99</v>
      </c>
      <c r="Q106" s="28">
        <f t="shared" si="10"/>
        <v>5999.9400000000005</v>
      </c>
      <c r="R106" s="28"/>
      <c r="S106" s="28">
        <v>0</v>
      </c>
      <c r="T106" s="62" t="s">
        <v>1950</v>
      </c>
      <c r="U106" s="62">
        <f t="shared" si="12"/>
        <v>5999.9400000000005</v>
      </c>
      <c r="V106" s="22" t="s">
        <v>111</v>
      </c>
      <c r="W106" s="22">
        <v>444308</v>
      </c>
      <c r="X106" s="22"/>
      <c r="Y106" s="22"/>
      <c r="Z106" s="29">
        <v>43054</v>
      </c>
      <c r="AA106" s="29"/>
      <c r="AB106" s="29">
        <v>43077</v>
      </c>
      <c r="AC106" s="29">
        <v>43159</v>
      </c>
      <c r="AD106" s="29"/>
      <c r="AE106" s="29"/>
      <c r="AF106" s="22" t="s">
        <v>340</v>
      </c>
      <c r="AG106" s="29" t="s">
        <v>98</v>
      </c>
      <c r="AH106" s="516">
        <v>4098.54</v>
      </c>
      <c r="AI106" s="144"/>
      <c r="AJ106" s="143"/>
      <c r="AK106" s="143"/>
      <c r="AL106" s="143"/>
      <c r="AM106" s="143"/>
      <c r="AN106" s="143"/>
      <c r="AO106" s="143"/>
      <c r="AP106" s="143"/>
      <c r="AQ106" s="143"/>
      <c r="AR106" s="143"/>
    </row>
    <row r="107" spans="1:44" ht="38.25" customHeight="1" x14ac:dyDescent="0.25">
      <c r="A107" s="22"/>
      <c r="B107" s="352">
        <v>1</v>
      </c>
      <c r="C107" s="80">
        <v>4</v>
      </c>
      <c r="D107" s="382" t="s">
        <v>86</v>
      </c>
      <c r="E107" s="65">
        <v>4.4800000000000004</v>
      </c>
      <c r="F107" s="22"/>
      <c r="G107" s="42" t="s">
        <v>347</v>
      </c>
      <c r="H107" s="42" t="s">
        <v>88</v>
      </c>
      <c r="I107" s="42"/>
      <c r="J107" s="22"/>
      <c r="K107" s="42" t="s">
        <v>348</v>
      </c>
      <c r="L107" s="25"/>
      <c r="M107" s="25"/>
      <c r="N107" s="50">
        <v>1</v>
      </c>
      <c r="O107" s="22"/>
      <c r="P107" s="81">
        <v>10395.280000000001</v>
      </c>
      <c r="Q107" s="28">
        <f t="shared" si="10"/>
        <v>10395.280000000001</v>
      </c>
      <c r="R107" s="37"/>
      <c r="S107" s="28">
        <v>9455.0400000000009</v>
      </c>
      <c r="T107" s="62" t="s">
        <v>1950</v>
      </c>
      <c r="U107" s="62">
        <f t="shared" si="12"/>
        <v>940.23999999999978</v>
      </c>
      <c r="V107" s="22" t="s">
        <v>111</v>
      </c>
      <c r="W107" s="21">
        <v>444308</v>
      </c>
      <c r="X107" s="22"/>
      <c r="Y107" s="22"/>
      <c r="Z107" s="29">
        <v>43054</v>
      </c>
      <c r="AA107" s="29"/>
      <c r="AB107" s="29">
        <v>43077</v>
      </c>
      <c r="AC107" s="29">
        <v>43159</v>
      </c>
      <c r="AD107" s="29"/>
      <c r="AE107" s="29"/>
      <c r="AF107" s="22" t="s">
        <v>340</v>
      </c>
      <c r="AG107" s="29" t="s">
        <v>98</v>
      </c>
      <c r="AH107" s="516">
        <v>9455.0400000000009</v>
      </c>
      <c r="AI107" s="144"/>
      <c r="AJ107" s="143"/>
      <c r="AK107" s="143"/>
      <c r="AL107" s="143"/>
      <c r="AM107" s="143"/>
      <c r="AN107" s="143"/>
      <c r="AO107" s="143"/>
      <c r="AP107" s="143"/>
      <c r="AQ107" s="143"/>
      <c r="AR107" s="143"/>
    </row>
    <row r="108" spans="1:44" ht="25.5" customHeight="1" x14ac:dyDescent="0.25">
      <c r="A108" s="476"/>
      <c r="B108" s="485">
        <v>1</v>
      </c>
      <c r="C108" s="478">
        <v>4</v>
      </c>
      <c r="D108" s="479" t="s">
        <v>86</v>
      </c>
      <c r="E108" s="484"/>
      <c r="F108" s="476"/>
      <c r="G108" s="480" t="s">
        <v>349</v>
      </c>
      <c r="H108" s="480" t="s">
        <v>180</v>
      </c>
      <c r="I108" s="480"/>
      <c r="J108" s="476"/>
      <c r="K108" s="480" t="s">
        <v>350</v>
      </c>
      <c r="L108" s="486" t="s">
        <v>351</v>
      </c>
      <c r="M108" s="486"/>
      <c r="N108" s="487">
        <v>2</v>
      </c>
      <c r="O108" s="476"/>
      <c r="P108" s="488">
        <v>2417</v>
      </c>
      <c r="Q108" s="483">
        <f t="shared" si="10"/>
        <v>4834</v>
      </c>
      <c r="R108" s="483"/>
      <c r="S108" s="483">
        <v>3050</v>
      </c>
      <c r="T108" s="62" t="s">
        <v>1950</v>
      </c>
      <c r="U108" s="496">
        <f t="shared" si="12"/>
        <v>1784</v>
      </c>
      <c r="V108" s="476" t="s">
        <v>352</v>
      </c>
      <c r="W108" s="476">
        <v>443990</v>
      </c>
      <c r="X108" s="22"/>
      <c r="Y108" s="22"/>
      <c r="Z108" s="481">
        <v>43040</v>
      </c>
      <c r="AA108" s="29"/>
      <c r="AB108" s="481">
        <v>43056</v>
      </c>
      <c r="AC108" s="481"/>
      <c r="AD108" s="29"/>
      <c r="AE108" s="29"/>
      <c r="AF108" s="22" t="s">
        <v>173</v>
      </c>
      <c r="AG108" s="481" t="s">
        <v>101</v>
      </c>
      <c r="AH108" s="515">
        <f>S108</f>
        <v>3050</v>
      </c>
      <c r="AI108" s="482"/>
      <c r="AJ108" s="533"/>
      <c r="AK108" s="533"/>
      <c r="AL108" s="533"/>
      <c r="AM108" s="533"/>
      <c r="AN108" s="533"/>
      <c r="AO108" s="533"/>
      <c r="AP108" s="533"/>
      <c r="AQ108" s="533"/>
      <c r="AR108" s="533"/>
    </row>
    <row r="109" spans="1:44" ht="38.25" customHeight="1" x14ac:dyDescent="0.25">
      <c r="A109" s="22"/>
      <c r="B109" s="352">
        <v>1</v>
      </c>
      <c r="C109" s="80">
        <v>4</v>
      </c>
      <c r="D109" s="382" t="s">
        <v>86</v>
      </c>
      <c r="E109" s="65">
        <v>4.4400000000000004</v>
      </c>
      <c r="F109" s="22"/>
      <c r="G109" s="42" t="s">
        <v>353</v>
      </c>
      <c r="H109" s="42" t="s">
        <v>118</v>
      </c>
      <c r="I109" s="42"/>
      <c r="J109" s="22"/>
      <c r="K109" s="42" t="s">
        <v>117</v>
      </c>
      <c r="L109" s="25" t="s">
        <v>354</v>
      </c>
      <c r="M109" s="25"/>
      <c r="N109" s="50">
        <v>2</v>
      </c>
      <c r="O109" s="22"/>
      <c r="P109" s="81">
        <v>10200</v>
      </c>
      <c r="Q109" s="28">
        <f t="shared" si="10"/>
        <v>20400</v>
      </c>
      <c r="R109" s="28"/>
      <c r="S109" s="28">
        <v>14790</v>
      </c>
      <c r="T109" s="62" t="s">
        <v>1950</v>
      </c>
      <c r="U109" s="62">
        <f t="shared" si="12"/>
        <v>5610</v>
      </c>
      <c r="V109" s="22" t="s">
        <v>119</v>
      </c>
      <c r="W109" s="22" t="s">
        <v>355</v>
      </c>
      <c r="X109" s="22"/>
      <c r="Y109" s="22"/>
      <c r="Z109" s="29">
        <v>43110</v>
      </c>
      <c r="AA109" s="29"/>
      <c r="AB109" s="29">
        <v>43142</v>
      </c>
      <c r="AC109" s="29">
        <v>43142</v>
      </c>
      <c r="AD109" s="29"/>
      <c r="AE109" s="29"/>
      <c r="AG109" s="29" t="s">
        <v>98</v>
      </c>
      <c r="AH109" s="516">
        <v>14790</v>
      </c>
      <c r="AI109" s="144"/>
      <c r="AJ109" s="143"/>
      <c r="AK109" s="143"/>
      <c r="AL109" s="143"/>
      <c r="AM109" s="143"/>
      <c r="AN109" s="143"/>
      <c r="AO109" s="143"/>
      <c r="AP109" s="143"/>
      <c r="AQ109" s="143"/>
      <c r="AR109" s="143"/>
    </row>
    <row r="110" spans="1:44" ht="38.25" customHeight="1" x14ac:dyDescent="0.25">
      <c r="A110" s="22"/>
      <c r="B110" s="352">
        <v>1</v>
      </c>
      <c r="C110" s="80">
        <v>4</v>
      </c>
      <c r="D110" s="382" t="s">
        <v>86</v>
      </c>
      <c r="E110" s="65">
        <v>4.46</v>
      </c>
      <c r="F110" s="22"/>
      <c r="G110" s="42" t="s">
        <v>121</v>
      </c>
      <c r="H110" s="42" t="s">
        <v>356</v>
      </c>
      <c r="I110" s="42"/>
      <c r="J110" s="22"/>
      <c r="K110" s="42" t="s">
        <v>123</v>
      </c>
      <c r="L110" s="25" t="s">
        <v>124</v>
      </c>
      <c r="M110" s="25"/>
      <c r="N110" s="50">
        <v>2</v>
      </c>
      <c r="O110" s="22"/>
      <c r="P110" s="81">
        <v>4326</v>
      </c>
      <c r="Q110" s="28">
        <f t="shared" si="10"/>
        <v>8652</v>
      </c>
      <c r="R110" s="28"/>
      <c r="S110" s="28">
        <v>7350</v>
      </c>
      <c r="T110" s="62" t="s">
        <v>1950</v>
      </c>
      <c r="U110" s="62">
        <f t="shared" si="12"/>
        <v>1302</v>
      </c>
      <c r="V110" s="22" t="s">
        <v>125</v>
      </c>
      <c r="W110" s="22">
        <v>444543</v>
      </c>
      <c r="X110" s="22"/>
      <c r="Y110" s="36"/>
      <c r="Z110" s="29">
        <v>43067</v>
      </c>
      <c r="AA110" s="29"/>
      <c r="AB110" s="29">
        <v>43091</v>
      </c>
      <c r="AC110" s="29">
        <v>43142</v>
      </c>
      <c r="AD110" s="29"/>
      <c r="AE110" s="29"/>
      <c r="AF110" s="22"/>
      <c r="AG110" s="29" t="s">
        <v>98</v>
      </c>
      <c r="AH110" s="516">
        <v>7350</v>
      </c>
      <c r="AI110" s="144"/>
      <c r="AJ110" s="143"/>
      <c r="AK110" s="143"/>
      <c r="AL110" s="143"/>
      <c r="AM110" s="143"/>
      <c r="AN110" s="143"/>
      <c r="AO110" s="143"/>
      <c r="AP110" s="143"/>
      <c r="AQ110" s="143"/>
      <c r="AR110" s="143"/>
    </row>
    <row r="111" spans="1:44" ht="38.25" customHeight="1" x14ac:dyDescent="0.25">
      <c r="A111" s="22"/>
      <c r="B111" s="352">
        <v>1</v>
      </c>
      <c r="C111" s="80">
        <v>4</v>
      </c>
      <c r="D111" s="382" t="s">
        <v>86</v>
      </c>
      <c r="E111" s="65"/>
      <c r="F111" s="22"/>
      <c r="G111" s="42" t="s">
        <v>357</v>
      </c>
      <c r="H111" s="42" t="s">
        <v>146</v>
      </c>
      <c r="I111" s="42"/>
      <c r="J111" s="22"/>
      <c r="K111" s="42" t="s">
        <v>358</v>
      </c>
      <c r="L111" s="25"/>
      <c r="M111" s="25"/>
      <c r="N111" s="50">
        <v>6</v>
      </c>
      <c r="O111" s="22"/>
      <c r="P111" s="81">
        <v>4229</v>
      </c>
      <c r="Q111" s="28">
        <f t="shared" si="10"/>
        <v>25374</v>
      </c>
      <c r="R111" s="28"/>
      <c r="S111" s="28">
        <v>19660.5</v>
      </c>
      <c r="T111" s="62" t="s">
        <v>1950</v>
      </c>
      <c r="U111" s="62">
        <f t="shared" si="12"/>
        <v>5713.5</v>
      </c>
      <c r="V111" s="22" t="s">
        <v>359</v>
      </c>
      <c r="W111" s="22" t="s">
        <v>360</v>
      </c>
      <c r="X111" s="22" t="s">
        <v>361</v>
      </c>
      <c r="Y111" s="22"/>
      <c r="Z111" s="29">
        <v>43140</v>
      </c>
      <c r="AA111" s="29"/>
      <c r="AB111" s="29">
        <v>43140</v>
      </c>
      <c r="AC111" s="29">
        <v>43140</v>
      </c>
      <c r="AD111" s="29"/>
      <c r="AE111" s="29"/>
      <c r="AF111" s="22"/>
      <c r="AG111" s="29" t="s">
        <v>98</v>
      </c>
      <c r="AH111" s="516">
        <v>19660.5</v>
      </c>
      <c r="AI111" s="144"/>
      <c r="AJ111" s="143"/>
      <c r="AK111" s="143"/>
      <c r="AL111" s="143"/>
      <c r="AM111" s="143"/>
      <c r="AN111" s="143"/>
      <c r="AO111" s="143"/>
      <c r="AP111" s="143"/>
      <c r="AQ111" s="143"/>
      <c r="AR111" s="143"/>
    </row>
    <row r="112" spans="1:44" ht="38.25" customHeight="1" x14ac:dyDescent="0.25">
      <c r="A112" s="22"/>
      <c r="B112" s="352">
        <v>1</v>
      </c>
      <c r="C112" s="80">
        <v>4</v>
      </c>
      <c r="D112" s="382" t="s">
        <v>86</v>
      </c>
      <c r="E112" s="65"/>
      <c r="F112" s="22"/>
      <c r="G112" s="42" t="s">
        <v>149</v>
      </c>
      <c r="H112" s="42" t="s">
        <v>146</v>
      </c>
      <c r="I112" s="42"/>
      <c r="J112" s="22"/>
      <c r="K112" s="42" t="s">
        <v>362</v>
      </c>
      <c r="L112" s="25"/>
      <c r="M112" s="25"/>
      <c r="N112" s="50">
        <v>1</v>
      </c>
      <c r="O112" s="22"/>
      <c r="P112" s="81">
        <v>7254</v>
      </c>
      <c r="Q112" s="28">
        <f t="shared" si="10"/>
        <v>7254</v>
      </c>
      <c r="R112" s="28"/>
      <c r="S112" s="28">
        <v>0</v>
      </c>
      <c r="T112" s="62" t="s">
        <v>1950</v>
      </c>
      <c r="U112" s="62">
        <f t="shared" si="12"/>
        <v>7254</v>
      </c>
      <c r="V112" s="22" t="s">
        <v>359</v>
      </c>
      <c r="W112" s="22" t="s">
        <v>360</v>
      </c>
      <c r="X112" s="22" t="s">
        <v>361</v>
      </c>
      <c r="Y112" s="22"/>
      <c r="Z112" s="29">
        <v>43140</v>
      </c>
      <c r="AA112" s="29"/>
      <c r="AB112" s="29">
        <v>43140</v>
      </c>
      <c r="AC112" s="29">
        <v>43140</v>
      </c>
      <c r="AD112" s="29"/>
      <c r="AE112" s="29"/>
      <c r="AF112" s="22"/>
      <c r="AG112" s="29" t="s">
        <v>98</v>
      </c>
      <c r="AH112" s="516">
        <v>0</v>
      </c>
      <c r="AI112" s="144"/>
      <c r="AJ112" s="143"/>
      <c r="AK112" s="143"/>
      <c r="AL112" s="143"/>
      <c r="AM112" s="143"/>
      <c r="AN112" s="143"/>
      <c r="AO112" s="143"/>
      <c r="AP112" s="143"/>
      <c r="AQ112" s="143"/>
      <c r="AR112" s="143"/>
    </row>
    <row r="113" spans="1:44" ht="25.5" customHeight="1" x14ac:dyDescent="0.25">
      <c r="A113" s="497"/>
      <c r="B113" s="485">
        <v>1</v>
      </c>
      <c r="C113" s="478">
        <v>4</v>
      </c>
      <c r="D113" s="479" t="s">
        <v>86</v>
      </c>
      <c r="E113" s="576"/>
      <c r="F113" s="497"/>
      <c r="G113" s="480" t="s">
        <v>363</v>
      </c>
      <c r="H113" s="480" t="s">
        <v>151</v>
      </c>
      <c r="I113" s="498"/>
      <c r="J113" s="497"/>
      <c r="K113" s="480" t="s">
        <v>364</v>
      </c>
      <c r="L113" s="499"/>
      <c r="M113" s="499"/>
      <c r="N113" s="487">
        <v>14</v>
      </c>
      <c r="O113" s="497"/>
      <c r="P113" s="488">
        <v>179</v>
      </c>
      <c r="Q113" s="483">
        <f t="shared" si="10"/>
        <v>2506</v>
      </c>
      <c r="R113" s="500"/>
      <c r="S113" s="483">
        <v>3412.92</v>
      </c>
      <c r="T113" s="62" t="s">
        <v>1950</v>
      </c>
      <c r="U113" s="501">
        <f t="shared" si="12"/>
        <v>-906.92000000000007</v>
      </c>
      <c r="V113" s="497" t="s">
        <v>365</v>
      </c>
      <c r="W113" s="497">
        <v>436958</v>
      </c>
      <c r="X113" s="38"/>
      <c r="Y113" s="38"/>
      <c r="Z113" s="502">
        <v>42797</v>
      </c>
      <c r="AA113" s="41"/>
      <c r="AB113" s="481">
        <v>42804</v>
      </c>
      <c r="AC113" s="481">
        <v>42804</v>
      </c>
      <c r="AD113" s="29"/>
      <c r="AE113" s="29"/>
      <c r="AF113" s="22"/>
      <c r="AG113" s="481" t="s">
        <v>101</v>
      </c>
      <c r="AH113" s="515">
        <f>S113</f>
        <v>3412.92</v>
      </c>
      <c r="AI113" s="482"/>
      <c r="AJ113" s="533"/>
      <c r="AK113" s="533"/>
      <c r="AL113" s="533"/>
      <c r="AM113" s="533"/>
      <c r="AN113" s="533"/>
      <c r="AO113" s="533"/>
      <c r="AP113" s="533"/>
      <c r="AQ113" s="533"/>
      <c r="AR113" s="533"/>
    </row>
    <row r="114" spans="1:44" ht="38.25" customHeight="1" x14ac:dyDescent="0.25">
      <c r="A114" s="476"/>
      <c r="B114" s="485">
        <v>1</v>
      </c>
      <c r="C114" s="478">
        <v>4</v>
      </c>
      <c r="D114" s="479" t="s">
        <v>86</v>
      </c>
      <c r="E114" s="575"/>
      <c r="F114" s="476"/>
      <c r="G114" s="480" t="s">
        <v>366</v>
      </c>
      <c r="H114" s="480" t="s">
        <v>180</v>
      </c>
      <c r="I114" s="480"/>
      <c r="J114" s="476"/>
      <c r="K114" s="480" t="s">
        <v>367</v>
      </c>
      <c r="L114" s="486"/>
      <c r="M114" s="486"/>
      <c r="N114" s="487">
        <v>9</v>
      </c>
      <c r="O114" s="476"/>
      <c r="P114" s="488">
        <v>737.99</v>
      </c>
      <c r="Q114" s="483">
        <f t="shared" si="10"/>
        <v>6641.91</v>
      </c>
      <c r="R114" s="483"/>
      <c r="S114" s="483">
        <v>877.5</v>
      </c>
      <c r="T114" s="62" t="s">
        <v>1950</v>
      </c>
      <c r="U114" s="501">
        <f t="shared" si="12"/>
        <v>5764.41</v>
      </c>
      <c r="V114" s="476" t="s">
        <v>368</v>
      </c>
      <c r="W114" s="476">
        <v>444000</v>
      </c>
      <c r="X114" s="22"/>
      <c r="Y114" s="29"/>
      <c r="Z114" s="481">
        <v>43041</v>
      </c>
      <c r="AA114" s="29"/>
      <c r="AB114" s="481">
        <v>43047</v>
      </c>
      <c r="AC114" s="481">
        <v>43077</v>
      </c>
      <c r="AD114" s="29"/>
      <c r="AE114" s="29"/>
      <c r="AF114" s="22" t="s">
        <v>369</v>
      </c>
      <c r="AG114" s="481" t="s">
        <v>101</v>
      </c>
      <c r="AH114" s="515">
        <f>S114</f>
        <v>877.5</v>
      </c>
      <c r="AI114" s="482"/>
      <c r="AJ114" s="533"/>
      <c r="AK114" s="533"/>
      <c r="AL114" s="533"/>
      <c r="AM114" s="533"/>
      <c r="AN114" s="533"/>
      <c r="AO114" s="533"/>
      <c r="AP114" s="533"/>
      <c r="AQ114" s="533"/>
      <c r="AR114" s="533"/>
    </row>
    <row r="115" spans="1:44" ht="25.5" customHeight="1" x14ac:dyDescent="0.25">
      <c r="A115" s="22"/>
      <c r="B115" s="352">
        <v>1</v>
      </c>
      <c r="C115" s="80">
        <v>4</v>
      </c>
      <c r="D115" s="382" t="s">
        <v>86</v>
      </c>
      <c r="E115" s="65">
        <v>4.57</v>
      </c>
      <c r="F115" s="22"/>
      <c r="G115" s="42" t="s">
        <v>370</v>
      </c>
      <c r="H115" s="42" t="s">
        <v>164</v>
      </c>
      <c r="I115" s="42"/>
      <c r="J115" s="22"/>
      <c r="K115" s="42" t="s">
        <v>371</v>
      </c>
      <c r="L115" s="25"/>
      <c r="M115" s="25"/>
      <c r="N115" s="50">
        <v>0</v>
      </c>
      <c r="O115" s="22"/>
      <c r="P115" s="81">
        <v>994.5</v>
      </c>
      <c r="Q115" s="28">
        <f t="shared" si="10"/>
        <v>0</v>
      </c>
      <c r="R115" s="28"/>
      <c r="S115" s="28">
        <v>0</v>
      </c>
      <c r="T115" s="62" t="s">
        <v>1950</v>
      </c>
      <c r="U115" s="61">
        <f t="shared" si="12"/>
        <v>0</v>
      </c>
      <c r="V115" s="22"/>
      <c r="W115" s="22"/>
      <c r="X115" s="22"/>
      <c r="Y115" s="22"/>
      <c r="Z115" s="29"/>
      <c r="AA115" s="29"/>
      <c r="AB115" s="29"/>
      <c r="AC115" s="29"/>
      <c r="AD115" s="29"/>
      <c r="AE115" s="29"/>
      <c r="AF115" s="22" t="s">
        <v>372</v>
      </c>
      <c r="AG115" s="29"/>
      <c r="AH115" s="516"/>
      <c r="AI115" s="144"/>
      <c r="AJ115" s="143"/>
      <c r="AK115" s="143"/>
      <c r="AL115" s="143"/>
      <c r="AM115" s="143"/>
      <c r="AN115" s="143"/>
      <c r="AO115" s="143"/>
      <c r="AP115" s="143"/>
      <c r="AQ115" s="143"/>
      <c r="AR115" s="143"/>
    </row>
    <row r="116" spans="1:44" ht="25.5" customHeight="1" x14ac:dyDescent="0.25">
      <c r="A116" s="476"/>
      <c r="B116" s="485">
        <v>1</v>
      </c>
      <c r="C116" s="478">
        <v>4</v>
      </c>
      <c r="D116" s="479" t="s">
        <v>86</v>
      </c>
      <c r="E116" s="575">
        <v>4.2699999999999996</v>
      </c>
      <c r="F116" s="476"/>
      <c r="G116" s="480" t="s">
        <v>373</v>
      </c>
      <c r="H116" s="480" t="s">
        <v>374</v>
      </c>
      <c r="I116" s="480"/>
      <c r="J116" s="476"/>
      <c r="K116" s="480" t="s">
        <v>375</v>
      </c>
      <c r="L116" s="486"/>
      <c r="M116" s="486"/>
      <c r="N116" s="487">
        <v>25</v>
      </c>
      <c r="O116" s="476"/>
      <c r="P116" s="488">
        <v>2.8</v>
      </c>
      <c r="Q116" s="483">
        <f t="shared" si="10"/>
        <v>70</v>
      </c>
      <c r="R116" s="483"/>
      <c r="S116" s="483">
        <v>64.25</v>
      </c>
      <c r="T116" s="62" t="s">
        <v>1950</v>
      </c>
      <c r="U116" s="501">
        <f t="shared" si="12"/>
        <v>5.75</v>
      </c>
      <c r="V116" s="476" t="s">
        <v>376</v>
      </c>
      <c r="W116" s="476" t="s">
        <v>377</v>
      </c>
      <c r="X116" s="22"/>
      <c r="Y116" s="29"/>
      <c r="Z116" s="481">
        <v>43035</v>
      </c>
      <c r="AA116" s="29"/>
      <c r="AB116" s="481">
        <v>43041</v>
      </c>
      <c r="AC116" s="481">
        <v>43040</v>
      </c>
      <c r="AD116" s="29"/>
      <c r="AE116" s="29"/>
      <c r="AF116" s="22"/>
      <c r="AG116" s="481" t="s">
        <v>101</v>
      </c>
      <c r="AH116" s="515">
        <f>S116</f>
        <v>64.25</v>
      </c>
      <c r="AI116" s="482"/>
      <c r="AJ116" s="533"/>
      <c r="AK116" s="533"/>
      <c r="AL116" s="533"/>
      <c r="AM116" s="533"/>
      <c r="AN116" s="533"/>
      <c r="AO116" s="533"/>
      <c r="AP116" s="533"/>
      <c r="AQ116" s="533"/>
      <c r="AR116" s="533"/>
    </row>
    <row r="117" spans="1:44" ht="38.25" customHeight="1" x14ac:dyDescent="0.25">
      <c r="A117" s="476"/>
      <c r="B117" s="485">
        <v>1</v>
      </c>
      <c r="C117" s="478">
        <v>4</v>
      </c>
      <c r="D117" s="479" t="s">
        <v>86</v>
      </c>
      <c r="E117" s="575" t="s">
        <v>378</v>
      </c>
      <c r="F117" s="476"/>
      <c r="G117" s="480" t="s">
        <v>379</v>
      </c>
      <c r="H117" s="480" t="s">
        <v>374</v>
      </c>
      <c r="I117" s="480"/>
      <c r="J117" s="476"/>
      <c r="K117" s="480" t="s">
        <v>380</v>
      </c>
      <c r="L117" s="486"/>
      <c r="M117" s="486"/>
      <c r="N117" s="487">
        <v>1</v>
      </c>
      <c r="O117" s="476"/>
      <c r="P117" s="488">
        <v>5403.9700000000175</v>
      </c>
      <c r="Q117" s="483">
        <f t="shared" si="10"/>
        <v>5403.9700000000175</v>
      </c>
      <c r="R117" s="483"/>
      <c r="S117" s="483">
        <v>51.92</v>
      </c>
      <c r="T117" s="62" t="s">
        <v>1950</v>
      </c>
      <c r="U117" s="501">
        <f t="shared" si="12"/>
        <v>5352.0500000000175</v>
      </c>
      <c r="V117" s="476" t="s">
        <v>376</v>
      </c>
      <c r="W117" s="476" t="s">
        <v>377</v>
      </c>
      <c r="X117" s="22"/>
      <c r="Y117" s="29"/>
      <c r="Z117" s="481">
        <v>43035</v>
      </c>
      <c r="AA117" s="29"/>
      <c r="AB117" s="481">
        <v>43041</v>
      </c>
      <c r="AC117" s="481">
        <v>43048</v>
      </c>
      <c r="AD117" s="29"/>
      <c r="AE117" s="29"/>
      <c r="AF117" s="22"/>
      <c r="AG117" s="481" t="s">
        <v>101</v>
      </c>
      <c r="AH117" s="515">
        <f t="shared" ref="AH117:AH121" si="13">S117</f>
        <v>51.92</v>
      </c>
      <c r="AI117" s="482"/>
      <c r="AJ117" s="533"/>
      <c r="AK117" s="533"/>
      <c r="AL117" s="533"/>
      <c r="AM117" s="533"/>
      <c r="AN117" s="533"/>
      <c r="AO117" s="533"/>
      <c r="AP117" s="533"/>
      <c r="AQ117" s="533"/>
      <c r="AR117" s="533"/>
    </row>
    <row r="118" spans="1:44" ht="38.25" customHeight="1" x14ac:dyDescent="0.25">
      <c r="A118" s="476"/>
      <c r="B118" s="485">
        <v>1</v>
      </c>
      <c r="C118" s="478">
        <v>4</v>
      </c>
      <c r="D118" s="479" t="s">
        <v>86</v>
      </c>
      <c r="E118" s="575" t="s">
        <v>381</v>
      </c>
      <c r="F118" s="476"/>
      <c r="G118" s="480" t="s">
        <v>382</v>
      </c>
      <c r="H118" s="480" t="s">
        <v>374</v>
      </c>
      <c r="I118" s="480"/>
      <c r="J118" s="476"/>
      <c r="K118" s="480" t="s">
        <v>383</v>
      </c>
      <c r="L118" s="486"/>
      <c r="M118" s="486"/>
      <c r="N118" s="487">
        <v>1</v>
      </c>
      <c r="O118" s="476"/>
      <c r="P118" s="488">
        <v>24.52</v>
      </c>
      <c r="Q118" s="483">
        <f t="shared" si="10"/>
        <v>24.52</v>
      </c>
      <c r="R118" s="483"/>
      <c r="S118" s="483">
        <v>22.03</v>
      </c>
      <c r="T118" s="62" t="s">
        <v>1950</v>
      </c>
      <c r="U118" s="501">
        <f t="shared" si="12"/>
        <v>2.4899999999999984</v>
      </c>
      <c r="V118" s="476" t="s">
        <v>376</v>
      </c>
      <c r="W118" s="476" t="s">
        <v>377</v>
      </c>
      <c r="X118" s="22"/>
      <c r="Y118" s="22"/>
      <c r="Z118" s="481">
        <v>43035</v>
      </c>
      <c r="AA118" s="29"/>
      <c r="AB118" s="481">
        <v>43041</v>
      </c>
      <c r="AC118" s="481">
        <v>43040</v>
      </c>
      <c r="AD118" s="29"/>
      <c r="AE118" s="29"/>
      <c r="AF118" s="22"/>
      <c r="AG118" s="481" t="s">
        <v>101</v>
      </c>
      <c r="AH118" s="515">
        <f t="shared" si="13"/>
        <v>22.03</v>
      </c>
      <c r="AI118" s="482"/>
      <c r="AJ118" s="533"/>
      <c r="AK118" s="533"/>
      <c r="AL118" s="533"/>
      <c r="AM118" s="533"/>
      <c r="AN118" s="533"/>
      <c r="AO118" s="533"/>
      <c r="AP118" s="533"/>
      <c r="AQ118" s="533"/>
      <c r="AR118" s="533"/>
    </row>
    <row r="119" spans="1:44" ht="25.5" customHeight="1" x14ac:dyDescent="0.25">
      <c r="A119" s="476"/>
      <c r="B119" s="485">
        <v>1</v>
      </c>
      <c r="C119" s="478">
        <v>4</v>
      </c>
      <c r="D119" s="479" t="s">
        <v>86</v>
      </c>
      <c r="E119" s="575" t="s">
        <v>384</v>
      </c>
      <c r="F119" s="476"/>
      <c r="G119" s="480" t="s">
        <v>385</v>
      </c>
      <c r="H119" s="480" t="s">
        <v>374</v>
      </c>
      <c r="I119" s="480"/>
      <c r="J119" s="476"/>
      <c r="K119" s="480" t="s">
        <v>386</v>
      </c>
      <c r="L119" s="486"/>
      <c r="M119" s="486"/>
      <c r="N119" s="487">
        <v>1</v>
      </c>
      <c r="O119" s="476"/>
      <c r="P119" s="488">
        <v>2.77</v>
      </c>
      <c r="Q119" s="483">
        <f t="shared" si="10"/>
        <v>2.77</v>
      </c>
      <c r="R119" s="483"/>
      <c r="S119" s="483">
        <v>2.4900000000000002</v>
      </c>
      <c r="T119" s="62" t="s">
        <v>1950</v>
      </c>
      <c r="U119" s="501">
        <f t="shared" si="12"/>
        <v>0.2799999999999998</v>
      </c>
      <c r="V119" s="476" t="s">
        <v>376</v>
      </c>
      <c r="W119" s="476" t="s">
        <v>377</v>
      </c>
      <c r="X119" s="22"/>
      <c r="Y119" s="22"/>
      <c r="Z119" s="481">
        <v>43035</v>
      </c>
      <c r="AA119" s="29"/>
      <c r="AB119" s="481">
        <v>43041</v>
      </c>
      <c r="AC119" s="481">
        <v>43040</v>
      </c>
      <c r="AD119" s="29"/>
      <c r="AE119" s="29"/>
      <c r="AF119" s="22"/>
      <c r="AG119" s="481" t="s">
        <v>101</v>
      </c>
      <c r="AH119" s="515">
        <f t="shared" si="13"/>
        <v>2.4900000000000002</v>
      </c>
      <c r="AI119" s="482"/>
      <c r="AJ119" s="533"/>
      <c r="AK119" s="533"/>
      <c r="AL119" s="533"/>
      <c r="AM119" s="533"/>
      <c r="AN119" s="533"/>
      <c r="AO119" s="533"/>
      <c r="AP119" s="533"/>
      <c r="AQ119" s="533"/>
      <c r="AR119" s="533"/>
    </row>
    <row r="120" spans="1:44" ht="25.5" customHeight="1" x14ac:dyDescent="0.25">
      <c r="A120" s="476"/>
      <c r="B120" s="485">
        <v>1</v>
      </c>
      <c r="C120" s="478">
        <v>4</v>
      </c>
      <c r="D120" s="479" t="s">
        <v>86</v>
      </c>
      <c r="E120" s="575" t="s">
        <v>387</v>
      </c>
      <c r="F120" s="476"/>
      <c r="G120" s="480" t="s">
        <v>388</v>
      </c>
      <c r="H120" s="480" t="s">
        <v>374</v>
      </c>
      <c r="I120" s="480"/>
      <c r="J120" s="476"/>
      <c r="K120" s="480" t="s">
        <v>389</v>
      </c>
      <c r="L120" s="486"/>
      <c r="M120" s="486"/>
      <c r="N120" s="487">
        <v>1</v>
      </c>
      <c r="O120" s="476"/>
      <c r="P120" s="488">
        <v>54.41</v>
      </c>
      <c r="Q120" s="483">
        <f t="shared" si="10"/>
        <v>54.41</v>
      </c>
      <c r="R120" s="483"/>
      <c r="S120" s="483">
        <v>48.93</v>
      </c>
      <c r="T120" s="62" t="s">
        <v>1950</v>
      </c>
      <c r="U120" s="501">
        <f t="shared" si="12"/>
        <v>5.4799999999999969</v>
      </c>
      <c r="V120" s="476" t="s">
        <v>376</v>
      </c>
      <c r="W120" s="476" t="s">
        <v>377</v>
      </c>
      <c r="X120" s="22"/>
      <c r="Y120" s="22"/>
      <c r="Z120" s="481">
        <v>43035</v>
      </c>
      <c r="AA120" s="29"/>
      <c r="AB120" s="481">
        <v>43041</v>
      </c>
      <c r="AC120" s="481">
        <v>43040</v>
      </c>
      <c r="AD120" s="29"/>
      <c r="AE120" s="29"/>
      <c r="AF120" s="22"/>
      <c r="AG120" s="481" t="s">
        <v>101</v>
      </c>
      <c r="AH120" s="515">
        <f t="shared" si="13"/>
        <v>48.93</v>
      </c>
      <c r="AI120" s="482"/>
      <c r="AJ120" s="533"/>
      <c r="AK120" s="533"/>
      <c r="AL120" s="533"/>
      <c r="AM120" s="533"/>
      <c r="AN120" s="533"/>
      <c r="AO120" s="533"/>
      <c r="AP120" s="533"/>
      <c r="AQ120" s="533"/>
      <c r="AR120" s="533"/>
    </row>
    <row r="121" spans="1:44" ht="38.25" customHeight="1" x14ac:dyDescent="0.25">
      <c r="A121" s="476"/>
      <c r="B121" s="485">
        <v>1</v>
      </c>
      <c r="C121" s="478">
        <v>4</v>
      </c>
      <c r="D121" s="479" t="s">
        <v>86</v>
      </c>
      <c r="E121" s="575">
        <v>4.6100000000000003</v>
      </c>
      <c r="F121" s="476"/>
      <c r="G121" s="480" t="s">
        <v>390</v>
      </c>
      <c r="H121" s="480" t="s">
        <v>374</v>
      </c>
      <c r="I121" s="480"/>
      <c r="J121" s="476"/>
      <c r="K121" s="480" t="s">
        <v>391</v>
      </c>
      <c r="L121" s="486"/>
      <c r="M121" s="486"/>
      <c r="N121" s="487">
        <v>30</v>
      </c>
      <c r="O121" s="476"/>
      <c r="P121" s="488">
        <v>3.05</v>
      </c>
      <c r="Q121" s="483">
        <f t="shared" si="10"/>
        <v>91.5</v>
      </c>
      <c r="R121" s="483"/>
      <c r="S121" s="483">
        <v>83.7</v>
      </c>
      <c r="T121" s="62" t="s">
        <v>1950</v>
      </c>
      <c r="U121" s="501">
        <f t="shared" si="12"/>
        <v>7.7999999999999972</v>
      </c>
      <c r="V121" s="476" t="s">
        <v>376</v>
      </c>
      <c r="W121" s="476" t="s">
        <v>377</v>
      </c>
      <c r="X121" s="22"/>
      <c r="Y121" s="22"/>
      <c r="Z121" s="481">
        <v>43035</v>
      </c>
      <c r="AA121" s="29"/>
      <c r="AB121" s="481">
        <v>43041</v>
      </c>
      <c r="AC121" s="481">
        <v>43040</v>
      </c>
      <c r="AD121" s="29"/>
      <c r="AE121" s="29"/>
      <c r="AF121" s="22"/>
      <c r="AG121" s="481" t="s">
        <v>101</v>
      </c>
      <c r="AH121" s="515">
        <f t="shared" si="13"/>
        <v>83.7</v>
      </c>
      <c r="AI121" s="482"/>
      <c r="AJ121" s="533"/>
      <c r="AK121" s="533"/>
      <c r="AL121" s="533"/>
      <c r="AM121" s="533"/>
      <c r="AN121" s="533"/>
      <c r="AO121" s="533"/>
      <c r="AP121" s="533"/>
      <c r="AQ121" s="533"/>
      <c r="AR121" s="533"/>
    </row>
    <row r="122" spans="1:44" ht="14.25" customHeight="1" x14ac:dyDescent="0.25">
      <c r="A122" s="22"/>
      <c r="B122" s="352">
        <v>2</v>
      </c>
      <c r="C122" s="80" t="s">
        <v>392</v>
      </c>
      <c r="D122" s="382" t="s">
        <v>86</v>
      </c>
      <c r="E122" s="65"/>
      <c r="F122" s="22"/>
      <c r="G122" s="42" t="s">
        <v>393</v>
      </c>
      <c r="H122" s="42" t="s">
        <v>394</v>
      </c>
      <c r="I122" s="42"/>
      <c r="J122" s="22"/>
      <c r="K122" s="22" t="s">
        <v>394</v>
      </c>
      <c r="L122" s="25"/>
      <c r="M122" s="25"/>
      <c r="N122" s="50">
        <v>1</v>
      </c>
      <c r="O122" s="22"/>
      <c r="P122" s="81">
        <v>3800</v>
      </c>
      <c r="Q122" s="28">
        <f t="shared" si="10"/>
        <v>3800</v>
      </c>
      <c r="R122" s="28"/>
      <c r="S122" s="28">
        <v>4425</v>
      </c>
      <c r="T122" s="62"/>
      <c r="U122" s="133">
        <f t="shared" si="12"/>
        <v>-625</v>
      </c>
      <c r="V122" s="22" t="s">
        <v>395</v>
      </c>
      <c r="W122" s="22" t="s">
        <v>396</v>
      </c>
      <c r="X122" s="22"/>
      <c r="Y122" s="22"/>
      <c r="Z122" s="29">
        <v>43152</v>
      </c>
      <c r="AA122" s="29"/>
      <c r="AB122" s="29">
        <v>43209</v>
      </c>
      <c r="AC122" s="29">
        <v>43209</v>
      </c>
      <c r="AD122" s="29"/>
      <c r="AE122" s="29"/>
      <c r="AF122" s="22"/>
      <c r="AG122" s="22" t="s">
        <v>98</v>
      </c>
      <c r="AH122" s="516">
        <v>4491.38</v>
      </c>
      <c r="AI122" s="144"/>
      <c r="AJ122" s="143"/>
      <c r="AK122" s="143"/>
      <c r="AL122" s="143"/>
      <c r="AM122" s="143"/>
      <c r="AN122" s="143"/>
      <c r="AO122" s="143"/>
      <c r="AP122" s="143"/>
      <c r="AQ122" s="143"/>
      <c r="AR122" s="143"/>
    </row>
    <row r="123" spans="1:44" ht="12.75" customHeight="1" x14ac:dyDescent="0.25">
      <c r="A123" s="22"/>
      <c r="B123" s="352">
        <v>2</v>
      </c>
      <c r="C123" s="80">
        <v>3</v>
      </c>
      <c r="D123" s="382" t="s">
        <v>86</v>
      </c>
      <c r="E123" s="65"/>
      <c r="F123" s="22"/>
      <c r="G123" s="42" t="s">
        <v>397</v>
      </c>
      <c r="H123" s="42"/>
      <c r="I123" s="42"/>
      <c r="J123" s="22"/>
      <c r="K123" s="22"/>
      <c r="L123" s="25"/>
      <c r="M123" s="25"/>
      <c r="N123" s="50">
        <v>3</v>
      </c>
      <c r="O123" s="22"/>
      <c r="P123" s="81">
        <v>3800</v>
      </c>
      <c r="Q123" s="28">
        <f t="shared" si="10"/>
        <v>11400</v>
      </c>
      <c r="R123" s="28"/>
      <c r="S123" s="28">
        <v>15900</v>
      </c>
      <c r="T123" s="62"/>
      <c r="U123" s="133">
        <f t="shared" si="12"/>
        <v>-4500</v>
      </c>
      <c r="V123" s="22" t="s">
        <v>395</v>
      </c>
      <c r="W123" s="22" t="s">
        <v>396</v>
      </c>
      <c r="X123" s="22"/>
      <c r="Y123" s="22"/>
      <c r="Z123" s="29">
        <v>43152</v>
      </c>
      <c r="AA123" s="29"/>
      <c r="AB123" s="29">
        <v>43209</v>
      </c>
      <c r="AC123" s="29">
        <v>43209</v>
      </c>
      <c r="AD123" s="29"/>
      <c r="AE123" s="29"/>
      <c r="AF123" s="22"/>
      <c r="AG123" s="22" t="s">
        <v>98</v>
      </c>
      <c r="AH123" s="516">
        <v>5300</v>
      </c>
      <c r="AI123" s="144"/>
      <c r="AJ123" s="143"/>
      <c r="AK123" s="143"/>
      <c r="AL123" s="143"/>
      <c r="AM123" s="143"/>
      <c r="AN123" s="143"/>
      <c r="AO123" s="143"/>
      <c r="AP123" s="143"/>
      <c r="AQ123" s="143"/>
      <c r="AR123" s="143"/>
    </row>
    <row r="124" spans="1:44" ht="12.75" customHeight="1" x14ac:dyDescent="0.25">
      <c r="A124" s="22"/>
      <c r="B124" s="352">
        <v>2</v>
      </c>
      <c r="C124" s="80">
        <v>3</v>
      </c>
      <c r="D124" s="382" t="s">
        <v>86</v>
      </c>
      <c r="E124" s="65"/>
      <c r="F124" s="22"/>
      <c r="G124" s="42" t="s">
        <v>398</v>
      </c>
      <c r="H124" s="42"/>
      <c r="I124" s="42"/>
      <c r="J124" s="22"/>
      <c r="K124" s="22"/>
      <c r="L124" s="25"/>
      <c r="M124" s="25"/>
      <c r="N124" s="50"/>
      <c r="O124" s="22"/>
      <c r="P124" s="81"/>
      <c r="Q124" s="28">
        <f t="shared" si="10"/>
        <v>0</v>
      </c>
      <c r="R124" s="28"/>
      <c r="S124" s="28">
        <v>157.88</v>
      </c>
      <c r="T124" s="62"/>
      <c r="U124" s="133"/>
      <c r="V124" s="22" t="s">
        <v>399</v>
      </c>
      <c r="W124" s="22" t="s">
        <v>396</v>
      </c>
      <c r="X124" s="22"/>
      <c r="Y124" s="22"/>
      <c r="Z124" s="29">
        <v>43266</v>
      </c>
      <c r="AA124" s="29"/>
      <c r="AB124" s="29">
        <v>43266</v>
      </c>
      <c r="AC124" s="29">
        <v>43266</v>
      </c>
      <c r="AD124" s="29"/>
      <c r="AE124" s="29"/>
      <c r="AF124" s="22"/>
      <c r="AG124" s="22" t="s">
        <v>98</v>
      </c>
      <c r="AH124" s="516">
        <v>5379.5</v>
      </c>
      <c r="AI124" s="144"/>
      <c r="AJ124" s="143"/>
      <c r="AK124" s="143"/>
      <c r="AL124" s="143"/>
      <c r="AM124" s="143"/>
      <c r="AN124" s="143"/>
      <c r="AO124" s="143"/>
      <c r="AP124" s="143"/>
      <c r="AQ124" s="143"/>
      <c r="AR124" s="143"/>
    </row>
    <row r="125" spans="1:44" ht="12.75" customHeight="1" x14ac:dyDescent="0.25">
      <c r="A125" s="22"/>
      <c r="B125" s="352">
        <v>2</v>
      </c>
      <c r="C125" s="80">
        <v>3</v>
      </c>
      <c r="D125" s="382" t="s">
        <v>86</v>
      </c>
      <c r="E125" s="65"/>
      <c r="F125" s="22"/>
      <c r="G125" s="42" t="s">
        <v>400</v>
      </c>
      <c r="H125" s="42"/>
      <c r="I125" s="42"/>
      <c r="J125" s="22"/>
      <c r="K125" s="22"/>
      <c r="L125" s="25"/>
      <c r="M125" s="25"/>
      <c r="N125" s="50">
        <v>1</v>
      </c>
      <c r="O125" s="22"/>
      <c r="P125" s="81">
        <v>7084</v>
      </c>
      <c r="Q125" s="28">
        <f t="shared" si="10"/>
        <v>7084</v>
      </c>
      <c r="R125" s="28"/>
      <c r="S125" s="28">
        <v>7484</v>
      </c>
      <c r="T125" s="62"/>
      <c r="U125" s="133">
        <f>Q125-S125</f>
        <v>-400</v>
      </c>
      <c r="V125" s="22" t="s">
        <v>401</v>
      </c>
      <c r="W125" s="22" t="s">
        <v>402</v>
      </c>
      <c r="X125" s="22"/>
      <c r="Y125" s="22"/>
      <c r="Z125" s="29">
        <v>43188</v>
      </c>
      <c r="AA125" s="29"/>
      <c r="AB125" s="29">
        <v>43199</v>
      </c>
      <c r="AC125" s="29">
        <v>43209</v>
      </c>
      <c r="AD125" s="29"/>
      <c r="AE125" s="29"/>
      <c r="AF125" s="22"/>
      <c r="AG125" s="213" t="s">
        <v>98</v>
      </c>
      <c r="AH125" s="516">
        <v>7867.56</v>
      </c>
      <c r="AI125" s="144"/>
      <c r="AJ125" s="143"/>
      <c r="AK125" s="143"/>
      <c r="AL125" s="143"/>
      <c r="AM125" s="143"/>
      <c r="AN125" s="143"/>
      <c r="AO125" s="143"/>
      <c r="AP125" s="143"/>
      <c r="AQ125" s="143"/>
      <c r="AR125" s="143"/>
    </row>
    <row r="126" spans="1:44" ht="12.75" customHeight="1" x14ac:dyDescent="0.25">
      <c r="A126" s="22"/>
      <c r="B126" s="352">
        <v>2</v>
      </c>
      <c r="C126" s="80">
        <v>3</v>
      </c>
      <c r="D126" s="382" t="s">
        <v>86</v>
      </c>
      <c r="E126" s="65"/>
      <c r="F126" s="22"/>
      <c r="G126" s="42" t="s">
        <v>403</v>
      </c>
      <c r="H126" s="42" t="s">
        <v>238</v>
      </c>
      <c r="I126" s="42"/>
      <c r="J126" s="22"/>
      <c r="K126" s="22"/>
      <c r="L126" s="25"/>
      <c r="M126" s="25"/>
      <c r="N126" s="50">
        <v>1</v>
      </c>
      <c r="O126" s="22"/>
      <c r="P126" s="81">
        <v>460222</v>
      </c>
      <c r="Q126" s="28">
        <f t="shared" si="10"/>
        <v>460222</v>
      </c>
      <c r="R126" s="28"/>
      <c r="S126" s="28">
        <f>446795</f>
        <v>446795</v>
      </c>
      <c r="T126" s="62"/>
      <c r="U126" s="133">
        <f>S126-Q126</f>
        <v>-13427</v>
      </c>
      <c r="V126" s="31" t="s">
        <v>404</v>
      </c>
      <c r="W126" s="31" t="s">
        <v>405</v>
      </c>
      <c r="X126" s="22"/>
      <c r="Y126" s="22"/>
      <c r="Z126" s="29"/>
      <c r="AA126" s="29"/>
      <c r="AB126" s="29"/>
      <c r="AC126" s="29"/>
      <c r="AD126" s="29"/>
      <c r="AE126" s="29"/>
      <c r="AF126" s="22"/>
      <c r="AG126" s="213" t="s">
        <v>98</v>
      </c>
      <c r="AH126" s="516">
        <v>446795</v>
      </c>
      <c r="AI126" s="144"/>
      <c r="AJ126" s="143"/>
      <c r="AK126" s="143"/>
      <c r="AL126" s="143"/>
      <c r="AM126" s="143"/>
      <c r="AN126" s="143"/>
      <c r="AO126" s="143"/>
      <c r="AP126" s="143"/>
      <c r="AQ126" s="143"/>
      <c r="AR126" s="143"/>
    </row>
    <row r="127" spans="1:44" ht="50.1" customHeight="1" x14ac:dyDescent="0.25">
      <c r="A127" s="22"/>
      <c r="B127" s="352">
        <v>2</v>
      </c>
      <c r="C127" s="80">
        <v>3</v>
      </c>
      <c r="D127" s="382" t="s">
        <v>86</v>
      </c>
      <c r="E127" s="65"/>
      <c r="F127" s="22"/>
      <c r="G127" s="42" t="s">
        <v>406</v>
      </c>
      <c r="H127" s="42"/>
      <c r="I127" s="42"/>
      <c r="J127" s="86"/>
      <c r="K127" s="22">
        <v>24983.1</v>
      </c>
      <c r="L127" s="85"/>
      <c r="M127" s="25"/>
      <c r="N127" s="50">
        <v>4</v>
      </c>
      <c r="O127" s="22"/>
      <c r="P127" s="81">
        <v>12558.6</v>
      </c>
      <c r="Q127" s="28">
        <f t="shared" si="10"/>
        <v>50234.400000000001</v>
      </c>
      <c r="R127" s="28"/>
      <c r="S127" s="28">
        <v>49508</v>
      </c>
      <c r="T127" s="62"/>
      <c r="U127" s="133">
        <f t="shared" ref="U127:U178" si="14">Q127-S127</f>
        <v>726.40000000000146</v>
      </c>
      <c r="V127" s="22" t="s">
        <v>407</v>
      </c>
      <c r="W127" s="22" t="s">
        <v>408</v>
      </c>
      <c r="X127" s="22"/>
      <c r="Y127" s="22"/>
      <c r="Z127" s="29">
        <v>43181</v>
      </c>
      <c r="AA127" s="29"/>
      <c r="AB127" s="29">
        <v>43217</v>
      </c>
      <c r="AC127" s="29">
        <v>43236</v>
      </c>
      <c r="AD127" s="29"/>
      <c r="AE127" s="29"/>
      <c r="AF127" s="22"/>
      <c r="AG127" s="213" t="s">
        <v>98</v>
      </c>
      <c r="AH127" s="516">
        <v>56349.36</v>
      </c>
      <c r="AI127" s="144"/>
      <c r="AJ127" s="143"/>
      <c r="AK127" s="143"/>
      <c r="AL127" s="143"/>
      <c r="AM127" s="143"/>
      <c r="AN127" s="143"/>
      <c r="AO127" s="143"/>
      <c r="AP127" s="143"/>
      <c r="AQ127" s="143"/>
      <c r="AR127" s="143"/>
    </row>
    <row r="128" spans="1:44" ht="41.4" customHeight="1" x14ac:dyDescent="0.25">
      <c r="A128" s="22"/>
      <c r="B128" s="352">
        <v>2</v>
      </c>
      <c r="C128" s="80">
        <v>3</v>
      </c>
      <c r="D128" s="382" t="s">
        <v>86</v>
      </c>
      <c r="E128" s="65"/>
      <c r="F128" s="22"/>
      <c r="G128" s="42" t="s">
        <v>409</v>
      </c>
      <c r="H128" s="42"/>
      <c r="I128" s="42"/>
      <c r="J128" s="86"/>
      <c r="K128" s="22">
        <v>25749.200000000001</v>
      </c>
      <c r="L128" s="85"/>
      <c r="M128" s="25"/>
      <c r="N128" s="50">
        <v>4</v>
      </c>
      <c r="O128" s="22"/>
      <c r="P128" s="81">
        <v>1474.2</v>
      </c>
      <c r="Q128" s="28">
        <f>P128*N128</f>
        <v>5896.8</v>
      </c>
      <c r="R128" s="28"/>
      <c r="S128" s="28">
        <v>5811.64</v>
      </c>
      <c r="T128" s="62"/>
      <c r="U128" s="133">
        <f t="shared" si="14"/>
        <v>85.159999999999854</v>
      </c>
      <c r="V128" s="22" t="s">
        <v>407</v>
      </c>
      <c r="W128" s="22" t="s">
        <v>408</v>
      </c>
      <c r="X128" s="22"/>
      <c r="Y128" s="22"/>
      <c r="Z128" s="29">
        <v>43181</v>
      </c>
      <c r="AA128" s="29"/>
      <c r="AB128" s="29">
        <v>43217</v>
      </c>
      <c r="AC128" s="29">
        <v>43236</v>
      </c>
      <c r="AD128" s="29"/>
      <c r="AE128" s="29"/>
      <c r="AF128" s="22"/>
      <c r="AG128" s="213" t="s">
        <v>98</v>
      </c>
      <c r="AH128" s="516">
        <v>0</v>
      </c>
      <c r="AI128" s="144"/>
      <c r="AJ128" s="143"/>
      <c r="AK128" s="143"/>
      <c r="AL128" s="143"/>
      <c r="AM128" s="143"/>
      <c r="AN128" s="143"/>
      <c r="AO128" s="143"/>
      <c r="AP128" s="143"/>
      <c r="AQ128" s="143"/>
      <c r="AR128" s="143"/>
    </row>
    <row r="129" spans="1:44" ht="39" customHeight="1" x14ac:dyDescent="0.25">
      <c r="A129" s="22"/>
      <c r="B129" s="352">
        <v>2</v>
      </c>
      <c r="C129" s="80">
        <v>3</v>
      </c>
      <c r="D129" s="382" t="s">
        <v>86</v>
      </c>
      <c r="E129" s="65"/>
      <c r="F129" s="22"/>
      <c r="G129" s="42" t="s">
        <v>410</v>
      </c>
      <c r="H129" s="42"/>
      <c r="I129" s="42"/>
      <c r="J129" s="86"/>
      <c r="K129" s="22">
        <v>26143.1</v>
      </c>
      <c r="L129" s="85"/>
      <c r="M129" s="25"/>
      <c r="N129" s="50">
        <v>4</v>
      </c>
      <c r="O129" s="22"/>
      <c r="P129" s="81">
        <v>276.27</v>
      </c>
      <c r="Q129" s="28">
        <f>P129*N129</f>
        <v>1105.08</v>
      </c>
      <c r="R129" s="28"/>
      <c r="S129" s="28">
        <v>1028.92</v>
      </c>
      <c r="T129" s="28"/>
      <c r="U129" s="133">
        <f t="shared" si="14"/>
        <v>76.159999999999854</v>
      </c>
      <c r="V129" s="22" t="s">
        <v>407</v>
      </c>
      <c r="W129" s="22" t="s">
        <v>408</v>
      </c>
      <c r="X129" s="22"/>
      <c r="Y129" s="22"/>
      <c r="Z129" s="29">
        <v>43181</v>
      </c>
      <c r="AA129" s="29"/>
      <c r="AB129" s="29">
        <v>43217</v>
      </c>
      <c r="AC129" s="29">
        <v>43236</v>
      </c>
      <c r="AD129" s="29"/>
      <c r="AE129" s="29"/>
      <c r="AF129" s="22"/>
      <c r="AG129" s="213" t="s">
        <v>98</v>
      </c>
      <c r="AH129" s="516">
        <v>0</v>
      </c>
      <c r="AI129" s="144"/>
      <c r="AJ129" s="143"/>
      <c r="AK129" s="504"/>
      <c r="AL129" s="143"/>
      <c r="AM129" s="143"/>
      <c r="AN129" s="143"/>
      <c r="AO129" s="143"/>
      <c r="AP129" s="143"/>
      <c r="AQ129" s="143"/>
      <c r="AR129" s="143"/>
    </row>
    <row r="130" spans="1:44" ht="63.75" customHeight="1" x14ac:dyDescent="0.25">
      <c r="A130" s="22"/>
      <c r="B130" s="352">
        <v>2</v>
      </c>
      <c r="C130" s="80">
        <v>3</v>
      </c>
      <c r="D130" s="382" t="s">
        <v>86</v>
      </c>
      <c r="E130" s="65"/>
      <c r="F130" s="22"/>
      <c r="G130" s="42" t="s">
        <v>411</v>
      </c>
      <c r="H130" s="42" t="s">
        <v>412</v>
      </c>
      <c r="I130" s="42"/>
      <c r="J130" s="86"/>
      <c r="K130" s="22" t="s">
        <v>413</v>
      </c>
      <c r="L130" s="85"/>
      <c r="M130" s="25"/>
      <c r="N130" s="50">
        <v>5</v>
      </c>
      <c r="O130" s="22"/>
      <c r="P130" s="81">
        <v>217.75</v>
      </c>
      <c r="Q130" s="28">
        <f>N130*P130</f>
        <v>1088.75</v>
      </c>
      <c r="R130" s="28"/>
      <c r="S130" s="28">
        <v>1088.75</v>
      </c>
      <c r="T130" s="28"/>
      <c r="U130" s="133">
        <f t="shared" si="14"/>
        <v>0</v>
      </c>
      <c r="V130" s="22" t="s">
        <v>414</v>
      </c>
      <c r="W130" s="22" t="s">
        <v>415</v>
      </c>
      <c r="X130" s="22"/>
      <c r="Y130" s="22"/>
      <c r="Z130" s="29">
        <v>43144</v>
      </c>
      <c r="AA130" s="29"/>
      <c r="AB130" s="29">
        <v>43147</v>
      </c>
      <c r="AC130" s="29">
        <v>43180</v>
      </c>
      <c r="AD130" s="29"/>
      <c r="AE130" s="29"/>
      <c r="AF130" s="22" t="s">
        <v>416</v>
      </c>
      <c r="AG130" s="213" t="s">
        <v>98</v>
      </c>
      <c r="AH130" s="516">
        <v>1557.5</v>
      </c>
      <c r="AI130" s="144"/>
      <c r="AJ130" s="143"/>
      <c r="AK130" s="143"/>
      <c r="AL130" s="143"/>
      <c r="AM130" s="143"/>
      <c r="AN130" s="143"/>
      <c r="AO130" s="143"/>
      <c r="AP130" s="143"/>
      <c r="AQ130" s="143"/>
      <c r="AR130" s="143"/>
    </row>
    <row r="131" spans="1:44" ht="12.75" customHeight="1" x14ac:dyDescent="0.25">
      <c r="A131" s="22"/>
      <c r="B131" s="352">
        <v>2</v>
      </c>
      <c r="C131" s="80">
        <v>3</v>
      </c>
      <c r="D131" s="382" t="s">
        <v>86</v>
      </c>
      <c r="E131" s="65"/>
      <c r="F131" s="22"/>
      <c r="G131" s="42" t="s">
        <v>417</v>
      </c>
      <c r="H131" s="42" t="s">
        <v>412</v>
      </c>
      <c r="I131" s="42"/>
      <c r="J131" s="86"/>
      <c r="K131" s="22" t="s">
        <v>418</v>
      </c>
      <c r="L131" s="85"/>
      <c r="M131" s="25"/>
      <c r="N131" s="50">
        <v>3</v>
      </c>
      <c r="O131" s="22"/>
      <c r="P131" s="81">
        <v>98.75</v>
      </c>
      <c r="Q131" s="28">
        <f>N131*P131</f>
        <v>296.25</v>
      </c>
      <c r="R131" s="28"/>
      <c r="S131" s="28">
        <v>296.25</v>
      </c>
      <c r="T131" s="28"/>
      <c r="U131" s="133">
        <f t="shared" si="14"/>
        <v>0</v>
      </c>
      <c r="V131" s="22" t="s">
        <v>414</v>
      </c>
      <c r="W131" s="22" t="s">
        <v>415</v>
      </c>
      <c r="X131" s="22"/>
      <c r="Y131" s="22"/>
      <c r="Z131" s="29">
        <v>43144</v>
      </c>
      <c r="AA131" s="29"/>
      <c r="AB131" s="29">
        <v>43147</v>
      </c>
      <c r="AC131" s="29">
        <v>43151</v>
      </c>
      <c r="AD131" s="29"/>
      <c r="AE131" s="29"/>
      <c r="AF131" s="22" t="s">
        <v>419</v>
      </c>
      <c r="AG131" s="213" t="s">
        <v>98</v>
      </c>
      <c r="AH131" s="516">
        <v>0</v>
      </c>
      <c r="AI131" s="144"/>
      <c r="AJ131" s="143"/>
      <c r="AK131" s="143"/>
      <c r="AL131" s="143"/>
      <c r="AM131" s="143"/>
      <c r="AN131" s="143"/>
      <c r="AO131" s="143"/>
      <c r="AP131" s="143"/>
      <c r="AQ131" s="143"/>
      <c r="AR131" s="143"/>
    </row>
    <row r="132" spans="1:44" ht="12.75" customHeight="1" x14ac:dyDescent="0.25">
      <c r="A132" s="22"/>
      <c r="B132" s="352">
        <v>2</v>
      </c>
      <c r="C132" s="80">
        <v>3</v>
      </c>
      <c r="D132" s="382" t="s">
        <v>86</v>
      </c>
      <c r="E132" s="65"/>
      <c r="F132" s="22"/>
      <c r="G132" s="42" t="s">
        <v>420</v>
      </c>
      <c r="H132" s="42" t="s">
        <v>412</v>
      </c>
      <c r="I132" s="42"/>
      <c r="J132" s="86"/>
      <c r="K132" s="22" t="s">
        <v>421</v>
      </c>
      <c r="L132" s="85"/>
      <c r="M132" s="25"/>
      <c r="N132" s="50">
        <v>1</v>
      </c>
      <c r="O132" s="22"/>
      <c r="P132" s="81">
        <v>147.5</v>
      </c>
      <c r="Q132" s="28">
        <f>N132*P132</f>
        <v>147.5</v>
      </c>
      <c r="R132" s="28"/>
      <c r="S132" s="28">
        <v>147.5</v>
      </c>
      <c r="T132" s="28"/>
      <c r="U132" s="133">
        <f t="shared" si="14"/>
        <v>0</v>
      </c>
      <c r="V132" s="22" t="s">
        <v>414</v>
      </c>
      <c r="W132" s="22" t="s">
        <v>415</v>
      </c>
      <c r="X132" s="22"/>
      <c r="Y132" s="22"/>
      <c r="Z132" s="29">
        <v>43144</v>
      </c>
      <c r="AA132" s="29"/>
      <c r="AB132" s="29">
        <v>43147</v>
      </c>
      <c r="AC132" s="29">
        <v>43151</v>
      </c>
      <c r="AD132" s="29"/>
      <c r="AE132" s="29"/>
      <c r="AF132" s="22" t="s">
        <v>419</v>
      </c>
      <c r="AG132" s="213" t="s">
        <v>98</v>
      </c>
      <c r="AH132" s="516">
        <v>0</v>
      </c>
      <c r="AI132" s="144"/>
      <c r="AJ132" s="143"/>
      <c r="AK132" s="143"/>
      <c r="AL132" s="143"/>
      <c r="AM132" s="143"/>
      <c r="AN132" s="143"/>
      <c r="AO132" s="143"/>
      <c r="AP132" s="143"/>
      <c r="AQ132" s="143"/>
      <c r="AR132" s="143"/>
    </row>
    <row r="133" spans="1:44" ht="25.5" customHeight="1" x14ac:dyDescent="0.25">
      <c r="A133" s="22"/>
      <c r="B133" s="352">
        <v>2</v>
      </c>
      <c r="C133" s="80">
        <v>3</v>
      </c>
      <c r="D133" s="382" t="s">
        <v>86</v>
      </c>
      <c r="E133" s="65"/>
      <c r="F133" s="22"/>
      <c r="G133" s="42" t="s">
        <v>268</v>
      </c>
      <c r="H133" s="42" t="s">
        <v>249</v>
      </c>
      <c r="I133" s="42"/>
      <c r="J133" s="22"/>
      <c r="K133" s="22"/>
      <c r="L133" s="25"/>
      <c r="M133" s="25"/>
      <c r="N133" s="50">
        <v>1</v>
      </c>
      <c r="O133" s="22"/>
      <c r="P133" s="81">
        <v>203.75599999993574</v>
      </c>
      <c r="Q133" s="28">
        <f>N133*P133</f>
        <v>203.75599999993574</v>
      </c>
      <c r="R133" s="28"/>
      <c r="S133" s="28">
        <v>0</v>
      </c>
      <c r="T133" s="28"/>
      <c r="U133" s="133">
        <f t="shared" si="14"/>
        <v>203.75599999993574</v>
      </c>
      <c r="V133" s="22"/>
      <c r="W133" s="22"/>
      <c r="X133" s="22"/>
      <c r="Y133" s="22"/>
      <c r="Z133" s="29"/>
      <c r="AA133" s="29"/>
      <c r="AB133" s="29"/>
      <c r="AC133" s="29"/>
      <c r="AD133" s="29"/>
      <c r="AE133" s="29"/>
      <c r="AF133" s="22" t="s">
        <v>422</v>
      </c>
      <c r="AG133" s="213" t="s">
        <v>147</v>
      </c>
      <c r="AH133" s="516"/>
      <c r="AI133" s="144"/>
      <c r="AJ133" s="143"/>
      <c r="AK133" s="505"/>
      <c r="AL133" s="143"/>
      <c r="AM133" s="143"/>
      <c r="AN133" s="143"/>
      <c r="AO133" s="143"/>
      <c r="AP133" s="143"/>
      <c r="AQ133" s="143"/>
      <c r="AR133" s="143"/>
    </row>
    <row r="134" spans="1:44" ht="25.5" customHeight="1" x14ac:dyDescent="0.25">
      <c r="A134" s="22"/>
      <c r="B134" s="352">
        <v>2</v>
      </c>
      <c r="C134" s="80">
        <v>3</v>
      </c>
      <c r="D134" s="382" t="s">
        <v>86</v>
      </c>
      <c r="E134" s="65"/>
      <c r="F134" s="22"/>
      <c r="G134" s="42" t="s">
        <v>271</v>
      </c>
      <c r="H134" s="42" t="s">
        <v>249</v>
      </c>
      <c r="I134" s="42"/>
      <c r="J134" s="22"/>
      <c r="K134" s="22"/>
      <c r="L134" s="25"/>
      <c r="M134" s="25"/>
      <c r="N134" s="50">
        <v>3</v>
      </c>
      <c r="O134" s="22"/>
      <c r="P134" s="81">
        <v>1833</v>
      </c>
      <c r="Q134" s="28">
        <v>0</v>
      </c>
      <c r="R134" s="28"/>
      <c r="S134" s="28">
        <v>0</v>
      </c>
      <c r="T134" s="28"/>
      <c r="U134" s="133">
        <f t="shared" si="14"/>
        <v>0</v>
      </c>
      <c r="V134" s="22"/>
      <c r="W134" s="22"/>
      <c r="X134" s="22"/>
      <c r="Y134" s="22"/>
      <c r="Z134" s="29"/>
      <c r="AA134" s="29"/>
      <c r="AB134" s="29"/>
      <c r="AC134" s="29"/>
      <c r="AD134" s="29"/>
      <c r="AE134" s="29"/>
      <c r="AF134" s="22" t="s">
        <v>422</v>
      </c>
      <c r="AG134" s="213" t="s">
        <v>147</v>
      </c>
      <c r="AH134" s="516"/>
      <c r="AI134" s="144"/>
      <c r="AJ134" s="143"/>
      <c r="AK134" s="143"/>
      <c r="AL134" s="143"/>
      <c r="AM134" s="143"/>
      <c r="AN134" s="143"/>
      <c r="AO134" s="143"/>
      <c r="AP134" s="143"/>
      <c r="AQ134" s="143"/>
      <c r="AR134" s="143"/>
    </row>
    <row r="135" spans="1:44" ht="25.5" customHeight="1" x14ac:dyDescent="0.25">
      <c r="A135" s="22"/>
      <c r="B135" s="352">
        <v>2</v>
      </c>
      <c r="C135" s="80">
        <v>3</v>
      </c>
      <c r="D135" s="382" t="s">
        <v>86</v>
      </c>
      <c r="E135" s="65"/>
      <c r="F135" s="22"/>
      <c r="G135" s="42" t="s">
        <v>273</v>
      </c>
      <c r="H135" s="42" t="s">
        <v>249</v>
      </c>
      <c r="I135" s="42"/>
      <c r="J135" s="22"/>
      <c r="K135" s="22"/>
      <c r="L135" s="25"/>
      <c r="M135" s="25"/>
      <c r="N135" s="50">
        <v>3</v>
      </c>
      <c r="O135" s="22"/>
      <c r="P135" s="81">
        <v>1833</v>
      </c>
      <c r="Q135" s="28">
        <v>0</v>
      </c>
      <c r="R135" s="28"/>
      <c r="S135" s="28">
        <v>0</v>
      </c>
      <c r="T135" s="28"/>
      <c r="U135" s="133">
        <f t="shared" si="14"/>
        <v>0</v>
      </c>
      <c r="V135" s="22"/>
      <c r="W135" s="22"/>
      <c r="X135" s="22"/>
      <c r="Y135" s="22"/>
      <c r="Z135" s="29"/>
      <c r="AA135" s="29"/>
      <c r="AB135" s="29"/>
      <c r="AC135" s="29"/>
      <c r="AD135" s="29"/>
      <c r="AE135" s="29"/>
      <c r="AF135" s="22" t="s">
        <v>422</v>
      </c>
      <c r="AG135" s="213" t="s">
        <v>147</v>
      </c>
      <c r="AH135" s="516"/>
      <c r="AI135" s="144"/>
      <c r="AJ135" s="143"/>
      <c r="AK135" s="143"/>
      <c r="AL135" s="143"/>
      <c r="AM135" s="143"/>
      <c r="AN135" s="143"/>
      <c r="AO135" s="143"/>
      <c r="AP135" s="143"/>
      <c r="AQ135" s="143"/>
      <c r="AR135" s="143"/>
    </row>
    <row r="136" spans="1:44" ht="25.5" customHeight="1" x14ac:dyDescent="0.25">
      <c r="A136" s="22"/>
      <c r="B136" s="352">
        <v>2</v>
      </c>
      <c r="C136" s="80">
        <v>3</v>
      </c>
      <c r="D136" s="382" t="s">
        <v>86</v>
      </c>
      <c r="E136" s="65"/>
      <c r="F136" s="22"/>
      <c r="G136" s="42" t="s">
        <v>275</v>
      </c>
      <c r="H136" s="42" t="s">
        <v>249</v>
      </c>
      <c r="I136" s="42"/>
      <c r="J136" s="22"/>
      <c r="K136" s="22"/>
      <c r="L136" s="25"/>
      <c r="M136" s="25"/>
      <c r="N136" s="50">
        <v>3</v>
      </c>
      <c r="O136" s="22"/>
      <c r="P136" s="81">
        <v>1833</v>
      </c>
      <c r="Q136" s="28">
        <v>0</v>
      </c>
      <c r="R136" s="28"/>
      <c r="S136" s="28">
        <v>0</v>
      </c>
      <c r="T136" s="28"/>
      <c r="U136" s="133">
        <f t="shared" si="14"/>
        <v>0</v>
      </c>
      <c r="V136" s="22"/>
      <c r="W136" s="22"/>
      <c r="X136" s="22"/>
      <c r="Y136" s="22"/>
      <c r="Z136" s="29"/>
      <c r="AA136" s="29"/>
      <c r="AB136" s="29"/>
      <c r="AC136" s="29"/>
      <c r="AD136" s="29"/>
      <c r="AE136" s="29"/>
      <c r="AF136" s="22" t="s">
        <v>422</v>
      </c>
      <c r="AG136" s="213" t="s">
        <v>147</v>
      </c>
      <c r="AH136" s="516"/>
      <c r="AI136" s="144"/>
      <c r="AJ136" s="143"/>
      <c r="AK136" s="143"/>
      <c r="AL136" s="143"/>
      <c r="AM136" s="143"/>
      <c r="AN136" s="143"/>
      <c r="AO136" s="143"/>
      <c r="AP136" s="143"/>
      <c r="AQ136" s="143"/>
      <c r="AR136" s="143"/>
    </row>
    <row r="137" spans="1:44" ht="25.5" customHeight="1" x14ac:dyDescent="0.25">
      <c r="A137" s="22"/>
      <c r="B137" s="352">
        <v>2</v>
      </c>
      <c r="C137" s="80">
        <v>3</v>
      </c>
      <c r="D137" s="382" t="s">
        <v>86</v>
      </c>
      <c r="E137" s="65"/>
      <c r="F137" s="22"/>
      <c r="G137" s="42" t="s">
        <v>277</v>
      </c>
      <c r="H137" s="42" t="s">
        <v>249</v>
      </c>
      <c r="I137" s="42"/>
      <c r="J137" s="22"/>
      <c r="K137" s="22"/>
      <c r="L137" s="25"/>
      <c r="M137" s="25"/>
      <c r="N137" s="50">
        <v>3</v>
      </c>
      <c r="O137" s="22"/>
      <c r="P137" s="81">
        <v>1833</v>
      </c>
      <c r="Q137" s="28">
        <v>0</v>
      </c>
      <c r="R137" s="28"/>
      <c r="S137" s="28">
        <v>0</v>
      </c>
      <c r="T137" s="28"/>
      <c r="U137" s="133">
        <f t="shared" si="14"/>
        <v>0</v>
      </c>
      <c r="V137" s="22"/>
      <c r="W137" s="22"/>
      <c r="X137" s="22"/>
      <c r="Y137" s="22"/>
      <c r="Z137" s="29"/>
      <c r="AA137" s="29"/>
      <c r="AB137" s="29"/>
      <c r="AC137" s="29"/>
      <c r="AD137" s="29"/>
      <c r="AE137" s="29"/>
      <c r="AF137" s="22" t="s">
        <v>422</v>
      </c>
      <c r="AG137" s="213" t="s">
        <v>147</v>
      </c>
      <c r="AH137" s="516"/>
      <c r="AI137" s="144"/>
      <c r="AJ137" s="143"/>
      <c r="AK137" s="143"/>
      <c r="AL137" s="143"/>
      <c r="AM137" s="143"/>
      <c r="AN137" s="143"/>
      <c r="AO137" s="143"/>
      <c r="AP137" s="143"/>
      <c r="AQ137" s="143"/>
      <c r="AR137" s="143"/>
    </row>
    <row r="138" spans="1:44" ht="12.75" customHeight="1" x14ac:dyDescent="0.25">
      <c r="A138" s="22"/>
      <c r="B138" s="352">
        <v>2</v>
      </c>
      <c r="C138" s="80">
        <v>3</v>
      </c>
      <c r="D138" s="382" t="s">
        <v>86</v>
      </c>
      <c r="E138" s="65"/>
      <c r="F138" s="22"/>
      <c r="G138" s="42" t="s">
        <v>423</v>
      </c>
      <c r="H138" s="42" t="s">
        <v>249</v>
      </c>
      <c r="I138" s="42"/>
      <c r="J138" s="22"/>
      <c r="K138" s="22"/>
      <c r="L138" s="25"/>
      <c r="M138" s="25"/>
      <c r="N138" s="50">
        <v>3</v>
      </c>
      <c r="O138" s="22"/>
      <c r="P138" s="81">
        <v>3341</v>
      </c>
      <c r="Q138" s="28">
        <v>0</v>
      </c>
      <c r="R138" s="28"/>
      <c r="S138" s="28">
        <v>0</v>
      </c>
      <c r="T138" s="28"/>
      <c r="U138" s="133">
        <f t="shared" si="14"/>
        <v>0</v>
      </c>
      <c r="V138" s="22"/>
      <c r="W138" s="22"/>
      <c r="X138" s="22"/>
      <c r="Y138" s="22"/>
      <c r="Z138" s="29"/>
      <c r="AA138" s="29"/>
      <c r="AB138" s="29"/>
      <c r="AC138" s="29"/>
      <c r="AD138" s="29"/>
      <c r="AE138" s="29"/>
      <c r="AF138" s="22" t="s">
        <v>422</v>
      </c>
      <c r="AG138" s="213" t="s">
        <v>147</v>
      </c>
      <c r="AH138" s="516"/>
      <c r="AI138" s="144"/>
      <c r="AJ138" s="143"/>
      <c r="AK138" s="143"/>
      <c r="AL138" s="143"/>
      <c r="AM138" s="143"/>
      <c r="AN138" s="143"/>
      <c r="AO138" s="143"/>
      <c r="AP138" s="143"/>
      <c r="AQ138" s="143"/>
      <c r="AR138" s="143"/>
    </row>
    <row r="139" spans="1:44" ht="12.75" customHeight="1" x14ac:dyDescent="0.25">
      <c r="A139" s="22"/>
      <c r="B139" s="352">
        <v>2</v>
      </c>
      <c r="C139" s="80">
        <v>3</v>
      </c>
      <c r="D139" s="382" t="s">
        <v>86</v>
      </c>
      <c r="E139" s="65"/>
      <c r="F139" s="22"/>
      <c r="G139" s="42" t="s">
        <v>280</v>
      </c>
      <c r="H139" s="42" t="s">
        <v>249</v>
      </c>
      <c r="I139" s="42"/>
      <c r="J139" s="22"/>
      <c r="K139" s="22"/>
      <c r="L139" s="25"/>
      <c r="M139" s="25"/>
      <c r="N139" s="50">
        <v>10</v>
      </c>
      <c r="O139" s="22"/>
      <c r="P139" s="81">
        <v>1245</v>
      </c>
      <c r="Q139" s="28">
        <v>0</v>
      </c>
      <c r="R139" s="28"/>
      <c r="S139" s="28">
        <v>0</v>
      </c>
      <c r="T139" s="28"/>
      <c r="U139" s="133">
        <f t="shared" si="14"/>
        <v>0</v>
      </c>
      <c r="V139" s="22"/>
      <c r="W139" s="22"/>
      <c r="X139" s="22"/>
      <c r="Y139" s="22"/>
      <c r="Z139" s="29"/>
      <c r="AA139" s="29"/>
      <c r="AB139" s="29"/>
      <c r="AC139" s="29"/>
      <c r="AD139" s="29"/>
      <c r="AE139" s="29"/>
      <c r="AF139" s="22" t="s">
        <v>422</v>
      </c>
      <c r="AG139" s="213" t="s">
        <v>147</v>
      </c>
      <c r="AH139" s="516"/>
      <c r="AI139" s="144"/>
      <c r="AJ139" s="143"/>
      <c r="AK139" s="143"/>
      <c r="AL139" s="143"/>
      <c r="AM139" s="143"/>
      <c r="AN139" s="143"/>
      <c r="AO139" s="143"/>
      <c r="AP139" s="143"/>
      <c r="AQ139" s="143"/>
      <c r="AR139" s="143"/>
    </row>
    <row r="140" spans="1:44" ht="12.75" customHeight="1" x14ac:dyDescent="0.25">
      <c r="A140" s="22"/>
      <c r="B140" s="352">
        <v>2</v>
      </c>
      <c r="C140" s="80">
        <v>3</v>
      </c>
      <c r="D140" s="382" t="s">
        <v>86</v>
      </c>
      <c r="E140" s="65"/>
      <c r="F140" s="22"/>
      <c r="G140" s="42" t="s">
        <v>424</v>
      </c>
      <c r="H140" s="42" t="s">
        <v>249</v>
      </c>
      <c r="I140" s="42"/>
      <c r="J140" s="22"/>
      <c r="K140" s="22"/>
      <c r="L140" s="25"/>
      <c r="M140" s="25"/>
      <c r="N140" s="50">
        <v>1</v>
      </c>
      <c r="O140" s="22"/>
      <c r="P140" s="81">
        <v>3341</v>
      </c>
      <c r="Q140" s="28">
        <v>0</v>
      </c>
      <c r="R140" s="28"/>
      <c r="S140" s="28">
        <v>0</v>
      </c>
      <c r="T140" s="28"/>
      <c r="U140" s="133">
        <f t="shared" si="14"/>
        <v>0</v>
      </c>
      <c r="V140" s="22"/>
      <c r="W140" s="22"/>
      <c r="X140" s="22"/>
      <c r="Y140" s="22"/>
      <c r="Z140" s="29"/>
      <c r="AA140" s="29"/>
      <c r="AB140" s="29"/>
      <c r="AC140" s="29"/>
      <c r="AD140" s="29"/>
      <c r="AE140" s="29"/>
      <c r="AF140" s="22" t="s">
        <v>422</v>
      </c>
      <c r="AG140" s="213" t="s">
        <v>147</v>
      </c>
      <c r="AH140" s="516"/>
      <c r="AI140" s="144"/>
      <c r="AJ140" s="143"/>
      <c r="AK140" s="143"/>
      <c r="AL140" s="143"/>
      <c r="AM140" s="143"/>
      <c r="AN140" s="143"/>
      <c r="AO140" s="143"/>
      <c r="AP140" s="143"/>
      <c r="AQ140" s="143"/>
      <c r="AR140" s="143"/>
    </row>
    <row r="141" spans="1:44" ht="12.75" customHeight="1" x14ac:dyDescent="0.25">
      <c r="A141" s="22"/>
      <c r="B141" s="352">
        <v>2</v>
      </c>
      <c r="C141" s="80">
        <v>3</v>
      </c>
      <c r="D141" s="382" t="s">
        <v>86</v>
      </c>
      <c r="E141" s="65"/>
      <c r="F141" s="22"/>
      <c r="G141" s="42" t="s">
        <v>282</v>
      </c>
      <c r="H141" s="42" t="s">
        <v>249</v>
      </c>
      <c r="I141" s="42"/>
      <c r="J141" s="22"/>
      <c r="K141" s="22"/>
      <c r="L141" s="25"/>
      <c r="M141" s="25"/>
      <c r="N141" s="50">
        <v>2</v>
      </c>
      <c r="O141" s="22"/>
      <c r="P141" s="81">
        <v>27</v>
      </c>
      <c r="Q141" s="28">
        <v>0</v>
      </c>
      <c r="R141" s="28"/>
      <c r="S141" s="28">
        <v>0</v>
      </c>
      <c r="T141" s="28"/>
      <c r="U141" s="133">
        <f t="shared" si="14"/>
        <v>0</v>
      </c>
      <c r="V141" s="22"/>
      <c r="W141" s="22"/>
      <c r="X141" s="22"/>
      <c r="Y141" s="22"/>
      <c r="Z141" s="29"/>
      <c r="AA141" s="29"/>
      <c r="AB141" s="29"/>
      <c r="AC141" s="29"/>
      <c r="AD141" s="29"/>
      <c r="AE141" s="29"/>
      <c r="AF141" s="22" t="s">
        <v>422</v>
      </c>
      <c r="AG141" s="213" t="s">
        <v>147</v>
      </c>
      <c r="AH141" s="516"/>
      <c r="AI141" s="144"/>
      <c r="AJ141" s="143"/>
      <c r="AK141" s="143"/>
      <c r="AL141" s="143"/>
      <c r="AM141" s="143"/>
      <c r="AN141" s="143"/>
      <c r="AO141" s="143"/>
      <c r="AP141" s="143"/>
      <c r="AQ141" s="143"/>
      <c r="AR141" s="143"/>
    </row>
    <row r="142" spans="1:44" ht="12.75" customHeight="1" x14ac:dyDescent="0.25">
      <c r="A142" s="22"/>
      <c r="B142" s="352">
        <v>2</v>
      </c>
      <c r="C142" s="80">
        <v>3</v>
      </c>
      <c r="D142" s="382" t="s">
        <v>86</v>
      </c>
      <c r="E142" s="65"/>
      <c r="F142" s="22"/>
      <c r="G142" s="42" t="s">
        <v>425</v>
      </c>
      <c r="H142" s="42" t="s">
        <v>249</v>
      </c>
      <c r="I142" s="42"/>
      <c r="J142" s="22"/>
      <c r="K142" s="22"/>
      <c r="L142" s="25"/>
      <c r="M142" s="43"/>
      <c r="N142" s="50">
        <v>3</v>
      </c>
      <c r="O142" s="22"/>
      <c r="P142" s="81">
        <v>1684</v>
      </c>
      <c r="Q142" s="28">
        <v>0</v>
      </c>
      <c r="R142" s="28"/>
      <c r="S142" s="28">
        <v>0</v>
      </c>
      <c r="T142" s="28"/>
      <c r="U142" s="133">
        <f t="shared" si="14"/>
        <v>0</v>
      </c>
      <c r="V142" s="22"/>
      <c r="W142" s="22"/>
      <c r="X142" s="22"/>
      <c r="Y142" s="22"/>
      <c r="Z142" s="29"/>
      <c r="AA142" s="29"/>
      <c r="AB142" s="29"/>
      <c r="AC142" s="29"/>
      <c r="AD142" s="29"/>
      <c r="AE142" s="29"/>
      <c r="AF142" s="22" t="s">
        <v>422</v>
      </c>
      <c r="AG142" s="213" t="s">
        <v>147</v>
      </c>
      <c r="AH142" s="516"/>
      <c r="AI142" s="144"/>
      <c r="AJ142" s="143"/>
      <c r="AK142" s="143"/>
      <c r="AL142" s="143"/>
      <c r="AM142" s="143"/>
      <c r="AN142" s="143"/>
      <c r="AO142" s="143"/>
      <c r="AP142" s="143"/>
      <c r="AQ142" s="143"/>
      <c r="AR142" s="143"/>
    </row>
    <row r="143" spans="1:44" ht="12.75" customHeight="1" x14ac:dyDescent="0.25">
      <c r="A143" s="22"/>
      <c r="B143" s="352">
        <v>2</v>
      </c>
      <c r="C143" s="80">
        <v>3</v>
      </c>
      <c r="D143" s="382" t="s">
        <v>86</v>
      </c>
      <c r="E143" s="65"/>
      <c r="F143" s="22"/>
      <c r="G143" s="42" t="s">
        <v>426</v>
      </c>
      <c r="H143" s="42" t="s">
        <v>249</v>
      </c>
      <c r="I143" s="42"/>
      <c r="J143" s="22"/>
      <c r="K143" s="22"/>
      <c r="L143" s="25"/>
      <c r="M143" s="43"/>
      <c r="N143" s="50">
        <v>3</v>
      </c>
      <c r="O143" s="22"/>
      <c r="P143" s="81">
        <v>-1545</v>
      </c>
      <c r="Q143" s="28">
        <f>N143*P143</f>
        <v>-4635</v>
      </c>
      <c r="R143" s="28"/>
      <c r="S143" s="28">
        <v>0</v>
      </c>
      <c r="T143" s="28"/>
      <c r="U143" s="133">
        <f t="shared" si="14"/>
        <v>-4635</v>
      </c>
      <c r="V143" s="22"/>
      <c r="W143" s="22"/>
      <c r="X143" s="22"/>
      <c r="Y143" s="22"/>
      <c r="Z143" s="29"/>
      <c r="AA143" s="29"/>
      <c r="AB143" s="29"/>
      <c r="AC143" s="29"/>
      <c r="AD143" s="29"/>
      <c r="AE143" s="29"/>
      <c r="AF143" s="22" t="s">
        <v>422</v>
      </c>
      <c r="AG143" s="213" t="s">
        <v>147</v>
      </c>
      <c r="AH143" s="516"/>
      <c r="AI143" s="144"/>
      <c r="AJ143" s="143"/>
      <c r="AK143" s="143"/>
      <c r="AL143" s="143"/>
      <c r="AM143" s="143"/>
      <c r="AN143" s="143"/>
      <c r="AO143" s="143"/>
      <c r="AP143" s="143"/>
      <c r="AQ143" s="143"/>
      <c r="AR143" s="143"/>
    </row>
    <row r="144" spans="1:44" ht="12.75" customHeight="1" x14ac:dyDescent="0.25">
      <c r="A144" s="22"/>
      <c r="B144" s="352">
        <v>2</v>
      </c>
      <c r="C144" s="80">
        <v>3</v>
      </c>
      <c r="D144" s="382" t="s">
        <v>86</v>
      </c>
      <c r="E144" s="65"/>
      <c r="F144" s="22"/>
      <c r="G144" s="42" t="s">
        <v>427</v>
      </c>
      <c r="H144" s="42" t="s">
        <v>249</v>
      </c>
      <c r="I144" s="42"/>
      <c r="J144" s="22"/>
      <c r="K144" s="22"/>
      <c r="L144" s="25"/>
      <c r="M144" s="43"/>
      <c r="N144" s="50">
        <v>3</v>
      </c>
      <c r="O144" s="22"/>
      <c r="P144" s="81">
        <v>-993</v>
      </c>
      <c r="Q144" s="28">
        <f>N144*P144</f>
        <v>-2979</v>
      </c>
      <c r="R144" s="28"/>
      <c r="S144" s="28">
        <v>0</v>
      </c>
      <c r="T144" s="28"/>
      <c r="U144" s="133">
        <f t="shared" si="14"/>
        <v>-2979</v>
      </c>
      <c r="V144" s="22"/>
      <c r="W144" s="22"/>
      <c r="X144" s="22"/>
      <c r="Y144" s="22"/>
      <c r="Z144" s="29"/>
      <c r="AA144" s="29"/>
      <c r="AB144" s="29"/>
      <c r="AC144" s="29"/>
      <c r="AD144" s="29"/>
      <c r="AE144" s="29"/>
      <c r="AF144" s="22" t="s">
        <v>422</v>
      </c>
      <c r="AG144" s="213" t="s">
        <v>147</v>
      </c>
      <c r="AH144" s="516"/>
      <c r="AI144" s="144"/>
      <c r="AJ144" s="143"/>
      <c r="AK144" s="143"/>
      <c r="AL144" s="143"/>
      <c r="AM144" s="143"/>
      <c r="AN144" s="143"/>
      <c r="AO144" s="143"/>
      <c r="AP144" s="143"/>
      <c r="AQ144" s="143"/>
      <c r="AR144" s="143"/>
    </row>
    <row r="145" spans="1:44" ht="12.75" customHeight="1" x14ac:dyDescent="0.25">
      <c r="A145" s="22"/>
      <c r="B145" s="352">
        <v>2</v>
      </c>
      <c r="C145" s="80">
        <v>3</v>
      </c>
      <c r="D145" s="382" t="s">
        <v>86</v>
      </c>
      <c r="E145" s="65"/>
      <c r="F145" s="22"/>
      <c r="G145" s="42" t="s">
        <v>428</v>
      </c>
      <c r="H145" s="42" t="s">
        <v>249</v>
      </c>
      <c r="I145" s="42"/>
      <c r="J145" s="22"/>
      <c r="K145" s="22"/>
      <c r="L145" s="25"/>
      <c r="M145" s="43"/>
      <c r="N145" s="50">
        <v>5</v>
      </c>
      <c r="O145" s="22"/>
      <c r="P145" s="81">
        <v>-1687</v>
      </c>
      <c r="Q145" s="28">
        <f>N145*P145</f>
        <v>-8435</v>
      </c>
      <c r="R145" s="28"/>
      <c r="S145" s="28">
        <v>0</v>
      </c>
      <c r="T145" s="28"/>
      <c r="U145" s="133">
        <f t="shared" si="14"/>
        <v>-8435</v>
      </c>
      <c r="V145" s="22"/>
      <c r="W145" s="22"/>
      <c r="X145" s="22"/>
      <c r="Y145" s="22"/>
      <c r="Z145" s="29"/>
      <c r="AA145" s="29"/>
      <c r="AB145" s="29"/>
      <c r="AC145" s="29"/>
      <c r="AD145" s="29"/>
      <c r="AE145" s="29"/>
      <c r="AF145" s="22" t="s">
        <v>422</v>
      </c>
      <c r="AG145" s="213" t="s">
        <v>147</v>
      </c>
      <c r="AH145" s="516"/>
      <c r="AI145" s="144"/>
      <c r="AJ145" s="143"/>
      <c r="AK145" s="143"/>
      <c r="AL145" s="143"/>
      <c r="AM145" s="143"/>
      <c r="AN145" s="143"/>
      <c r="AO145" s="143"/>
      <c r="AP145" s="143"/>
      <c r="AQ145" s="143"/>
      <c r="AR145" s="143"/>
    </row>
    <row r="146" spans="1:44" ht="12.75" customHeight="1" x14ac:dyDescent="0.25">
      <c r="A146" s="22"/>
      <c r="B146" s="352">
        <v>2</v>
      </c>
      <c r="C146" s="80">
        <v>3</v>
      </c>
      <c r="D146" s="382" t="s">
        <v>86</v>
      </c>
      <c r="E146" s="65"/>
      <c r="F146" s="22"/>
      <c r="G146" s="42" t="s">
        <v>429</v>
      </c>
      <c r="H146" s="42" t="s">
        <v>249</v>
      </c>
      <c r="I146" s="42"/>
      <c r="J146" s="22"/>
      <c r="K146" s="22"/>
      <c r="L146" s="25"/>
      <c r="M146" s="43"/>
      <c r="N146" s="50">
        <v>5</v>
      </c>
      <c r="O146" s="22"/>
      <c r="P146" s="81">
        <v>-1687</v>
      </c>
      <c r="Q146" s="28">
        <f>N146*P146</f>
        <v>-8435</v>
      </c>
      <c r="R146" s="28"/>
      <c r="S146" s="28">
        <v>0</v>
      </c>
      <c r="T146" s="28"/>
      <c r="U146" s="133">
        <f t="shared" si="14"/>
        <v>-8435</v>
      </c>
      <c r="V146" s="22"/>
      <c r="W146" s="22"/>
      <c r="X146" s="22"/>
      <c r="Y146" s="22"/>
      <c r="Z146" s="29"/>
      <c r="AA146" s="29"/>
      <c r="AB146" s="29"/>
      <c r="AC146" s="29"/>
      <c r="AD146" s="29"/>
      <c r="AE146" s="29"/>
      <c r="AF146" s="22" t="s">
        <v>422</v>
      </c>
      <c r="AG146" s="213" t="s">
        <v>147</v>
      </c>
      <c r="AH146" s="516"/>
      <c r="AI146" s="144"/>
      <c r="AJ146" s="143"/>
      <c r="AK146" s="143"/>
      <c r="AL146" s="143"/>
      <c r="AM146" s="143"/>
      <c r="AN146" s="143"/>
      <c r="AO146" s="143"/>
      <c r="AP146" s="143"/>
      <c r="AQ146" s="143"/>
      <c r="AR146" s="143"/>
    </row>
    <row r="147" spans="1:44" ht="12.75" customHeight="1" x14ac:dyDescent="0.25">
      <c r="A147" s="22"/>
      <c r="B147" s="352">
        <v>2</v>
      </c>
      <c r="C147" s="80">
        <v>3</v>
      </c>
      <c r="D147" s="382" t="s">
        <v>86</v>
      </c>
      <c r="E147" s="65"/>
      <c r="F147" s="22"/>
      <c r="G147" s="42" t="s">
        <v>430</v>
      </c>
      <c r="H147" s="42" t="s">
        <v>249</v>
      </c>
      <c r="I147" s="42"/>
      <c r="J147" s="22"/>
      <c r="K147" s="22"/>
      <c r="L147" s="25"/>
      <c r="M147" s="43"/>
      <c r="N147" s="50">
        <v>1</v>
      </c>
      <c r="O147" s="22"/>
      <c r="P147" s="81">
        <v>-582.5</v>
      </c>
      <c r="Q147" s="28">
        <f>N147*P147</f>
        <v>-582.5</v>
      </c>
      <c r="R147" s="28"/>
      <c r="S147" s="28">
        <v>0</v>
      </c>
      <c r="T147" s="28"/>
      <c r="U147" s="133">
        <f t="shared" si="14"/>
        <v>-582.5</v>
      </c>
      <c r="V147" s="22"/>
      <c r="W147" s="22"/>
      <c r="X147" s="22"/>
      <c r="Y147" s="22"/>
      <c r="Z147" s="29"/>
      <c r="AA147" s="29"/>
      <c r="AB147" s="29"/>
      <c r="AC147" s="29"/>
      <c r="AD147" s="29"/>
      <c r="AE147" s="29"/>
      <c r="AF147" s="22" t="s">
        <v>422</v>
      </c>
      <c r="AG147" s="213" t="s">
        <v>147</v>
      </c>
      <c r="AH147" s="516"/>
      <c r="AI147" s="144"/>
      <c r="AJ147" s="143"/>
      <c r="AK147" s="143"/>
      <c r="AL147" s="143"/>
      <c r="AM147" s="143"/>
      <c r="AN147" s="143"/>
      <c r="AO147" s="143"/>
      <c r="AP147" s="143"/>
      <c r="AQ147" s="143"/>
      <c r="AR147" s="143"/>
    </row>
    <row r="148" spans="1:44" ht="92.4" x14ac:dyDescent="0.25">
      <c r="A148" s="22"/>
      <c r="B148" s="352">
        <v>2</v>
      </c>
      <c r="C148" s="80" t="s">
        <v>392</v>
      </c>
      <c r="D148" s="382" t="s">
        <v>86</v>
      </c>
      <c r="E148" s="65"/>
      <c r="F148" s="22"/>
      <c r="G148" s="42" t="s">
        <v>431</v>
      </c>
      <c r="H148" s="42" t="s">
        <v>432</v>
      </c>
      <c r="I148" s="42"/>
      <c r="J148" s="22"/>
      <c r="K148" s="22" t="s">
        <v>433</v>
      </c>
      <c r="L148" s="25"/>
      <c r="M148" s="43"/>
      <c r="N148" s="50">
        <v>1</v>
      </c>
      <c r="O148" s="22"/>
      <c r="P148" s="81">
        <v>49304</v>
      </c>
      <c r="Q148" s="28">
        <v>197716</v>
      </c>
      <c r="R148" s="28"/>
      <c r="S148" s="28">
        <v>50829</v>
      </c>
      <c r="T148" s="28"/>
      <c r="U148" s="133">
        <f t="shared" si="14"/>
        <v>146887</v>
      </c>
      <c r="V148" s="22" t="s">
        <v>434</v>
      </c>
      <c r="W148" s="31" t="s">
        <v>435</v>
      </c>
      <c r="X148" s="22"/>
      <c r="Y148" s="22"/>
      <c r="Z148" s="29">
        <v>43207</v>
      </c>
      <c r="AA148" s="29"/>
      <c r="AB148" s="29">
        <v>43320</v>
      </c>
      <c r="AC148" s="29">
        <v>43300</v>
      </c>
      <c r="AD148" s="29" t="s">
        <v>436</v>
      </c>
      <c r="AE148" s="29"/>
      <c r="AF148" s="22" t="s">
        <v>437</v>
      </c>
      <c r="AG148" s="213" t="s">
        <v>98</v>
      </c>
      <c r="AH148" s="516">
        <v>50873.09</v>
      </c>
      <c r="AI148" s="144"/>
      <c r="AJ148" s="143"/>
      <c r="AK148" s="143"/>
      <c r="AL148" s="143"/>
      <c r="AM148" s="143"/>
      <c r="AN148" s="143"/>
      <c r="AO148" s="143"/>
      <c r="AP148" s="143"/>
      <c r="AQ148" s="143"/>
      <c r="AR148" s="143"/>
    </row>
    <row r="149" spans="1:44" ht="25.5" customHeight="1" x14ac:dyDescent="0.25">
      <c r="A149" s="22"/>
      <c r="B149" s="352">
        <v>2</v>
      </c>
      <c r="C149" s="80">
        <v>3</v>
      </c>
      <c r="D149" s="382" t="s">
        <v>86</v>
      </c>
      <c r="E149" s="65"/>
      <c r="F149" s="22"/>
      <c r="G149" s="42" t="s">
        <v>438</v>
      </c>
      <c r="H149" s="42" t="s">
        <v>432</v>
      </c>
      <c r="I149" s="42"/>
      <c r="J149" s="22"/>
      <c r="K149" s="22" t="s">
        <v>438</v>
      </c>
      <c r="L149" s="25"/>
      <c r="M149" s="43"/>
      <c r="N149" s="50">
        <v>1</v>
      </c>
      <c r="O149" s="22"/>
      <c r="P149" s="81">
        <v>43.71</v>
      </c>
      <c r="Q149" s="28">
        <f t="shared" ref="Q149:Q186" si="15">N149*P149</f>
        <v>43.71</v>
      </c>
      <c r="R149" s="28"/>
      <c r="S149" s="28">
        <v>500</v>
      </c>
      <c r="T149" s="28"/>
      <c r="U149" s="133">
        <f t="shared" si="14"/>
        <v>-456.29</v>
      </c>
      <c r="V149" s="22" t="s">
        <v>434</v>
      </c>
      <c r="W149" s="31" t="s">
        <v>435</v>
      </c>
      <c r="X149" s="22"/>
      <c r="Y149" s="22"/>
      <c r="Z149" s="29"/>
      <c r="AA149" s="29"/>
      <c r="AB149" s="29">
        <v>43320</v>
      </c>
      <c r="AC149" s="29">
        <v>43300</v>
      </c>
      <c r="AD149" s="29"/>
      <c r="AE149" s="29"/>
      <c r="AF149" s="22"/>
      <c r="AG149" s="213" t="s">
        <v>98</v>
      </c>
      <c r="AH149" s="516">
        <v>0</v>
      </c>
      <c r="AI149" s="144"/>
      <c r="AJ149" s="143"/>
      <c r="AK149" s="143"/>
      <c r="AL149" s="143"/>
      <c r="AM149" s="143"/>
      <c r="AN149" s="143"/>
      <c r="AO149" s="143"/>
      <c r="AP149" s="143"/>
      <c r="AQ149" s="143"/>
      <c r="AR149" s="143"/>
    </row>
    <row r="150" spans="1:44" s="596" customFormat="1" ht="25.5" customHeight="1" x14ac:dyDescent="0.25">
      <c r="A150" s="22"/>
      <c r="B150" s="578">
        <v>7</v>
      </c>
      <c r="C150" s="579">
        <v>3</v>
      </c>
      <c r="D150" s="580" t="s">
        <v>439</v>
      </c>
      <c r="E150" s="581"/>
      <c r="F150" s="582"/>
      <c r="G150" s="583" t="s">
        <v>440</v>
      </c>
      <c r="H150" s="583"/>
      <c r="I150" s="583"/>
      <c r="J150" s="582"/>
      <c r="K150" s="582"/>
      <c r="L150" s="584"/>
      <c r="M150" s="585"/>
      <c r="N150" s="586"/>
      <c r="O150" s="582"/>
      <c r="P150" s="587"/>
      <c r="Q150" s="588">
        <v>-90000</v>
      </c>
      <c r="R150" s="28"/>
      <c r="S150" s="588"/>
      <c r="T150" s="588"/>
      <c r="U150" s="589"/>
      <c r="V150" s="582"/>
      <c r="W150" s="590"/>
      <c r="X150" s="22"/>
      <c r="Y150" s="22"/>
      <c r="Z150" s="591"/>
      <c r="AA150" s="29"/>
      <c r="AB150" s="591"/>
      <c r="AC150" s="591"/>
      <c r="AD150" s="29"/>
      <c r="AE150" s="29"/>
      <c r="AF150" s="22"/>
      <c r="AG150" s="592"/>
      <c r="AH150" s="593"/>
      <c r="AI150" s="594"/>
      <c r="AJ150" s="595"/>
      <c r="AK150" s="595"/>
      <c r="AL150" s="595"/>
      <c r="AM150" s="595"/>
      <c r="AN150" s="595"/>
      <c r="AO150" s="595"/>
      <c r="AP150" s="595"/>
      <c r="AQ150" s="595"/>
      <c r="AR150" s="595"/>
    </row>
    <row r="151" spans="1:44" s="596" customFormat="1" ht="25.5" customHeight="1" x14ac:dyDescent="0.25">
      <c r="A151" s="22"/>
      <c r="B151" s="578">
        <v>7</v>
      </c>
      <c r="C151" s="579">
        <v>3</v>
      </c>
      <c r="D151" s="580" t="s">
        <v>439</v>
      </c>
      <c r="E151" s="581"/>
      <c r="F151" s="582"/>
      <c r="G151" s="583" t="s">
        <v>441</v>
      </c>
      <c r="H151" s="583"/>
      <c r="I151" s="583"/>
      <c r="J151" s="582"/>
      <c r="K151" s="582"/>
      <c r="L151" s="584"/>
      <c r="M151" s="585"/>
      <c r="N151" s="586"/>
      <c r="O151" s="582"/>
      <c r="P151" s="587"/>
      <c r="Q151" s="588">
        <v>-27560</v>
      </c>
      <c r="R151" s="28"/>
      <c r="S151" s="588"/>
      <c r="T151" s="588"/>
      <c r="U151" s="589"/>
      <c r="V151" s="582"/>
      <c r="W151" s="590"/>
      <c r="X151" s="22"/>
      <c r="Y151" s="22"/>
      <c r="Z151" s="591"/>
      <c r="AA151" s="29"/>
      <c r="AB151" s="591"/>
      <c r="AC151" s="591"/>
      <c r="AD151" s="29"/>
      <c r="AE151" s="29"/>
      <c r="AF151" s="22"/>
      <c r="AG151" s="592"/>
      <c r="AH151" s="593"/>
      <c r="AI151" s="594"/>
      <c r="AJ151" s="595"/>
      <c r="AK151" s="595"/>
      <c r="AL151" s="595"/>
      <c r="AM151" s="595"/>
      <c r="AN151" s="595"/>
      <c r="AO151" s="595"/>
      <c r="AP151" s="595"/>
      <c r="AQ151" s="595"/>
      <c r="AR151" s="595"/>
    </row>
    <row r="152" spans="1:44" s="596" customFormat="1" ht="25.5" customHeight="1" x14ac:dyDescent="0.25">
      <c r="A152" s="22"/>
      <c r="B152" s="578">
        <v>7</v>
      </c>
      <c r="C152" s="579">
        <v>3</v>
      </c>
      <c r="D152" s="580" t="s">
        <v>439</v>
      </c>
      <c r="E152" s="581"/>
      <c r="F152" s="582"/>
      <c r="G152" s="583" t="s">
        <v>441</v>
      </c>
      <c r="H152" s="583"/>
      <c r="I152" s="583"/>
      <c r="J152" s="582"/>
      <c r="K152" s="582"/>
      <c r="L152" s="584"/>
      <c r="M152" s="585"/>
      <c r="N152" s="586"/>
      <c r="O152" s="582"/>
      <c r="P152" s="587"/>
      <c r="Q152" s="588">
        <v>-150</v>
      </c>
      <c r="R152" s="28"/>
      <c r="S152" s="588"/>
      <c r="T152" s="588"/>
      <c r="U152" s="589"/>
      <c r="V152" s="582"/>
      <c r="W152" s="590"/>
      <c r="X152" s="22"/>
      <c r="Y152" s="22"/>
      <c r="Z152" s="591"/>
      <c r="AA152" s="29"/>
      <c r="AB152" s="591"/>
      <c r="AC152" s="591"/>
      <c r="AD152" s="29"/>
      <c r="AE152" s="29"/>
      <c r="AF152" s="22"/>
      <c r="AG152" s="592"/>
      <c r="AH152" s="593"/>
      <c r="AI152" s="594"/>
      <c r="AJ152" s="595"/>
      <c r="AK152" s="595"/>
      <c r="AL152" s="595"/>
      <c r="AM152" s="595"/>
      <c r="AN152" s="595"/>
      <c r="AO152" s="595"/>
      <c r="AP152" s="595"/>
      <c r="AQ152" s="595"/>
      <c r="AR152" s="595"/>
    </row>
    <row r="153" spans="1:44" s="596" customFormat="1" ht="25.5" customHeight="1" x14ac:dyDescent="0.25">
      <c r="A153" s="22"/>
      <c r="B153" s="578">
        <v>7</v>
      </c>
      <c r="C153" s="579">
        <v>3</v>
      </c>
      <c r="D153" s="580" t="s">
        <v>439</v>
      </c>
      <c r="E153" s="581"/>
      <c r="F153" s="582"/>
      <c r="G153" s="583" t="s">
        <v>442</v>
      </c>
      <c r="H153" s="583"/>
      <c r="I153" s="583"/>
      <c r="J153" s="582"/>
      <c r="K153" s="582"/>
      <c r="L153" s="584"/>
      <c r="M153" s="585"/>
      <c r="N153" s="586"/>
      <c r="O153" s="582"/>
      <c r="P153" s="587"/>
      <c r="Q153" s="588">
        <v>-147912</v>
      </c>
      <c r="R153" s="28"/>
      <c r="S153" s="588"/>
      <c r="T153" s="588"/>
      <c r="U153" s="589"/>
      <c r="V153" s="582"/>
      <c r="W153" s="590"/>
      <c r="X153" s="22"/>
      <c r="Y153" s="22"/>
      <c r="Z153" s="591"/>
      <c r="AA153" s="29"/>
      <c r="AB153" s="591"/>
      <c r="AC153" s="591"/>
      <c r="AD153" s="29"/>
      <c r="AE153" s="29"/>
      <c r="AF153" s="22"/>
      <c r="AG153" s="592"/>
      <c r="AH153" s="593"/>
      <c r="AI153" s="594"/>
      <c r="AJ153" s="595"/>
      <c r="AK153" s="595"/>
      <c r="AL153" s="595"/>
      <c r="AM153" s="595"/>
      <c r="AN153" s="595"/>
      <c r="AO153" s="595"/>
      <c r="AP153" s="595"/>
      <c r="AQ153" s="595"/>
      <c r="AR153" s="595"/>
    </row>
    <row r="154" spans="1:44" s="596" customFormat="1" ht="25.5" customHeight="1" x14ac:dyDescent="0.25">
      <c r="A154" s="22"/>
      <c r="B154" s="578">
        <v>7</v>
      </c>
      <c r="C154" s="579">
        <v>3</v>
      </c>
      <c r="D154" s="580" t="s">
        <v>439</v>
      </c>
      <c r="E154" s="581"/>
      <c r="F154" s="582"/>
      <c r="G154" s="583" t="s">
        <v>443</v>
      </c>
      <c r="H154" s="583"/>
      <c r="I154" s="583"/>
      <c r="J154" s="582"/>
      <c r="K154" s="582"/>
      <c r="L154" s="584"/>
      <c r="M154" s="585"/>
      <c r="N154" s="586"/>
      <c r="O154" s="582"/>
      <c r="P154" s="587"/>
      <c r="Q154" s="588">
        <v>-42150</v>
      </c>
      <c r="R154" s="28"/>
      <c r="S154" s="588"/>
      <c r="T154" s="588"/>
      <c r="U154" s="589"/>
      <c r="V154" s="582"/>
      <c r="W154" s="590"/>
      <c r="X154" s="22"/>
      <c r="Y154" s="22"/>
      <c r="Z154" s="591"/>
      <c r="AA154" s="29"/>
      <c r="AB154" s="591"/>
      <c r="AC154" s="591"/>
      <c r="AD154" s="29"/>
      <c r="AE154" s="29"/>
      <c r="AF154" s="22"/>
      <c r="AG154" s="592"/>
      <c r="AH154" s="593"/>
      <c r="AI154" s="594"/>
      <c r="AJ154" s="595"/>
      <c r="AK154" s="595"/>
      <c r="AL154" s="595"/>
      <c r="AM154" s="595"/>
      <c r="AN154" s="595"/>
      <c r="AO154" s="595"/>
      <c r="AP154" s="595"/>
      <c r="AQ154" s="595"/>
      <c r="AR154" s="595"/>
    </row>
    <row r="155" spans="1:44" ht="105.6" x14ac:dyDescent="0.25">
      <c r="A155" s="22"/>
      <c r="B155" s="352">
        <v>2</v>
      </c>
      <c r="C155" s="80">
        <v>3</v>
      </c>
      <c r="D155" s="382" t="s">
        <v>86</v>
      </c>
      <c r="E155" s="65"/>
      <c r="F155" s="22"/>
      <c r="G155" s="42" t="s">
        <v>444</v>
      </c>
      <c r="H155" s="42" t="s">
        <v>445</v>
      </c>
      <c r="I155" s="42"/>
      <c r="J155" s="22"/>
      <c r="K155" s="22" t="s">
        <v>446</v>
      </c>
      <c r="L155" s="25"/>
      <c r="M155" s="43"/>
      <c r="N155" s="50">
        <v>1</v>
      </c>
      <c r="O155" s="22"/>
      <c r="P155" s="81">
        <v>21075</v>
      </c>
      <c r="Q155" s="28">
        <f t="shared" si="15"/>
        <v>21075</v>
      </c>
      <c r="R155" s="28"/>
      <c r="S155" s="28">
        <v>21075</v>
      </c>
      <c r="T155" s="28"/>
      <c r="U155" s="133">
        <f t="shared" si="14"/>
        <v>0</v>
      </c>
      <c r="V155" s="22" t="s">
        <v>447</v>
      </c>
      <c r="W155" s="136" t="s">
        <v>448</v>
      </c>
      <c r="X155" s="22"/>
      <c r="Y155" s="22"/>
      <c r="Z155" s="29">
        <v>43201</v>
      </c>
      <c r="AA155" s="29"/>
      <c r="AB155" s="29">
        <v>43385</v>
      </c>
      <c r="AC155" s="29"/>
      <c r="AD155" s="29"/>
      <c r="AE155" s="29"/>
      <c r="AF155" s="22"/>
      <c r="AG155" s="213" t="s">
        <v>98</v>
      </c>
      <c r="AH155" s="516">
        <v>36620.75</v>
      </c>
      <c r="AI155" s="144"/>
      <c r="AJ155" s="143"/>
      <c r="AK155" s="143"/>
      <c r="AL155" s="143"/>
      <c r="AM155" s="143"/>
      <c r="AN155" s="143"/>
      <c r="AO155" s="143"/>
      <c r="AP155" s="143"/>
      <c r="AQ155" s="143"/>
      <c r="AR155" s="143"/>
    </row>
    <row r="156" spans="1:44" ht="25.5" customHeight="1" x14ac:dyDescent="0.25">
      <c r="A156" s="22"/>
      <c r="B156" s="352">
        <v>2</v>
      </c>
      <c r="C156" s="80" t="s">
        <v>392</v>
      </c>
      <c r="D156" s="382" t="s">
        <v>86</v>
      </c>
      <c r="E156" s="65"/>
      <c r="F156" s="22"/>
      <c r="G156" s="42" t="s">
        <v>449</v>
      </c>
      <c r="H156" s="42" t="s">
        <v>445</v>
      </c>
      <c r="I156" s="42"/>
      <c r="J156" s="22"/>
      <c r="K156" s="22" t="s">
        <v>450</v>
      </c>
      <c r="L156" s="25"/>
      <c r="M156" s="43"/>
      <c r="N156" s="50">
        <v>1</v>
      </c>
      <c r="O156" s="22"/>
      <c r="P156" s="81">
        <v>78876.13</v>
      </c>
      <c r="Q156" s="28">
        <f t="shared" si="15"/>
        <v>78876.13</v>
      </c>
      <c r="R156" s="28"/>
      <c r="S156" s="28">
        <v>15520</v>
      </c>
      <c r="T156" s="28"/>
      <c r="U156" s="133">
        <f t="shared" si="14"/>
        <v>63356.130000000005</v>
      </c>
      <c r="V156" s="22" t="s">
        <v>447</v>
      </c>
      <c r="W156" s="136" t="s">
        <v>448</v>
      </c>
      <c r="X156" s="22"/>
      <c r="Y156" s="22"/>
      <c r="Z156" s="29">
        <v>43201</v>
      </c>
      <c r="AA156" s="29"/>
      <c r="AB156" s="29">
        <v>43385</v>
      </c>
      <c r="AC156" s="29"/>
      <c r="AD156" s="29" t="s">
        <v>451</v>
      </c>
      <c r="AE156" s="29"/>
      <c r="AF156" s="22"/>
      <c r="AG156" s="213" t="s">
        <v>98</v>
      </c>
      <c r="AH156" s="516">
        <v>0</v>
      </c>
      <c r="AI156" s="144"/>
      <c r="AJ156" s="143"/>
      <c r="AK156" s="143"/>
      <c r="AL156" s="143"/>
      <c r="AM156" s="143"/>
      <c r="AN156" s="143"/>
      <c r="AO156" s="143"/>
      <c r="AP156" s="143"/>
      <c r="AQ156" s="143"/>
      <c r="AR156" s="143"/>
    </row>
    <row r="157" spans="1:44" ht="37.5" customHeight="1" x14ac:dyDescent="0.25">
      <c r="A157" s="22"/>
      <c r="B157" s="353">
        <v>2</v>
      </c>
      <c r="C157" s="80">
        <v>4</v>
      </c>
      <c r="D157" s="382" t="s">
        <v>86</v>
      </c>
      <c r="E157" s="65"/>
      <c r="F157" s="22"/>
      <c r="G157" s="42" t="s">
        <v>452</v>
      </c>
      <c r="H157" s="42" t="s">
        <v>158</v>
      </c>
      <c r="I157" s="42"/>
      <c r="J157" s="86"/>
      <c r="K157" s="22" t="s">
        <v>453</v>
      </c>
      <c r="L157" s="85"/>
      <c r="M157" s="25"/>
      <c r="N157" s="50">
        <v>1</v>
      </c>
      <c r="O157" s="22"/>
      <c r="P157" s="81">
        <v>252</v>
      </c>
      <c r="Q157" s="28">
        <f t="shared" si="15"/>
        <v>252</v>
      </c>
      <c r="R157" s="44"/>
      <c r="S157" s="44">
        <v>252</v>
      </c>
      <c r="T157" s="44"/>
      <c r="U157" s="133">
        <f t="shared" si="14"/>
        <v>0</v>
      </c>
      <c r="V157" s="22" t="s">
        <v>454</v>
      </c>
      <c r="W157" s="31" t="s">
        <v>455</v>
      </c>
      <c r="X157" s="22"/>
      <c r="Y157" s="22"/>
      <c r="Z157" s="30">
        <v>43139</v>
      </c>
      <c r="AA157" s="29"/>
      <c r="AB157" s="30">
        <v>43139</v>
      </c>
      <c r="AC157" s="29">
        <v>43139</v>
      </c>
      <c r="AD157" s="29"/>
      <c r="AE157" s="29" t="s">
        <v>456</v>
      </c>
      <c r="AF157" s="22" t="s">
        <v>457</v>
      </c>
      <c r="AG157" s="213" t="s">
        <v>98</v>
      </c>
      <c r="AH157" s="516">
        <v>252</v>
      </c>
      <c r="AI157" s="144"/>
      <c r="AJ157" s="143"/>
      <c r="AK157" s="143"/>
      <c r="AL157" s="143"/>
      <c r="AM157" s="143"/>
      <c r="AN157" s="143"/>
      <c r="AO157" s="143"/>
      <c r="AP157" s="143"/>
      <c r="AQ157" s="143"/>
      <c r="AR157" s="143"/>
    </row>
    <row r="158" spans="1:44" ht="25.5" customHeight="1" x14ac:dyDescent="0.25">
      <c r="A158" s="22"/>
      <c r="B158" s="351">
        <v>2</v>
      </c>
      <c r="C158" s="80">
        <v>4</v>
      </c>
      <c r="D158" s="382" t="s">
        <v>86</v>
      </c>
      <c r="E158" s="65"/>
      <c r="F158" s="22"/>
      <c r="G158" s="42" t="s">
        <v>458</v>
      </c>
      <c r="H158" s="42" t="s">
        <v>158</v>
      </c>
      <c r="I158" s="42"/>
      <c r="J158" s="86"/>
      <c r="K158" s="22" t="s">
        <v>459</v>
      </c>
      <c r="L158" s="85"/>
      <c r="M158" s="25"/>
      <c r="N158" s="50">
        <v>2</v>
      </c>
      <c r="O158" s="22"/>
      <c r="P158" s="81">
        <v>995</v>
      </c>
      <c r="Q158" s="28">
        <f t="shared" si="15"/>
        <v>1990</v>
      </c>
      <c r="R158" s="44"/>
      <c r="S158" s="44">
        <v>1920</v>
      </c>
      <c r="T158" s="44"/>
      <c r="U158" s="133">
        <f t="shared" si="14"/>
        <v>70</v>
      </c>
      <c r="V158" s="22" t="s">
        <v>454</v>
      </c>
      <c r="W158" s="31" t="s">
        <v>455</v>
      </c>
      <c r="X158" s="22"/>
      <c r="Y158" s="22"/>
      <c r="Z158" s="30">
        <v>43139</v>
      </c>
      <c r="AA158" s="29"/>
      <c r="AB158" s="30">
        <v>43139</v>
      </c>
      <c r="AC158" s="29">
        <v>43139</v>
      </c>
      <c r="AD158" s="29"/>
      <c r="AE158" s="29" t="s">
        <v>456</v>
      </c>
      <c r="AF158" s="22" t="s">
        <v>460</v>
      </c>
      <c r="AG158" s="213" t="s">
        <v>98</v>
      </c>
      <c r="AH158" s="516">
        <v>2400</v>
      </c>
      <c r="AI158" s="144"/>
      <c r="AJ158" s="143"/>
      <c r="AK158" s="143"/>
      <c r="AL158" s="143"/>
      <c r="AM158" s="143"/>
      <c r="AN158" s="143"/>
      <c r="AO158" s="143"/>
      <c r="AP158" s="143"/>
      <c r="AQ158" s="143"/>
      <c r="AR158" s="143"/>
    </row>
    <row r="159" spans="1:44" ht="25.5" customHeight="1" x14ac:dyDescent="0.25">
      <c r="A159" s="22"/>
      <c r="B159" s="352">
        <v>2</v>
      </c>
      <c r="C159" s="80">
        <v>4</v>
      </c>
      <c r="D159" s="382" t="s">
        <v>86</v>
      </c>
      <c r="E159" s="65"/>
      <c r="F159" s="22"/>
      <c r="G159" s="42" t="s">
        <v>461</v>
      </c>
      <c r="H159" s="42" t="s">
        <v>158</v>
      </c>
      <c r="I159" s="42"/>
      <c r="J159" s="86"/>
      <c r="K159" s="22" t="s">
        <v>459</v>
      </c>
      <c r="L159" s="85"/>
      <c r="M159" s="25"/>
      <c r="N159" s="50">
        <v>2</v>
      </c>
      <c r="O159" s="22"/>
      <c r="P159" s="81">
        <v>995</v>
      </c>
      <c r="Q159" s="28">
        <f t="shared" si="15"/>
        <v>1990</v>
      </c>
      <c r="R159" s="44"/>
      <c r="S159" s="44">
        <v>480</v>
      </c>
      <c r="T159" s="44"/>
      <c r="U159" s="133">
        <f t="shared" si="14"/>
        <v>1510</v>
      </c>
      <c r="V159" s="22" t="s">
        <v>454</v>
      </c>
      <c r="W159" s="31" t="s">
        <v>455</v>
      </c>
      <c r="X159" s="22"/>
      <c r="Y159" s="22"/>
      <c r="Z159" s="30">
        <v>43139</v>
      </c>
      <c r="AA159" s="29"/>
      <c r="AB159" s="30">
        <v>43139</v>
      </c>
      <c r="AC159" s="29">
        <v>43139</v>
      </c>
      <c r="AD159" s="29"/>
      <c r="AE159" s="29" t="s">
        <v>456</v>
      </c>
      <c r="AF159" s="22" t="s">
        <v>460</v>
      </c>
      <c r="AG159" s="213" t="s">
        <v>98</v>
      </c>
      <c r="AH159" s="516">
        <v>0</v>
      </c>
      <c r="AI159" s="144"/>
      <c r="AJ159" s="143"/>
      <c r="AK159" s="143"/>
      <c r="AL159" s="143"/>
      <c r="AM159" s="143"/>
      <c r="AN159" s="143"/>
      <c r="AO159" s="143"/>
      <c r="AP159" s="143"/>
      <c r="AQ159" s="143"/>
      <c r="AR159" s="143"/>
    </row>
    <row r="160" spans="1:44" ht="25.5" customHeight="1" x14ac:dyDescent="0.25">
      <c r="A160" s="22"/>
      <c r="B160" s="352">
        <v>2</v>
      </c>
      <c r="C160" s="80">
        <v>4</v>
      </c>
      <c r="D160" s="382" t="s">
        <v>86</v>
      </c>
      <c r="E160" s="65"/>
      <c r="F160" s="22"/>
      <c r="G160" s="42" t="s">
        <v>462</v>
      </c>
      <c r="H160" s="42" t="s">
        <v>164</v>
      </c>
      <c r="I160" s="42"/>
      <c r="J160" s="86"/>
      <c r="K160" s="22" t="s">
        <v>371</v>
      </c>
      <c r="L160" s="85"/>
      <c r="M160" s="25"/>
      <c r="N160" s="50">
        <v>4</v>
      </c>
      <c r="O160" s="22"/>
      <c r="P160" s="81">
        <v>994.5</v>
      </c>
      <c r="Q160" s="28">
        <f t="shared" si="15"/>
        <v>3978</v>
      </c>
      <c r="R160" s="44"/>
      <c r="S160" s="44">
        <v>498</v>
      </c>
      <c r="T160" s="44"/>
      <c r="U160" s="134">
        <f t="shared" si="14"/>
        <v>3480</v>
      </c>
      <c r="V160" s="22" t="s">
        <v>463</v>
      </c>
      <c r="W160" s="31" t="s">
        <v>464</v>
      </c>
      <c r="X160" s="22"/>
      <c r="Y160" s="22"/>
      <c r="Z160" s="30">
        <v>43161</v>
      </c>
      <c r="AA160" s="29"/>
      <c r="AB160" s="30">
        <v>43166</v>
      </c>
      <c r="AC160" s="29">
        <v>43189</v>
      </c>
      <c r="AD160" s="29"/>
      <c r="AE160" s="29"/>
      <c r="AF160" s="22" t="s">
        <v>465</v>
      </c>
      <c r="AG160" s="213" t="s">
        <v>98</v>
      </c>
      <c r="AH160" s="516">
        <v>498</v>
      </c>
      <c r="AI160" s="144"/>
      <c r="AJ160" s="143"/>
      <c r="AK160" s="143"/>
      <c r="AL160" s="143"/>
      <c r="AM160" s="143"/>
      <c r="AN160" s="143"/>
      <c r="AO160" s="143"/>
      <c r="AP160" s="143"/>
      <c r="AQ160" s="143"/>
      <c r="AR160" s="143"/>
    </row>
    <row r="161" spans="1:44" ht="12.75" customHeight="1" x14ac:dyDescent="0.25">
      <c r="A161" s="22"/>
      <c r="B161" s="352">
        <v>2</v>
      </c>
      <c r="C161" s="80">
        <v>4</v>
      </c>
      <c r="D161" s="382" t="s">
        <v>86</v>
      </c>
      <c r="E161" s="65"/>
      <c r="F161" s="22"/>
      <c r="G161" s="42" t="s">
        <v>466</v>
      </c>
      <c r="H161" s="42" t="s">
        <v>88</v>
      </c>
      <c r="I161" s="42"/>
      <c r="J161" s="22"/>
      <c r="K161" s="22" t="s">
        <v>467</v>
      </c>
      <c r="L161" s="25"/>
      <c r="M161" s="25"/>
      <c r="N161" s="50">
        <v>2</v>
      </c>
      <c r="O161" s="22"/>
      <c r="P161" s="81">
        <v>493.08</v>
      </c>
      <c r="Q161" s="28">
        <f t="shared" si="15"/>
        <v>986.16</v>
      </c>
      <c r="R161" s="44"/>
      <c r="S161" s="44">
        <v>13433.34</v>
      </c>
      <c r="T161" s="44"/>
      <c r="U161" s="134">
        <f t="shared" si="14"/>
        <v>-12447.18</v>
      </c>
      <c r="V161" s="22" t="s">
        <v>468</v>
      </c>
      <c r="W161" s="31" t="s">
        <v>469</v>
      </c>
      <c r="X161" s="22"/>
      <c r="Y161" s="22"/>
      <c r="Z161" s="30">
        <v>43166</v>
      </c>
      <c r="AA161" s="29"/>
      <c r="AB161" s="30">
        <v>43189</v>
      </c>
      <c r="AC161" s="29">
        <v>43181</v>
      </c>
      <c r="AD161" s="29"/>
      <c r="AE161" s="29"/>
      <c r="AF161" s="22" t="s">
        <v>470</v>
      </c>
      <c r="AG161" s="213" t="s">
        <v>98</v>
      </c>
      <c r="AH161" s="516">
        <v>29795.57</v>
      </c>
      <c r="AI161" s="144"/>
      <c r="AJ161" s="143"/>
      <c r="AK161" s="143"/>
      <c r="AL161" s="143"/>
      <c r="AM161" s="143"/>
      <c r="AN161" s="143"/>
      <c r="AO161" s="143"/>
      <c r="AP161" s="143"/>
      <c r="AQ161" s="143"/>
      <c r="AR161" s="143"/>
    </row>
    <row r="162" spans="1:44" ht="17.100000000000001" customHeight="1" x14ac:dyDescent="0.25">
      <c r="A162" s="22"/>
      <c r="B162" s="352">
        <v>2</v>
      </c>
      <c r="C162" s="80">
        <v>4</v>
      </c>
      <c r="D162" s="382" t="s">
        <v>86</v>
      </c>
      <c r="E162" s="65"/>
      <c r="F162" s="22"/>
      <c r="G162" s="42" t="s">
        <v>471</v>
      </c>
      <c r="H162" s="42" t="s">
        <v>88</v>
      </c>
      <c r="I162" s="42"/>
      <c r="J162" s="22"/>
      <c r="K162" s="22" t="s">
        <v>114</v>
      </c>
      <c r="L162" s="25"/>
      <c r="M162" s="25"/>
      <c r="N162" s="50">
        <v>2</v>
      </c>
      <c r="O162" s="22"/>
      <c r="P162" s="81">
        <v>749.99</v>
      </c>
      <c r="Q162" s="28">
        <f t="shared" si="15"/>
        <v>1499.98</v>
      </c>
      <c r="R162" s="44"/>
      <c r="S162" s="44">
        <v>1502.68</v>
      </c>
      <c r="T162" s="44"/>
      <c r="U162" s="134">
        <f t="shared" si="14"/>
        <v>-2.7000000000000455</v>
      </c>
      <c r="V162" s="22" t="s">
        <v>468</v>
      </c>
      <c r="W162" s="31" t="s">
        <v>469</v>
      </c>
      <c r="X162" s="22"/>
      <c r="Y162" s="22"/>
      <c r="Z162" s="30">
        <v>43166</v>
      </c>
      <c r="AA162" s="29"/>
      <c r="AB162" s="30">
        <v>43189</v>
      </c>
      <c r="AC162" s="29">
        <v>43181</v>
      </c>
      <c r="AD162" s="29"/>
      <c r="AE162" s="29"/>
      <c r="AF162" s="22" t="s">
        <v>470</v>
      </c>
      <c r="AG162" s="213" t="s">
        <v>98</v>
      </c>
      <c r="AH162" s="516">
        <v>0</v>
      </c>
      <c r="AI162" s="144"/>
      <c r="AJ162" s="143"/>
      <c r="AK162" s="143"/>
      <c r="AL162" s="143"/>
      <c r="AM162" s="143"/>
      <c r="AN162" s="143"/>
      <c r="AO162" s="143"/>
      <c r="AP162" s="143"/>
      <c r="AQ162" s="143"/>
      <c r="AR162" s="143"/>
    </row>
    <row r="163" spans="1:44" ht="25.5" customHeight="1" x14ac:dyDescent="0.25">
      <c r="A163" s="22"/>
      <c r="B163" s="352">
        <v>2</v>
      </c>
      <c r="C163" s="80">
        <v>4</v>
      </c>
      <c r="D163" s="382" t="s">
        <v>86</v>
      </c>
      <c r="E163" s="65"/>
      <c r="F163" s="22"/>
      <c r="G163" s="42" t="s">
        <v>472</v>
      </c>
      <c r="H163" s="42" t="s">
        <v>88</v>
      </c>
      <c r="I163" s="42"/>
      <c r="J163" s="22"/>
      <c r="K163" s="22" t="s">
        <v>473</v>
      </c>
      <c r="L163" s="25"/>
      <c r="M163" s="25"/>
      <c r="N163" s="50">
        <v>2</v>
      </c>
      <c r="O163" s="22"/>
      <c r="P163" s="81">
        <v>5567.37</v>
      </c>
      <c r="Q163" s="28">
        <f t="shared" si="15"/>
        <v>11134.74</v>
      </c>
      <c r="R163" s="44"/>
      <c r="S163" s="44">
        <v>4018.56</v>
      </c>
      <c r="T163" s="44"/>
      <c r="U163" s="134">
        <f t="shared" si="14"/>
        <v>7116.18</v>
      </c>
      <c r="V163" s="22" t="s">
        <v>468</v>
      </c>
      <c r="W163" s="31" t="s">
        <v>469</v>
      </c>
      <c r="X163" s="22"/>
      <c r="Y163" s="22"/>
      <c r="Z163" s="30">
        <v>43166</v>
      </c>
      <c r="AA163" s="29"/>
      <c r="AB163" s="30">
        <v>43189</v>
      </c>
      <c r="AC163" s="29">
        <v>43181</v>
      </c>
      <c r="AD163" s="29"/>
      <c r="AE163" s="29"/>
      <c r="AF163" s="22" t="s">
        <v>470</v>
      </c>
      <c r="AG163" s="213" t="s">
        <v>98</v>
      </c>
      <c r="AH163" s="516">
        <v>0</v>
      </c>
      <c r="AI163" s="144"/>
      <c r="AJ163" s="143"/>
      <c r="AK163" s="143"/>
      <c r="AL163" s="143"/>
      <c r="AM163" s="143"/>
      <c r="AN163" s="143"/>
      <c r="AO163" s="143"/>
      <c r="AP163" s="143"/>
      <c r="AQ163" s="143"/>
      <c r="AR163" s="143"/>
    </row>
    <row r="164" spans="1:44" ht="25.5" customHeight="1" x14ac:dyDescent="0.25">
      <c r="A164" s="22"/>
      <c r="B164" s="352">
        <v>2</v>
      </c>
      <c r="C164" s="80">
        <v>4</v>
      </c>
      <c r="D164" s="382" t="s">
        <v>86</v>
      </c>
      <c r="E164" s="65"/>
      <c r="F164" s="22"/>
      <c r="G164" s="42" t="s">
        <v>474</v>
      </c>
      <c r="H164" s="42" t="s">
        <v>88</v>
      </c>
      <c r="I164" s="42"/>
      <c r="J164" s="22"/>
      <c r="K164" s="22" t="s">
        <v>473</v>
      </c>
      <c r="L164" s="25"/>
      <c r="M164" s="25"/>
      <c r="N164" s="50">
        <v>2</v>
      </c>
      <c r="O164" s="22"/>
      <c r="P164" s="81">
        <v>2187.87</v>
      </c>
      <c r="Q164" s="28">
        <f t="shared" si="15"/>
        <v>4375.74</v>
      </c>
      <c r="R164" s="44"/>
      <c r="S164" s="44">
        <v>3424.46</v>
      </c>
      <c r="T164" s="44"/>
      <c r="U164" s="134">
        <f t="shared" si="14"/>
        <v>951.27999999999975</v>
      </c>
      <c r="V164" s="22" t="s">
        <v>468</v>
      </c>
      <c r="W164" s="31" t="s">
        <v>469</v>
      </c>
      <c r="X164" s="22"/>
      <c r="Y164" s="22"/>
      <c r="Z164" s="30">
        <v>43166</v>
      </c>
      <c r="AA164" s="29"/>
      <c r="AB164" s="30">
        <v>43189</v>
      </c>
      <c r="AC164" s="29">
        <v>43181</v>
      </c>
      <c r="AD164" s="29"/>
      <c r="AE164" s="29"/>
      <c r="AF164" s="22" t="s">
        <v>470</v>
      </c>
      <c r="AG164" s="213" t="s">
        <v>98</v>
      </c>
      <c r="AH164" s="516">
        <v>0</v>
      </c>
      <c r="AI164" s="144"/>
      <c r="AJ164" s="143"/>
      <c r="AK164" s="143"/>
      <c r="AL164" s="143"/>
      <c r="AM164" s="143"/>
      <c r="AN164" s="143"/>
      <c r="AO164" s="143"/>
      <c r="AP164" s="143"/>
      <c r="AQ164" s="143"/>
      <c r="AR164" s="143"/>
    </row>
    <row r="165" spans="1:44" ht="63.75" customHeight="1" x14ac:dyDescent="0.25">
      <c r="A165" s="22"/>
      <c r="B165" s="352">
        <v>2</v>
      </c>
      <c r="C165" s="80">
        <v>4</v>
      </c>
      <c r="D165" s="382" t="s">
        <v>86</v>
      </c>
      <c r="E165" s="65"/>
      <c r="F165" s="22"/>
      <c r="G165" s="42" t="s">
        <v>475</v>
      </c>
      <c r="H165" s="42" t="s">
        <v>155</v>
      </c>
      <c r="I165" s="42"/>
      <c r="J165" s="22"/>
      <c r="K165" s="22"/>
      <c r="L165" s="25"/>
      <c r="M165" s="25"/>
      <c r="N165" s="50">
        <v>1</v>
      </c>
      <c r="O165" s="22"/>
      <c r="P165" s="81">
        <v>199</v>
      </c>
      <c r="Q165" s="28">
        <f t="shared" si="15"/>
        <v>199</v>
      </c>
      <c r="R165" s="44"/>
      <c r="S165" s="44">
        <v>210.24</v>
      </c>
      <c r="T165" s="44"/>
      <c r="U165" s="133">
        <f t="shared" si="14"/>
        <v>-11.240000000000009</v>
      </c>
      <c r="V165" s="22" t="s">
        <v>476</v>
      </c>
      <c r="W165" s="31" t="s">
        <v>477</v>
      </c>
      <c r="X165" s="22"/>
      <c r="Y165" s="22"/>
      <c r="Z165" s="30">
        <v>43151</v>
      </c>
      <c r="AA165" s="29"/>
      <c r="AB165" s="30">
        <v>43152</v>
      </c>
      <c r="AC165" s="29">
        <v>43151</v>
      </c>
      <c r="AD165" s="29"/>
      <c r="AE165" s="29"/>
      <c r="AF165" s="22" t="s">
        <v>478</v>
      </c>
      <c r="AG165" s="213" t="s">
        <v>98</v>
      </c>
      <c r="AH165" s="516">
        <v>210.24</v>
      </c>
      <c r="AI165" s="144"/>
      <c r="AJ165" s="143"/>
      <c r="AK165" s="143"/>
      <c r="AL165" s="143"/>
      <c r="AM165" s="143"/>
      <c r="AN165" s="143"/>
      <c r="AO165" s="143"/>
      <c r="AP165" s="143"/>
      <c r="AQ165" s="143"/>
      <c r="AR165" s="143"/>
    </row>
    <row r="166" spans="1:44" ht="12.75" customHeight="1" x14ac:dyDescent="0.25">
      <c r="A166" s="22"/>
      <c r="B166" s="352">
        <v>2</v>
      </c>
      <c r="C166" s="80">
        <v>4</v>
      </c>
      <c r="D166" s="382" t="s">
        <v>86</v>
      </c>
      <c r="E166" s="65"/>
      <c r="F166" s="22"/>
      <c r="G166" s="42" t="s">
        <v>479</v>
      </c>
      <c r="H166" s="42" t="s">
        <v>180</v>
      </c>
      <c r="I166" s="42"/>
      <c r="J166" s="86"/>
      <c r="K166" s="22" t="s">
        <v>480</v>
      </c>
      <c r="L166" s="85"/>
      <c r="M166" s="25"/>
      <c r="N166" s="50">
        <v>9</v>
      </c>
      <c r="O166" s="22"/>
      <c r="P166" s="81">
        <v>885.99</v>
      </c>
      <c r="Q166" s="28">
        <f t="shared" si="15"/>
        <v>7973.91</v>
      </c>
      <c r="R166" s="44"/>
      <c r="S166" s="44">
        <v>7038</v>
      </c>
      <c r="T166" s="671"/>
      <c r="U166" s="135">
        <f t="shared" si="14"/>
        <v>935.90999999999985</v>
      </c>
      <c r="V166" s="22" t="s">
        <v>481</v>
      </c>
      <c r="W166" s="31" t="s">
        <v>482</v>
      </c>
      <c r="X166" s="22"/>
      <c r="Y166" s="22"/>
      <c r="Z166" s="30">
        <v>43143</v>
      </c>
      <c r="AA166" s="29"/>
      <c r="AB166" s="30">
        <v>43147</v>
      </c>
      <c r="AC166" s="29">
        <v>43143</v>
      </c>
      <c r="AD166" s="29"/>
      <c r="AE166" s="29"/>
      <c r="AF166" s="22"/>
      <c r="AG166" s="213" t="s">
        <v>98</v>
      </c>
      <c r="AH166" s="516">
        <v>7038</v>
      </c>
      <c r="AI166" s="144"/>
      <c r="AJ166" s="143"/>
      <c r="AK166" s="143"/>
      <c r="AL166" s="143"/>
      <c r="AM166" s="143"/>
      <c r="AN166" s="143"/>
      <c r="AO166" s="143"/>
      <c r="AP166" s="143"/>
      <c r="AQ166" s="143"/>
      <c r="AR166" s="143"/>
    </row>
    <row r="167" spans="1:44" ht="38.1" customHeight="1" x14ac:dyDescent="0.25">
      <c r="A167" s="22"/>
      <c r="B167" s="352">
        <v>2</v>
      </c>
      <c r="C167" s="80">
        <v>4</v>
      </c>
      <c r="D167" s="382" t="s">
        <v>86</v>
      </c>
      <c r="E167" s="65"/>
      <c r="F167" s="22"/>
      <c r="G167" s="42" t="s">
        <v>483</v>
      </c>
      <c r="H167" s="42" t="s">
        <v>356</v>
      </c>
      <c r="I167" s="42"/>
      <c r="J167" s="22"/>
      <c r="K167" s="22" t="s">
        <v>123</v>
      </c>
      <c r="L167" s="25" t="s">
        <v>124</v>
      </c>
      <c r="M167" s="25"/>
      <c r="N167" s="50">
        <v>2</v>
      </c>
      <c r="O167" s="22"/>
      <c r="P167" s="81">
        <v>4326</v>
      </c>
      <c r="Q167" s="28">
        <f t="shared" si="15"/>
        <v>8652</v>
      </c>
      <c r="R167" s="44"/>
      <c r="S167" s="44">
        <v>7578</v>
      </c>
      <c r="T167" s="44"/>
      <c r="U167" s="134">
        <f t="shared" si="14"/>
        <v>1074</v>
      </c>
      <c r="V167" s="22" t="s">
        <v>484</v>
      </c>
      <c r="W167" s="31" t="s">
        <v>485</v>
      </c>
      <c r="X167" s="22"/>
      <c r="Y167" s="22"/>
      <c r="Z167" s="30">
        <v>43173</v>
      </c>
      <c r="AA167" s="29"/>
      <c r="AB167" s="30">
        <v>43189</v>
      </c>
      <c r="AC167" s="29">
        <v>43193</v>
      </c>
      <c r="AD167" s="29"/>
      <c r="AE167" s="29"/>
      <c r="AF167" s="22"/>
      <c r="AG167" s="213" t="s">
        <v>98</v>
      </c>
      <c r="AH167" s="516">
        <v>3789</v>
      </c>
      <c r="AI167" s="144"/>
      <c r="AJ167" s="143"/>
      <c r="AK167" s="143"/>
      <c r="AL167" s="143"/>
      <c r="AM167" s="143"/>
      <c r="AN167" s="143"/>
      <c r="AO167" s="143"/>
      <c r="AP167" s="143"/>
      <c r="AQ167" s="143"/>
      <c r="AR167" s="143"/>
    </row>
    <row r="168" spans="1:44" ht="38.25" customHeight="1" x14ac:dyDescent="0.25">
      <c r="A168" s="22"/>
      <c r="B168" s="352">
        <v>2</v>
      </c>
      <c r="C168" s="80">
        <v>4</v>
      </c>
      <c r="D168" s="382" t="s">
        <v>86</v>
      </c>
      <c r="E168" s="65"/>
      <c r="F168" s="22"/>
      <c r="G168" s="42" t="s">
        <v>486</v>
      </c>
      <c r="H168" s="42" t="s">
        <v>151</v>
      </c>
      <c r="I168" s="42"/>
      <c r="J168" s="22"/>
      <c r="K168" s="22" t="s">
        <v>487</v>
      </c>
      <c r="L168" s="25"/>
      <c r="M168" s="25"/>
      <c r="N168" s="50">
        <v>14</v>
      </c>
      <c r="O168" s="22"/>
      <c r="P168" s="81">
        <v>560.98</v>
      </c>
      <c r="Q168" s="28">
        <f t="shared" si="15"/>
        <v>7853.72</v>
      </c>
      <c r="R168" s="44"/>
      <c r="S168" s="28">
        <v>3027.08</v>
      </c>
      <c r="T168" s="77"/>
      <c r="U168" s="161">
        <f t="shared" si="14"/>
        <v>4826.6400000000003</v>
      </c>
      <c r="V168" s="28" t="s">
        <v>488</v>
      </c>
      <c r="W168" s="22" t="s">
        <v>489</v>
      </c>
      <c r="X168" s="22"/>
      <c r="Y168" s="22"/>
      <c r="Z168" s="29">
        <v>43186</v>
      </c>
      <c r="AA168" s="29"/>
      <c r="AB168" s="29">
        <v>43189</v>
      </c>
      <c r="AC168" s="29">
        <v>43199</v>
      </c>
      <c r="AD168" s="29"/>
      <c r="AE168" s="29"/>
      <c r="AF168" s="86" t="s">
        <v>490</v>
      </c>
      <c r="AG168" s="213" t="s">
        <v>98</v>
      </c>
      <c r="AH168" s="516">
        <v>3027.08</v>
      </c>
      <c r="AI168" s="144"/>
      <c r="AJ168" s="143"/>
      <c r="AK168" s="143"/>
      <c r="AL168" s="143"/>
      <c r="AM168" s="143"/>
      <c r="AN168" s="143"/>
      <c r="AO168" s="143"/>
      <c r="AP168" s="143"/>
      <c r="AQ168" s="143"/>
      <c r="AR168" s="143"/>
    </row>
    <row r="169" spans="1:44" ht="38.1" customHeight="1" x14ac:dyDescent="0.25">
      <c r="A169" s="22"/>
      <c r="B169" s="352">
        <v>2</v>
      </c>
      <c r="C169" s="80">
        <v>4</v>
      </c>
      <c r="D169" s="382" t="s">
        <v>86</v>
      </c>
      <c r="E169" s="65"/>
      <c r="F169" s="22"/>
      <c r="G169" s="42" t="s">
        <v>491</v>
      </c>
      <c r="H169" s="42" t="s">
        <v>151</v>
      </c>
      <c r="I169" s="42"/>
      <c r="J169" s="22"/>
      <c r="K169" s="22" t="s">
        <v>492</v>
      </c>
      <c r="L169" s="25"/>
      <c r="M169" s="25"/>
      <c r="N169" s="50">
        <v>8</v>
      </c>
      <c r="O169" s="22"/>
      <c r="P169" s="81">
        <v>244.54</v>
      </c>
      <c r="Q169" s="28">
        <f t="shared" si="15"/>
        <v>1956.32</v>
      </c>
      <c r="R169" s="44"/>
      <c r="S169" s="28">
        <v>1956.32</v>
      </c>
      <c r="T169" s="77"/>
      <c r="U169" s="161">
        <f t="shared" si="14"/>
        <v>0</v>
      </c>
      <c r="V169" s="28" t="s">
        <v>488</v>
      </c>
      <c r="W169" s="22" t="s">
        <v>489</v>
      </c>
      <c r="X169" s="22"/>
      <c r="Y169" s="22"/>
      <c r="Z169" s="29">
        <v>43186</v>
      </c>
      <c r="AA169" s="29"/>
      <c r="AB169" s="29">
        <v>43189</v>
      </c>
      <c r="AC169" s="29">
        <v>43199</v>
      </c>
      <c r="AD169" s="29"/>
      <c r="AE169" s="29"/>
      <c r="AF169" s="86" t="s">
        <v>490</v>
      </c>
      <c r="AG169" s="213" t="s">
        <v>98</v>
      </c>
      <c r="AH169" s="516">
        <v>1956.32</v>
      </c>
      <c r="AI169" s="144"/>
      <c r="AJ169" s="143"/>
      <c r="AK169" s="143"/>
      <c r="AL169" s="143"/>
      <c r="AM169" s="143"/>
      <c r="AN169" s="143"/>
      <c r="AO169" s="143"/>
      <c r="AP169" s="143"/>
      <c r="AQ169" s="143"/>
      <c r="AR169" s="143"/>
    </row>
    <row r="170" spans="1:44" ht="12.75" customHeight="1" x14ac:dyDescent="0.25">
      <c r="A170" s="22"/>
      <c r="B170" s="352">
        <v>2</v>
      </c>
      <c r="C170" s="80">
        <v>4</v>
      </c>
      <c r="D170" s="382" t="s">
        <v>86</v>
      </c>
      <c r="E170" s="65"/>
      <c r="F170" s="22"/>
      <c r="G170" s="42" t="s">
        <v>493</v>
      </c>
      <c r="H170" s="42" t="s">
        <v>88</v>
      </c>
      <c r="I170" s="42"/>
      <c r="J170" s="22"/>
      <c r="K170" s="22" t="s">
        <v>494</v>
      </c>
      <c r="L170" s="25"/>
      <c r="M170" s="25"/>
      <c r="N170" s="50">
        <v>4</v>
      </c>
      <c r="O170" s="22"/>
      <c r="P170" s="81">
        <v>3400</v>
      </c>
      <c r="Q170" s="28">
        <f t="shared" si="15"/>
        <v>13600</v>
      </c>
      <c r="R170" s="44"/>
      <c r="S170" s="47">
        <v>12522.6</v>
      </c>
      <c r="T170" s="672"/>
      <c r="U170" s="135">
        <f t="shared" si="14"/>
        <v>1077.3999999999996</v>
      </c>
      <c r="V170" s="44" t="s">
        <v>495</v>
      </c>
      <c r="W170" s="31" t="s">
        <v>469</v>
      </c>
      <c r="X170" s="22"/>
      <c r="Y170" s="22"/>
      <c r="Z170" s="30">
        <v>43166</v>
      </c>
      <c r="AA170" s="29"/>
      <c r="AB170" s="30">
        <v>43189</v>
      </c>
      <c r="AC170" s="29">
        <v>43199</v>
      </c>
      <c r="AD170" s="29"/>
      <c r="AE170" s="29"/>
      <c r="AF170" s="22" t="s">
        <v>496</v>
      </c>
      <c r="AG170" s="213" t="s">
        <v>98</v>
      </c>
      <c r="AH170" s="516">
        <v>29795.57</v>
      </c>
      <c r="AI170" s="144"/>
      <c r="AJ170" s="143"/>
      <c r="AK170" s="143"/>
      <c r="AL170" s="143"/>
      <c r="AM170" s="143"/>
      <c r="AN170" s="143"/>
      <c r="AO170" s="143"/>
      <c r="AP170" s="143"/>
      <c r="AQ170" s="143"/>
      <c r="AR170" s="143"/>
    </row>
    <row r="171" spans="1:44" ht="12.75" customHeight="1" x14ac:dyDescent="0.25">
      <c r="A171" s="22"/>
      <c r="B171" s="352">
        <v>2</v>
      </c>
      <c r="C171" s="80">
        <v>4</v>
      </c>
      <c r="D171" s="382" t="s">
        <v>86</v>
      </c>
      <c r="E171" s="65"/>
      <c r="F171" s="22"/>
      <c r="G171" s="42" t="s">
        <v>497</v>
      </c>
      <c r="H171" s="42" t="s">
        <v>88</v>
      </c>
      <c r="I171" s="42"/>
      <c r="J171" s="22"/>
      <c r="K171" s="22" t="s">
        <v>498</v>
      </c>
      <c r="L171" s="25"/>
      <c r="M171" s="25"/>
      <c r="N171" s="50">
        <v>1</v>
      </c>
      <c r="O171" s="22"/>
      <c r="P171" s="81">
        <v>5000</v>
      </c>
      <c r="Q171" s="28">
        <f t="shared" si="15"/>
        <v>5000</v>
      </c>
      <c r="R171" s="44"/>
      <c r="S171" s="47">
        <v>823.79</v>
      </c>
      <c r="T171" s="672"/>
      <c r="U171" s="135">
        <f t="shared" si="14"/>
        <v>4176.21</v>
      </c>
      <c r="V171" s="44" t="s">
        <v>495</v>
      </c>
      <c r="W171" s="31" t="s">
        <v>469</v>
      </c>
      <c r="X171" s="22"/>
      <c r="Y171" s="22"/>
      <c r="Z171" s="30">
        <v>43166</v>
      </c>
      <c r="AA171" s="29"/>
      <c r="AB171" s="30">
        <v>43189</v>
      </c>
      <c r="AC171" s="29">
        <v>43181</v>
      </c>
      <c r="AD171" s="29"/>
      <c r="AE171" s="29"/>
      <c r="AF171" s="22" t="s">
        <v>496</v>
      </c>
      <c r="AG171" s="213" t="s">
        <v>98</v>
      </c>
      <c r="AH171" s="516">
        <v>0</v>
      </c>
      <c r="AI171" s="144"/>
      <c r="AJ171" s="143"/>
      <c r="AK171" s="143"/>
      <c r="AL171" s="143"/>
      <c r="AM171" s="143"/>
      <c r="AN171" s="143"/>
      <c r="AO171" s="143"/>
      <c r="AP171" s="143"/>
      <c r="AQ171" s="143"/>
      <c r="AR171" s="143"/>
    </row>
    <row r="172" spans="1:44" ht="12.75" customHeight="1" x14ac:dyDescent="0.25">
      <c r="A172" s="22"/>
      <c r="B172" s="352">
        <v>2</v>
      </c>
      <c r="C172" s="80">
        <v>4</v>
      </c>
      <c r="D172" s="382" t="s">
        <v>86</v>
      </c>
      <c r="E172" s="65"/>
      <c r="F172" s="22"/>
      <c r="G172" s="42" t="s">
        <v>499</v>
      </c>
      <c r="H172" s="42" t="s">
        <v>88</v>
      </c>
      <c r="I172" s="42"/>
      <c r="J172" s="22"/>
      <c r="K172" s="22" t="s">
        <v>500</v>
      </c>
      <c r="L172" s="25"/>
      <c r="M172" s="25"/>
      <c r="N172" s="50">
        <v>1</v>
      </c>
      <c r="O172" s="22"/>
      <c r="P172" s="81">
        <v>15609.09</v>
      </c>
      <c r="Q172" s="28">
        <f t="shared" si="15"/>
        <v>15609.09</v>
      </c>
      <c r="R172" s="44"/>
      <c r="S172" s="47">
        <v>5921.98</v>
      </c>
      <c r="T172" s="672"/>
      <c r="U172" s="135">
        <f t="shared" si="14"/>
        <v>9687.11</v>
      </c>
      <c r="V172" s="44" t="s">
        <v>495</v>
      </c>
      <c r="W172" s="31" t="s">
        <v>469</v>
      </c>
      <c r="X172" s="22"/>
      <c r="Y172" s="22"/>
      <c r="Z172" s="30">
        <v>43166</v>
      </c>
      <c r="AA172" s="29"/>
      <c r="AB172" s="30">
        <v>43189</v>
      </c>
      <c r="AC172" s="29">
        <v>43181</v>
      </c>
      <c r="AD172" s="29"/>
      <c r="AE172" s="29"/>
      <c r="AF172" s="22" t="s">
        <v>496</v>
      </c>
      <c r="AG172" s="213" t="s">
        <v>98</v>
      </c>
      <c r="AH172" s="516">
        <v>0</v>
      </c>
      <c r="AI172" s="144"/>
      <c r="AJ172" s="143"/>
      <c r="AK172" s="143"/>
      <c r="AL172" s="143"/>
      <c r="AM172" s="143"/>
      <c r="AN172" s="143"/>
      <c r="AO172" s="143"/>
      <c r="AP172" s="143"/>
      <c r="AQ172" s="143"/>
      <c r="AR172" s="143"/>
    </row>
    <row r="173" spans="1:44" ht="12" customHeight="1" x14ac:dyDescent="0.25">
      <c r="A173" s="22"/>
      <c r="B173" s="352">
        <v>2</v>
      </c>
      <c r="C173" s="80">
        <v>4</v>
      </c>
      <c r="D173" s="382" t="s">
        <v>86</v>
      </c>
      <c r="E173" s="65"/>
      <c r="F173" s="22"/>
      <c r="G173" s="42" t="s">
        <v>501</v>
      </c>
      <c r="H173" s="42" t="s">
        <v>88</v>
      </c>
      <c r="I173" s="42"/>
      <c r="J173" s="22"/>
      <c r="K173" s="22"/>
      <c r="L173" s="25"/>
      <c r="M173" s="25"/>
      <c r="N173" s="50">
        <v>1</v>
      </c>
      <c r="O173" s="22"/>
      <c r="P173" s="81">
        <v>2543.7600000000002</v>
      </c>
      <c r="Q173" s="28">
        <f t="shared" si="15"/>
        <v>2543.7600000000002</v>
      </c>
      <c r="R173" s="44"/>
      <c r="S173" s="47">
        <v>158.16999999999999</v>
      </c>
      <c r="T173" s="672"/>
      <c r="U173" s="135">
        <f t="shared" si="14"/>
        <v>2385.59</v>
      </c>
      <c r="V173" s="44" t="s">
        <v>495</v>
      </c>
      <c r="W173" s="31" t="s">
        <v>469</v>
      </c>
      <c r="X173" s="22"/>
      <c r="Y173" s="22"/>
      <c r="Z173" s="30">
        <v>43166</v>
      </c>
      <c r="AA173" s="29"/>
      <c r="AB173" s="30">
        <v>43189</v>
      </c>
      <c r="AC173" s="29">
        <v>43181</v>
      </c>
      <c r="AD173" s="29"/>
      <c r="AE173" s="29"/>
      <c r="AF173" s="22" t="s">
        <v>496</v>
      </c>
      <c r="AG173" s="213" t="s">
        <v>98</v>
      </c>
      <c r="AH173" s="516">
        <v>0</v>
      </c>
      <c r="AI173" s="144"/>
      <c r="AJ173" s="143"/>
      <c r="AK173" s="143"/>
      <c r="AL173" s="143"/>
      <c r="AM173" s="143"/>
      <c r="AN173" s="143"/>
      <c r="AO173" s="143"/>
      <c r="AP173" s="143"/>
      <c r="AQ173" s="143"/>
      <c r="AR173" s="143"/>
    </row>
    <row r="174" spans="1:44" ht="12.75" customHeight="1" x14ac:dyDescent="0.25">
      <c r="A174" s="22"/>
      <c r="B174" s="352">
        <v>2</v>
      </c>
      <c r="C174" s="80">
        <v>4</v>
      </c>
      <c r="D174" s="382" t="s">
        <v>86</v>
      </c>
      <c r="E174" s="65"/>
      <c r="F174" s="22"/>
      <c r="G174" s="42" t="s">
        <v>502</v>
      </c>
      <c r="H174" s="42" t="s">
        <v>88</v>
      </c>
      <c r="I174" s="42"/>
      <c r="J174" s="22"/>
      <c r="K174" s="22"/>
      <c r="L174" s="25"/>
      <c r="M174" s="25"/>
      <c r="N174" s="50">
        <v>1</v>
      </c>
      <c r="O174" s="22"/>
      <c r="P174" s="81">
        <v>3003.06</v>
      </c>
      <c r="Q174" s="28">
        <f t="shared" si="15"/>
        <v>3003.06</v>
      </c>
      <c r="R174" s="44"/>
      <c r="S174" s="47">
        <v>79.989999999999995</v>
      </c>
      <c r="T174" s="672"/>
      <c r="U174" s="135">
        <f t="shared" si="14"/>
        <v>2923.07</v>
      </c>
      <c r="V174" s="44" t="s">
        <v>495</v>
      </c>
      <c r="W174" s="31" t="s">
        <v>469</v>
      </c>
      <c r="X174" s="22"/>
      <c r="Y174" s="22"/>
      <c r="Z174" s="30">
        <v>43166</v>
      </c>
      <c r="AA174" s="29"/>
      <c r="AB174" s="30">
        <v>43189</v>
      </c>
      <c r="AC174" s="29">
        <v>43181</v>
      </c>
      <c r="AD174" s="29"/>
      <c r="AE174" s="29"/>
      <c r="AF174" s="22" t="s">
        <v>496</v>
      </c>
      <c r="AG174" s="213" t="s">
        <v>98</v>
      </c>
      <c r="AH174" s="516">
        <v>0</v>
      </c>
      <c r="AI174" s="144"/>
      <c r="AJ174" s="143"/>
      <c r="AK174" s="143"/>
      <c r="AL174" s="143"/>
      <c r="AM174" s="143"/>
      <c r="AN174" s="143"/>
      <c r="AO174" s="143"/>
      <c r="AP174" s="143"/>
      <c r="AQ174" s="143"/>
      <c r="AR174" s="143"/>
    </row>
    <row r="175" spans="1:44" ht="63.75" customHeight="1" x14ac:dyDescent="0.25">
      <c r="A175" s="22"/>
      <c r="B175" s="352">
        <v>2</v>
      </c>
      <c r="C175" s="80">
        <v>4</v>
      </c>
      <c r="D175" s="382" t="s">
        <v>86</v>
      </c>
      <c r="E175" s="65"/>
      <c r="F175" s="22"/>
      <c r="G175" s="42" t="s">
        <v>503</v>
      </c>
      <c r="H175" s="42"/>
      <c r="I175" s="42"/>
      <c r="J175" s="86"/>
      <c r="K175" s="22" t="s">
        <v>504</v>
      </c>
      <c r="L175" s="85"/>
      <c r="M175" s="25"/>
      <c r="N175" s="50">
        <v>3</v>
      </c>
      <c r="O175" s="22"/>
      <c r="P175" s="81">
        <v>7</v>
      </c>
      <c r="Q175" s="28">
        <f t="shared" si="15"/>
        <v>21</v>
      </c>
      <c r="R175" s="44"/>
      <c r="S175" s="47">
        <v>19.350000000000001</v>
      </c>
      <c r="T175" s="672"/>
      <c r="U175" s="135">
        <f t="shared" si="14"/>
        <v>1.6499999999999986</v>
      </c>
      <c r="V175" s="44" t="s">
        <v>505</v>
      </c>
      <c r="W175" s="31" t="s">
        <v>506</v>
      </c>
      <c r="X175" s="22"/>
      <c r="Y175" s="22"/>
      <c r="Z175" s="30">
        <v>43145</v>
      </c>
      <c r="AA175" s="29"/>
      <c r="AB175" s="30">
        <v>43150</v>
      </c>
      <c r="AC175" s="29">
        <v>43151</v>
      </c>
      <c r="AD175" s="29"/>
      <c r="AE175" s="29"/>
      <c r="AF175" s="22" t="s">
        <v>507</v>
      </c>
      <c r="AG175" s="213" t="s">
        <v>98</v>
      </c>
      <c r="AH175" s="516">
        <v>144.16999999999999</v>
      </c>
      <c r="AI175" s="144"/>
      <c r="AJ175" s="143"/>
      <c r="AK175" s="143"/>
      <c r="AL175" s="143"/>
      <c r="AM175" s="143"/>
      <c r="AN175" s="143"/>
      <c r="AO175" s="143"/>
      <c r="AP175" s="143"/>
      <c r="AQ175" s="143"/>
      <c r="AR175" s="143"/>
    </row>
    <row r="176" spans="1:44" ht="63.75" customHeight="1" x14ac:dyDescent="0.25">
      <c r="A176" s="22"/>
      <c r="B176" s="352">
        <v>2</v>
      </c>
      <c r="C176" s="80">
        <v>4</v>
      </c>
      <c r="D176" s="382" t="s">
        <v>86</v>
      </c>
      <c r="E176" s="65"/>
      <c r="F176" s="22"/>
      <c r="G176" s="42" t="s">
        <v>508</v>
      </c>
      <c r="H176" s="42"/>
      <c r="I176" s="42"/>
      <c r="J176" s="86"/>
      <c r="K176" s="22" t="s">
        <v>509</v>
      </c>
      <c r="L176" s="85"/>
      <c r="M176" s="25"/>
      <c r="N176" s="50">
        <v>6</v>
      </c>
      <c r="O176" s="22"/>
      <c r="P176" s="81">
        <v>17.95</v>
      </c>
      <c r="Q176" s="28">
        <f t="shared" si="15"/>
        <v>107.69999999999999</v>
      </c>
      <c r="R176" s="44"/>
      <c r="S176" s="47">
        <v>124.81</v>
      </c>
      <c r="T176" s="672"/>
      <c r="U176" s="135">
        <f t="shared" si="14"/>
        <v>-17.110000000000014</v>
      </c>
      <c r="V176" s="44" t="s">
        <v>505</v>
      </c>
      <c r="W176" s="31" t="s">
        <v>506</v>
      </c>
      <c r="X176" s="22"/>
      <c r="Y176" s="22"/>
      <c r="Z176" s="30">
        <v>43145</v>
      </c>
      <c r="AA176" s="29"/>
      <c r="AB176" s="30">
        <v>43150</v>
      </c>
      <c r="AC176" s="29">
        <v>43151</v>
      </c>
      <c r="AD176" s="29"/>
      <c r="AE176" s="29"/>
      <c r="AF176" s="22" t="s">
        <v>507</v>
      </c>
      <c r="AG176" s="213" t="s">
        <v>98</v>
      </c>
      <c r="AH176" s="516">
        <v>0</v>
      </c>
      <c r="AI176" s="144"/>
      <c r="AJ176" s="143"/>
      <c r="AK176" s="143"/>
      <c r="AL176" s="143"/>
      <c r="AM176" s="143"/>
      <c r="AN176" s="143"/>
      <c r="AO176" s="143"/>
      <c r="AP176" s="143"/>
      <c r="AQ176" s="143"/>
      <c r="AR176" s="143"/>
    </row>
    <row r="177" spans="1:44" ht="34.5" customHeight="1" x14ac:dyDescent="0.25">
      <c r="A177" s="22"/>
      <c r="B177" s="352">
        <v>2</v>
      </c>
      <c r="C177" s="80">
        <v>4</v>
      </c>
      <c r="D177" s="382" t="s">
        <v>86</v>
      </c>
      <c r="E177" s="65"/>
      <c r="F177" s="22"/>
      <c r="G177" s="42" t="s">
        <v>510</v>
      </c>
      <c r="H177" s="42"/>
      <c r="I177" s="42"/>
      <c r="J177" s="22"/>
      <c r="K177" s="22" t="s">
        <v>511</v>
      </c>
      <c r="L177" s="25"/>
      <c r="M177" s="25"/>
      <c r="N177" s="50">
        <v>6</v>
      </c>
      <c r="O177" s="22"/>
      <c r="P177" s="81">
        <v>9.9600000000000009</v>
      </c>
      <c r="Q177" s="28">
        <f t="shared" si="15"/>
        <v>59.760000000000005</v>
      </c>
      <c r="R177" s="44"/>
      <c r="S177" s="47">
        <v>40.76</v>
      </c>
      <c r="T177" s="672"/>
      <c r="U177" s="135">
        <f t="shared" si="14"/>
        <v>19.000000000000007</v>
      </c>
      <c r="V177" s="44" t="s">
        <v>512</v>
      </c>
      <c r="W177" s="31" t="s">
        <v>513</v>
      </c>
      <c r="X177" s="22"/>
      <c r="Y177" s="22"/>
      <c r="Z177" s="30">
        <v>43145</v>
      </c>
      <c r="AA177" s="29"/>
      <c r="AB177" s="30">
        <v>43147</v>
      </c>
      <c r="AC177" s="29">
        <v>43147</v>
      </c>
      <c r="AD177" s="29"/>
      <c r="AE177" s="29"/>
      <c r="AF177" s="22" t="s">
        <v>507</v>
      </c>
      <c r="AG177" s="213" t="s">
        <v>98</v>
      </c>
      <c r="AH177" s="516">
        <v>42.02</v>
      </c>
      <c r="AI177" s="144"/>
      <c r="AJ177" s="143"/>
      <c r="AK177" s="143"/>
      <c r="AL177" s="143"/>
      <c r="AM177" s="143"/>
      <c r="AN177" s="143"/>
      <c r="AO177" s="143"/>
      <c r="AP177" s="143"/>
      <c r="AQ177" s="143"/>
      <c r="AR177" s="143"/>
    </row>
    <row r="178" spans="1:44" ht="25.5" customHeight="1" x14ac:dyDescent="0.25">
      <c r="A178" s="22"/>
      <c r="B178" s="352">
        <v>2</v>
      </c>
      <c r="C178" s="80">
        <v>5</v>
      </c>
      <c r="D178" s="382" t="s">
        <v>86</v>
      </c>
      <c r="E178" s="65"/>
      <c r="F178" s="22"/>
      <c r="G178" s="42" t="s">
        <v>514</v>
      </c>
      <c r="H178" s="42" t="s">
        <v>515</v>
      </c>
      <c r="I178" s="42"/>
      <c r="J178" s="86"/>
      <c r="K178" s="22" t="s">
        <v>516</v>
      </c>
      <c r="L178" s="85"/>
      <c r="M178" s="25"/>
      <c r="N178" s="50">
        <v>2</v>
      </c>
      <c r="O178" s="22"/>
      <c r="P178" s="81">
        <v>83.135000000000005</v>
      </c>
      <c r="Q178" s="28">
        <f t="shared" si="15"/>
        <v>166.27</v>
      </c>
      <c r="R178" s="44"/>
      <c r="S178" s="44">
        <v>196.31</v>
      </c>
      <c r="T178" s="671"/>
      <c r="U178" s="135">
        <f t="shared" si="14"/>
        <v>-30.039999999999992</v>
      </c>
      <c r="V178" s="22" t="s">
        <v>517</v>
      </c>
      <c r="W178" s="31" t="s">
        <v>518</v>
      </c>
      <c r="X178" s="22"/>
      <c r="Y178" s="22"/>
      <c r="Z178" s="30">
        <v>43123</v>
      </c>
      <c r="AA178" s="29"/>
      <c r="AB178" s="30">
        <v>43126</v>
      </c>
      <c r="AC178" s="29">
        <v>43125</v>
      </c>
      <c r="AD178" s="29"/>
      <c r="AE178" s="29"/>
      <c r="AF178" s="86" t="s">
        <v>490</v>
      </c>
      <c r="AG178" s="213" t="s">
        <v>98</v>
      </c>
      <c r="AH178" s="516">
        <v>205.45</v>
      </c>
      <c r="AI178" s="144"/>
      <c r="AJ178" s="143"/>
      <c r="AK178" s="143"/>
      <c r="AL178" s="143"/>
      <c r="AM178" s="143"/>
      <c r="AN178" s="143"/>
      <c r="AO178" s="143"/>
      <c r="AP178" s="143"/>
      <c r="AQ178" s="143"/>
      <c r="AR178" s="143"/>
    </row>
    <row r="179" spans="1:44" ht="25.5" customHeight="1" x14ac:dyDescent="0.25">
      <c r="A179" s="22"/>
      <c r="B179" s="352">
        <v>2</v>
      </c>
      <c r="C179" s="80">
        <v>5</v>
      </c>
      <c r="D179" s="382" t="s">
        <v>86</v>
      </c>
      <c r="E179" s="65"/>
      <c r="F179" s="22"/>
      <c r="G179" s="42" t="s">
        <v>519</v>
      </c>
      <c r="H179" s="42" t="s">
        <v>180</v>
      </c>
      <c r="I179" s="42"/>
      <c r="J179" s="86"/>
      <c r="K179" s="22"/>
      <c r="L179" s="85"/>
      <c r="M179" s="25"/>
      <c r="N179" s="50">
        <v>1</v>
      </c>
      <c r="O179" s="22"/>
      <c r="P179" s="81">
        <v>61056.949999999953</v>
      </c>
      <c r="Q179" s="28">
        <f t="shared" si="15"/>
        <v>61056.949999999953</v>
      </c>
      <c r="R179" s="44"/>
      <c r="S179" s="44"/>
      <c r="T179" s="671"/>
      <c r="U179" s="135"/>
      <c r="V179" s="22"/>
      <c r="W179" s="31"/>
      <c r="X179" s="22"/>
      <c r="Y179" s="22"/>
      <c r="Z179" s="30"/>
      <c r="AA179" s="29"/>
      <c r="AB179" s="30"/>
      <c r="AC179" s="29"/>
      <c r="AD179" s="29"/>
      <c r="AE179" s="29"/>
      <c r="AF179" s="86"/>
      <c r="AG179" s="213"/>
      <c r="AH179" s="516"/>
      <c r="AI179" s="144"/>
      <c r="AJ179" s="143"/>
      <c r="AK179" s="143"/>
      <c r="AL179" s="143"/>
      <c r="AM179" s="143"/>
      <c r="AN179" s="143"/>
      <c r="AO179" s="143"/>
      <c r="AP179" s="143"/>
      <c r="AQ179" s="143"/>
      <c r="AR179" s="143"/>
    </row>
    <row r="180" spans="1:44" ht="25.5" customHeight="1" x14ac:dyDescent="0.25">
      <c r="A180" s="22"/>
      <c r="B180" s="352">
        <v>2</v>
      </c>
      <c r="C180" s="80">
        <v>5</v>
      </c>
      <c r="D180" s="382" t="s">
        <v>86</v>
      </c>
      <c r="E180" s="65"/>
      <c r="F180" s="22"/>
      <c r="G180" s="42" t="s">
        <v>520</v>
      </c>
      <c r="H180" s="42" t="s">
        <v>521</v>
      </c>
      <c r="I180" s="42"/>
      <c r="J180" s="86"/>
      <c r="K180" s="22"/>
      <c r="L180" s="85"/>
      <c r="M180" s="25"/>
      <c r="N180" s="50">
        <v>1</v>
      </c>
      <c r="O180" s="22"/>
      <c r="P180" s="81">
        <v>15200</v>
      </c>
      <c r="Q180" s="28">
        <f t="shared" si="15"/>
        <v>15200</v>
      </c>
      <c r="R180" s="44"/>
      <c r="S180" s="44"/>
      <c r="T180" s="671"/>
      <c r="U180" s="135"/>
      <c r="V180" s="22"/>
      <c r="W180" s="31"/>
      <c r="X180" s="22"/>
      <c r="Y180" s="22"/>
      <c r="Z180" s="30"/>
      <c r="AA180" s="29"/>
      <c r="AB180" s="30"/>
      <c r="AC180" s="29"/>
      <c r="AD180" s="29"/>
      <c r="AE180" s="29"/>
      <c r="AF180" s="86"/>
      <c r="AG180" s="213"/>
      <c r="AH180" s="516"/>
      <c r="AI180" s="144"/>
      <c r="AJ180" s="143"/>
      <c r="AK180" s="143"/>
      <c r="AL180" s="143"/>
      <c r="AM180" s="143"/>
      <c r="AN180" s="143"/>
      <c r="AO180" s="143"/>
      <c r="AP180" s="143"/>
      <c r="AQ180" s="143"/>
      <c r="AR180" s="143"/>
    </row>
    <row r="181" spans="1:44" ht="25.5" customHeight="1" x14ac:dyDescent="0.25">
      <c r="A181" s="22"/>
      <c r="B181" s="352">
        <v>2</v>
      </c>
      <c r="C181" s="80">
        <v>5</v>
      </c>
      <c r="D181" s="382" t="s">
        <v>86</v>
      </c>
      <c r="E181" s="65"/>
      <c r="F181" s="22"/>
      <c r="G181" s="42" t="s">
        <v>522</v>
      </c>
      <c r="H181" s="42" t="s">
        <v>523</v>
      </c>
      <c r="I181" s="42"/>
      <c r="J181" s="86"/>
      <c r="K181" s="22"/>
      <c r="L181" s="85"/>
      <c r="M181" s="25"/>
      <c r="N181" s="50">
        <v>1</v>
      </c>
      <c r="O181" s="22"/>
      <c r="P181" s="81">
        <v>204408.05</v>
      </c>
      <c r="Q181" s="28">
        <f t="shared" si="15"/>
        <v>204408.05</v>
      </c>
      <c r="R181" s="44"/>
      <c r="S181" s="44"/>
      <c r="T181" s="671"/>
      <c r="U181" s="135"/>
      <c r="V181" s="22"/>
      <c r="W181" s="31"/>
      <c r="X181" s="22"/>
      <c r="Y181" s="22"/>
      <c r="Z181" s="30"/>
      <c r="AA181" s="29"/>
      <c r="AB181" s="30"/>
      <c r="AC181" s="29"/>
      <c r="AD181" s="29"/>
      <c r="AE181" s="29"/>
      <c r="AF181" s="86"/>
      <c r="AG181" s="213"/>
      <c r="AH181" s="516"/>
      <c r="AI181" s="144"/>
      <c r="AJ181" s="143"/>
      <c r="AK181" s="143"/>
      <c r="AL181" s="143"/>
      <c r="AM181" s="143"/>
      <c r="AN181" s="143"/>
      <c r="AO181" s="143"/>
      <c r="AP181" s="143"/>
      <c r="AQ181" s="143"/>
      <c r="AR181" s="143"/>
    </row>
    <row r="182" spans="1:44" ht="12.75" customHeight="1" x14ac:dyDescent="0.25">
      <c r="A182" s="22"/>
      <c r="B182" s="352">
        <v>2</v>
      </c>
      <c r="C182" s="80">
        <v>5</v>
      </c>
      <c r="D182" s="382" t="s">
        <v>86</v>
      </c>
      <c r="E182" s="65"/>
      <c r="F182" s="22"/>
      <c r="G182" s="42" t="s">
        <v>524</v>
      </c>
      <c r="H182" s="42" t="s">
        <v>525</v>
      </c>
      <c r="I182" s="42"/>
      <c r="J182" s="86"/>
      <c r="K182" s="22" t="s">
        <v>526</v>
      </c>
      <c r="L182" s="85"/>
      <c r="M182" s="25"/>
      <c r="N182" s="50">
        <v>1</v>
      </c>
      <c r="O182" s="22"/>
      <c r="P182" s="81">
        <v>91.75</v>
      </c>
      <c r="Q182" s="28">
        <f t="shared" si="15"/>
        <v>91.75</v>
      </c>
      <c r="R182" s="44"/>
      <c r="S182" s="44">
        <v>80.45</v>
      </c>
      <c r="T182" s="44"/>
      <c r="U182" s="134">
        <f>Q182-S182</f>
        <v>11.299999999999997</v>
      </c>
      <c r="V182" s="22" t="s">
        <v>527</v>
      </c>
      <c r="W182" s="31" t="s">
        <v>528</v>
      </c>
      <c r="X182" s="22"/>
      <c r="Y182" s="22"/>
      <c r="Z182" s="30">
        <v>43172</v>
      </c>
      <c r="AA182" s="29"/>
      <c r="AB182" s="30">
        <v>43196</v>
      </c>
      <c r="AC182" s="29">
        <v>43180</v>
      </c>
      <c r="AD182" s="29"/>
      <c r="AE182" s="29"/>
      <c r="AF182" s="22" t="s">
        <v>529</v>
      </c>
      <c r="AG182" s="213" t="s">
        <v>98</v>
      </c>
      <c r="AH182" s="516">
        <v>3893.8</v>
      </c>
      <c r="AI182" s="144"/>
      <c r="AJ182" s="143"/>
      <c r="AK182" s="143"/>
      <c r="AL182" s="143"/>
      <c r="AM182" s="143"/>
      <c r="AN182" s="143"/>
      <c r="AO182" s="143"/>
      <c r="AP182" s="143"/>
      <c r="AQ182" s="143"/>
      <c r="AR182" s="143"/>
    </row>
    <row r="183" spans="1:44" ht="12.75" customHeight="1" x14ac:dyDescent="0.25">
      <c r="A183" s="22"/>
      <c r="B183" s="352">
        <v>2</v>
      </c>
      <c r="C183" s="80">
        <v>5</v>
      </c>
      <c r="D183" s="382" t="s">
        <v>86</v>
      </c>
      <c r="E183" s="65"/>
      <c r="F183" s="22"/>
      <c r="G183" s="447" t="s">
        <v>530</v>
      </c>
      <c r="H183" s="42" t="s">
        <v>525</v>
      </c>
      <c r="I183" s="42"/>
      <c r="J183" s="86"/>
      <c r="K183" s="22" t="s">
        <v>531</v>
      </c>
      <c r="L183" s="85"/>
      <c r="M183" s="25"/>
      <c r="N183" s="50">
        <v>8</v>
      </c>
      <c r="O183" s="22"/>
      <c r="P183" s="81">
        <v>27.78</v>
      </c>
      <c r="Q183" s="28">
        <f t="shared" si="15"/>
        <v>222.24</v>
      </c>
      <c r="R183" s="44"/>
      <c r="S183" s="44">
        <v>223.12</v>
      </c>
      <c r="T183" s="44"/>
      <c r="U183" s="134">
        <f>Q183-S183</f>
        <v>-0.87999999999999545</v>
      </c>
      <c r="V183" s="22" t="s">
        <v>527</v>
      </c>
      <c r="W183" s="31" t="s">
        <v>528</v>
      </c>
      <c r="X183" s="22"/>
      <c r="Y183" s="22"/>
      <c r="Z183" s="30">
        <v>43172</v>
      </c>
      <c r="AA183" s="29"/>
      <c r="AB183" s="30">
        <v>43196</v>
      </c>
      <c r="AC183" s="29">
        <v>43180</v>
      </c>
      <c r="AD183" s="29"/>
      <c r="AE183" s="29"/>
      <c r="AF183" s="22" t="s">
        <v>529</v>
      </c>
      <c r="AG183" s="213" t="s">
        <v>98</v>
      </c>
      <c r="AH183" s="516">
        <v>331.12</v>
      </c>
      <c r="AI183" s="144"/>
      <c r="AJ183" s="143"/>
      <c r="AK183" s="143"/>
      <c r="AL183" s="143"/>
      <c r="AM183" s="143"/>
      <c r="AN183" s="143"/>
      <c r="AO183" s="143"/>
      <c r="AP183" s="143"/>
      <c r="AQ183" s="143"/>
      <c r="AR183" s="143"/>
    </row>
    <row r="184" spans="1:44" ht="12.75" customHeight="1" x14ac:dyDescent="0.25">
      <c r="A184" s="22"/>
      <c r="B184" s="352">
        <v>2</v>
      </c>
      <c r="C184" s="80">
        <v>5</v>
      </c>
      <c r="D184" s="382" t="s">
        <v>86</v>
      </c>
      <c r="E184" s="65"/>
      <c r="F184" s="22"/>
      <c r="G184" s="42" t="s">
        <v>532</v>
      </c>
      <c r="H184" s="42" t="s">
        <v>533</v>
      </c>
      <c r="I184" s="42"/>
      <c r="J184" s="86"/>
      <c r="K184" s="22" t="s">
        <v>534</v>
      </c>
      <c r="L184" s="85"/>
      <c r="M184" s="25"/>
      <c r="N184" s="50">
        <v>24</v>
      </c>
      <c r="O184" s="22"/>
      <c r="P184" s="81">
        <v>6.25</v>
      </c>
      <c r="Q184" s="28">
        <f t="shared" si="15"/>
        <v>150</v>
      </c>
      <c r="R184" s="44"/>
      <c r="S184" s="44">
        <v>54.72</v>
      </c>
      <c r="T184" s="44"/>
      <c r="U184" s="134">
        <f>Q184-S184</f>
        <v>95.28</v>
      </c>
      <c r="V184" s="22" t="s">
        <v>527</v>
      </c>
      <c r="W184" s="31" t="s">
        <v>528</v>
      </c>
      <c r="X184" s="22"/>
      <c r="Y184" s="22"/>
      <c r="Z184" s="30">
        <v>43172</v>
      </c>
      <c r="AA184" s="29"/>
      <c r="AB184" s="30">
        <v>43196</v>
      </c>
      <c r="AC184" s="29">
        <v>43179</v>
      </c>
      <c r="AD184" s="29"/>
      <c r="AE184" s="29"/>
      <c r="AF184" s="22" t="s">
        <v>529</v>
      </c>
      <c r="AG184" s="213" t="s">
        <v>98</v>
      </c>
      <c r="AH184" s="516">
        <v>76.62</v>
      </c>
      <c r="AI184" s="144"/>
      <c r="AJ184" s="143"/>
      <c r="AK184" s="143"/>
      <c r="AL184" s="143"/>
      <c r="AM184" s="143"/>
      <c r="AN184" s="143"/>
      <c r="AO184" s="143"/>
      <c r="AP184" s="143"/>
      <c r="AQ184" s="143"/>
      <c r="AR184" s="143"/>
    </row>
    <row r="185" spans="1:44" ht="25.5" customHeight="1" x14ac:dyDescent="0.25">
      <c r="A185" s="22"/>
      <c r="B185" s="352">
        <v>2</v>
      </c>
      <c r="C185" s="80">
        <v>5</v>
      </c>
      <c r="D185" s="382" t="s">
        <v>86</v>
      </c>
      <c r="E185" s="65"/>
      <c r="F185" s="22"/>
      <c r="G185" s="42" t="s">
        <v>535</v>
      </c>
      <c r="H185" s="42" t="s">
        <v>536</v>
      </c>
      <c r="I185" s="42"/>
      <c r="J185" s="86"/>
      <c r="K185" s="22" t="s">
        <v>537</v>
      </c>
      <c r="L185" s="85"/>
      <c r="M185" s="25"/>
      <c r="N185" s="50">
        <v>8</v>
      </c>
      <c r="O185" s="22"/>
      <c r="P185" s="81">
        <v>604</v>
      </c>
      <c r="Q185" s="28">
        <f t="shared" si="15"/>
        <v>4832</v>
      </c>
      <c r="R185" s="45"/>
      <c r="S185" s="45">
        <v>3859.04</v>
      </c>
      <c r="T185" s="45"/>
      <c r="U185" s="134">
        <f>Q185-S185</f>
        <v>972.96</v>
      </c>
      <c r="V185" s="22" t="s">
        <v>527</v>
      </c>
      <c r="W185" s="31" t="s">
        <v>528</v>
      </c>
      <c r="X185" s="22"/>
      <c r="Y185" s="22"/>
      <c r="Z185" s="30">
        <v>43172</v>
      </c>
      <c r="AA185" s="29"/>
      <c r="AB185" s="30">
        <v>43196</v>
      </c>
      <c r="AC185" s="29">
        <v>43195</v>
      </c>
      <c r="AD185" s="29"/>
      <c r="AE185" s="29"/>
      <c r="AF185" s="22" t="s">
        <v>529</v>
      </c>
      <c r="AG185" s="213" t="s">
        <v>98</v>
      </c>
      <c r="AH185" s="516">
        <v>4301.54</v>
      </c>
      <c r="AI185" s="144"/>
      <c r="AJ185" s="143"/>
      <c r="AK185" s="143"/>
      <c r="AL185" s="143"/>
      <c r="AM185" s="143"/>
      <c r="AN185" s="143"/>
      <c r="AO185" s="143"/>
      <c r="AP185" s="143"/>
      <c r="AQ185" s="143"/>
      <c r="AR185" s="143"/>
    </row>
    <row r="186" spans="1:44" ht="38.25" customHeight="1" x14ac:dyDescent="0.25">
      <c r="A186" s="22"/>
      <c r="B186" s="352">
        <v>2</v>
      </c>
      <c r="C186" s="80">
        <v>5</v>
      </c>
      <c r="D186" s="382" t="s">
        <v>86</v>
      </c>
      <c r="E186" s="65"/>
      <c r="F186" s="22"/>
      <c r="G186" s="42" t="s">
        <v>438</v>
      </c>
      <c r="H186" s="42" t="s">
        <v>438</v>
      </c>
      <c r="I186" s="42"/>
      <c r="J186" s="22"/>
      <c r="K186" s="22" t="s">
        <v>438</v>
      </c>
      <c r="L186" s="25"/>
      <c r="M186" s="25"/>
      <c r="N186" s="50">
        <v>1</v>
      </c>
      <c r="O186" s="22"/>
      <c r="P186" s="81">
        <v>60</v>
      </c>
      <c r="Q186" s="28">
        <f t="shared" si="15"/>
        <v>60</v>
      </c>
      <c r="R186" s="45"/>
      <c r="S186" s="45">
        <v>60</v>
      </c>
      <c r="T186" s="45"/>
      <c r="U186" s="134">
        <f>Q186-S186</f>
        <v>0</v>
      </c>
      <c r="V186" s="22" t="s">
        <v>538</v>
      </c>
      <c r="W186" s="31" t="s">
        <v>539</v>
      </c>
      <c r="X186" s="22"/>
      <c r="Y186" s="22"/>
      <c r="Z186" s="30">
        <v>43122</v>
      </c>
      <c r="AA186" s="29"/>
      <c r="AB186" s="30">
        <v>43129</v>
      </c>
      <c r="AC186" s="29">
        <v>43129</v>
      </c>
      <c r="AD186" s="29"/>
      <c r="AE186" s="29"/>
      <c r="AF186" s="22" t="s">
        <v>540</v>
      </c>
      <c r="AG186" s="213" t="s">
        <v>98</v>
      </c>
      <c r="AH186" s="516">
        <v>549.95000000000005</v>
      </c>
      <c r="AI186" s="144"/>
      <c r="AJ186" s="143"/>
      <c r="AK186" s="143"/>
      <c r="AL186" s="143"/>
      <c r="AM186" s="143"/>
      <c r="AN186" s="143"/>
      <c r="AO186" s="143"/>
      <c r="AP186" s="143"/>
      <c r="AQ186" s="143"/>
      <c r="AR186" s="143"/>
    </row>
    <row r="187" spans="1:44" ht="12.75" customHeight="1" x14ac:dyDescent="0.25">
      <c r="A187" s="22"/>
      <c r="B187" s="352">
        <v>2</v>
      </c>
      <c r="C187" s="80">
        <v>5</v>
      </c>
      <c r="D187" s="382" t="s">
        <v>86</v>
      </c>
      <c r="E187" s="65"/>
      <c r="F187" s="22"/>
      <c r="G187" s="42" t="s">
        <v>541</v>
      </c>
      <c r="H187" s="42" t="s">
        <v>542</v>
      </c>
      <c r="I187" s="42"/>
      <c r="J187" s="86"/>
      <c r="K187" s="22" t="s">
        <v>543</v>
      </c>
      <c r="L187" s="85"/>
      <c r="M187" s="25"/>
      <c r="N187" s="50">
        <v>1</v>
      </c>
      <c r="O187" s="22"/>
      <c r="P187" s="81">
        <v>615.02</v>
      </c>
      <c r="Q187" s="28">
        <v>615.02</v>
      </c>
      <c r="R187" s="44"/>
      <c r="S187" s="28">
        <v>560.89</v>
      </c>
      <c r="T187" s="28"/>
      <c r="U187" s="134">
        <v>0</v>
      </c>
      <c r="V187" s="22" t="s">
        <v>538</v>
      </c>
      <c r="W187" s="31" t="s">
        <v>539</v>
      </c>
      <c r="X187" s="22"/>
      <c r="Y187" s="22"/>
      <c r="Z187" s="30">
        <v>43122</v>
      </c>
      <c r="AA187" s="29"/>
      <c r="AB187" s="30">
        <v>43129</v>
      </c>
      <c r="AC187" s="29">
        <v>43125</v>
      </c>
      <c r="AD187" s="29"/>
      <c r="AE187" s="29"/>
      <c r="AF187" s="22" t="s">
        <v>540</v>
      </c>
      <c r="AG187" s="213" t="s">
        <v>98</v>
      </c>
      <c r="AH187" s="516">
        <v>10.94</v>
      </c>
      <c r="AI187" s="144"/>
      <c r="AJ187" s="143"/>
      <c r="AK187" s="143"/>
      <c r="AL187" s="143"/>
      <c r="AM187" s="143"/>
      <c r="AN187" s="143"/>
      <c r="AO187" s="143"/>
      <c r="AP187" s="143"/>
      <c r="AQ187" s="143"/>
      <c r="AR187" s="143"/>
    </row>
    <row r="188" spans="1:44" ht="12.75" customHeight="1" x14ac:dyDescent="0.25">
      <c r="A188" s="22"/>
      <c r="B188" s="352">
        <v>2</v>
      </c>
      <c r="C188" s="80">
        <v>5</v>
      </c>
      <c r="D188" s="382" t="s">
        <v>86</v>
      </c>
      <c r="E188" s="65"/>
      <c r="F188" s="22"/>
      <c r="G188" s="42" t="s">
        <v>544</v>
      </c>
      <c r="H188" s="42" t="s">
        <v>545</v>
      </c>
      <c r="I188" s="42"/>
      <c r="J188" s="86"/>
      <c r="K188" s="22">
        <v>6212</v>
      </c>
      <c r="L188" s="85"/>
      <c r="M188" s="25"/>
      <c r="N188" s="50">
        <v>8</v>
      </c>
      <c r="O188" s="22"/>
      <c r="P188" s="81">
        <v>530</v>
      </c>
      <c r="Q188" s="28">
        <f t="shared" ref="Q188:Q205" si="16">N188*P188</f>
        <v>4240</v>
      </c>
      <c r="R188" s="44"/>
      <c r="S188" s="44">
        <v>3490.32</v>
      </c>
      <c r="T188" s="44"/>
      <c r="U188" s="134">
        <f t="shared" ref="U188:U205" si="17">Q188-S188</f>
        <v>749.67999999999984</v>
      </c>
      <c r="V188" s="22" t="s">
        <v>546</v>
      </c>
      <c r="W188" s="31" t="s">
        <v>547</v>
      </c>
      <c r="X188" s="22"/>
      <c r="Y188" s="22"/>
      <c r="Z188" s="30">
        <v>43173</v>
      </c>
      <c r="AA188" s="29"/>
      <c r="AB188" s="30">
        <v>43189</v>
      </c>
      <c r="AC188" s="29">
        <v>43193</v>
      </c>
      <c r="AD188" s="29"/>
      <c r="AE188" s="29"/>
      <c r="AF188" s="22"/>
      <c r="AG188" s="213" t="s">
        <v>98</v>
      </c>
      <c r="AH188" s="516">
        <f>3470.32+20</f>
        <v>3490.32</v>
      </c>
      <c r="AI188" s="144"/>
      <c r="AJ188" s="143"/>
      <c r="AK188" s="143"/>
      <c r="AL188" s="143"/>
      <c r="AM188" s="143"/>
      <c r="AN188" s="143"/>
      <c r="AO188" s="143"/>
      <c r="AP188" s="143"/>
      <c r="AQ188" s="143"/>
      <c r="AR188" s="143"/>
    </row>
    <row r="189" spans="1:44" ht="12.75" customHeight="1" x14ac:dyDescent="0.25">
      <c r="A189" s="22"/>
      <c r="B189" s="352">
        <v>2</v>
      </c>
      <c r="C189" s="80">
        <v>5</v>
      </c>
      <c r="D189" s="382" t="s">
        <v>86</v>
      </c>
      <c r="E189" s="65"/>
      <c r="F189" s="22"/>
      <c r="G189" s="42" t="s">
        <v>548</v>
      </c>
      <c r="H189" s="42" t="s">
        <v>549</v>
      </c>
      <c r="I189" s="42"/>
      <c r="J189" s="22"/>
      <c r="K189" s="22" t="s">
        <v>550</v>
      </c>
      <c r="L189" s="25"/>
      <c r="M189" s="25"/>
      <c r="N189" s="50">
        <v>30</v>
      </c>
      <c r="O189" s="22"/>
      <c r="P189" s="81">
        <v>8.75</v>
      </c>
      <c r="Q189" s="28">
        <f t="shared" si="16"/>
        <v>262.5</v>
      </c>
      <c r="R189" s="44"/>
      <c r="S189" s="44">
        <v>296.22000000000003</v>
      </c>
      <c r="T189" s="44"/>
      <c r="U189" s="134">
        <f t="shared" si="17"/>
        <v>-33.720000000000027</v>
      </c>
      <c r="V189" s="22" t="s">
        <v>551</v>
      </c>
      <c r="W189" s="31" t="s">
        <v>552</v>
      </c>
      <c r="X189" s="22"/>
      <c r="Y189" s="22"/>
      <c r="Z189" s="30">
        <v>43173</v>
      </c>
      <c r="AA189" s="29"/>
      <c r="AB189" s="30">
        <v>43189</v>
      </c>
      <c r="AC189" s="29">
        <v>43193</v>
      </c>
      <c r="AD189" s="29"/>
      <c r="AE189" s="29"/>
      <c r="AF189" s="86" t="s">
        <v>490</v>
      </c>
      <c r="AG189" s="213" t="s">
        <v>98</v>
      </c>
      <c r="AH189" s="517">
        <v>296.22000000000003</v>
      </c>
      <c r="AI189" s="144"/>
      <c r="AJ189" s="143"/>
      <c r="AK189" s="143"/>
      <c r="AL189" s="143"/>
      <c r="AM189" s="143"/>
      <c r="AN189" s="143"/>
      <c r="AO189" s="143"/>
      <c r="AP189" s="143"/>
      <c r="AQ189" s="143"/>
      <c r="AR189" s="143"/>
    </row>
    <row r="190" spans="1:44" ht="12.75" customHeight="1" x14ac:dyDescent="0.25">
      <c r="A190" s="22"/>
      <c r="B190" s="352">
        <v>2</v>
      </c>
      <c r="C190" s="80">
        <v>5</v>
      </c>
      <c r="D190" s="382" t="s">
        <v>86</v>
      </c>
      <c r="E190" s="65"/>
      <c r="F190" s="22"/>
      <c r="G190" s="42" t="s">
        <v>553</v>
      </c>
      <c r="H190" s="42" t="s">
        <v>549</v>
      </c>
      <c r="I190" s="42"/>
      <c r="J190" s="22"/>
      <c r="K190" s="22" t="s">
        <v>554</v>
      </c>
      <c r="L190" s="25"/>
      <c r="M190" s="25"/>
      <c r="N190" s="50">
        <v>72</v>
      </c>
      <c r="O190" s="22"/>
      <c r="P190" s="81">
        <v>1</v>
      </c>
      <c r="Q190" s="28">
        <f t="shared" si="16"/>
        <v>72</v>
      </c>
      <c r="R190" s="44"/>
      <c r="S190" s="44">
        <v>440.76</v>
      </c>
      <c r="T190" s="44"/>
      <c r="U190" s="134">
        <f t="shared" si="17"/>
        <v>-368.76</v>
      </c>
      <c r="V190" s="22" t="s">
        <v>551</v>
      </c>
      <c r="W190" s="31" t="s">
        <v>552</v>
      </c>
      <c r="X190" s="22"/>
      <c r="Y190" s="22"/>
      <c r="Z190" s="30">
        <v>43173</v>
      </c>
      <c r="AA190" s="29"/>
      <c r="AB190" s="30">
        <v>43189</v>
      </c>
      <c r="AC190" s="29">
        <v>43195</v>
      </c>
      <c r="AD190" s="29"/>
      <c r="AE190" s="29"/>
      <c r="AF190" s="86" t="s">
        <v>490</v>
      </c>
      <c r="AG190" s="213" t="s">
        <v>98</v>
      </c>
      <c r="AH190" s="517">
        <v>626.4</v>
      </c>
      <c r="AI190" s="144"/>
      <c r="AJ190" s="143"/>
      <c r="AK190" s="143"/>
      <c r="AL190" s="143"/>
      <c r="AM190" s="143"/>
      <c r="AN190" s="143"/>
      <c r="AO190" s="143"/>
      <c r="AP190" s="143"/>
      <c r="AQ190" s="143"/>
      <c r="AR190" s="143"/>
    </row>
    <row r="191" spans="1:44" ht="12.75" customHeight="1" x14ac:dyDescent="0.25">
      <c r="A191" s="22"/>
      <c r="B191" s="352">
        <v>2</v>
      </c>
      <c r="C191" s="80">
        <v>5</v>
      </c>
      <c r="D191" s="382" t="s">
        <v>86</v>
      </c>
      <c r="E191" s="65"/>
      <c r="F191" s="22"/>
      <c r="G191" s="42" t="s">
        <v>555</v>
      </c>
      <c r="H191" s="42" t="s">
        <v>549</v>
      </c>
      <c r="I191" s="42"/>
      <c r="J191" s="22"/>
      <c r="K191" s="22" t="s">
        <v>556</v>
      </c>
      <c r="L191" s="25"/>
      <c r="M191" s="25"/>
      <c r="N191" s="50">
        <v>216</v>
      </c>
      <c r="O191" s="22"/>
      <c r="P191" s="81">
        <v>4.78</v>
      </c>
      <c r="Q191" s="28">
        <f t="shared" si="16"/>
        <v>1032.48</v>
      </c>
      <c r="R191" s="44"/>
      <c r="S191" s="44">
        <v>626.4</v>
      </c>
      <c r="T191" s="44"/>
      <c r="U191" s="134">
        <f t="shared" si="17"/>
        <v>406.08000000000004</v>
      </c>
      <c r="V191" s="22" t="s">
        <v>551</v>
      </c>
      <c r="W191" s="31" t="s">
        <v>552</v>
      </c>
      <c r="X191" s="22"/>
      <c r="Y191" s="22"/>
      <c r="Z191" s="30">
        <v>43173</v>
      </c>
      <c r="AA191" s="29"/>
      <c r="AB191" s="30">
        <v>43189</v>
      </c>
      <c r="AC191" s="29">
        <v>43262</v>
      </c>
      <c r="AD191" s="29"/>
      <c r="AE191" s="29"/>
      <c r="AF191" s="86" t="s">
        <v>490</v>
      </c>
      <c r="AG191" s="213" t="s">
        <v>98</v>
      </c>
      <c r="AH191" s="517">
        <v>440.76</v>
      </c>
      <c r="AI191" s="144"/>
      <c r="AJ191" s="143"/>
      <c r="AK191" s="143"/>
      <c r="AL191" s="143"/>
      <c r="AM191" s="143"/>
      <c r="AN191" s="143"/>
      <c r="AO191" s="143"/>
      <c r="AP191" s="143"/>
      <c r="AQ191" s="143"/>
      <c r="AR191" s="143"/>
    </row>
    <row r="192" spans="1:44" ht="12.75" customHeight="1" x14ac:dyDescent="0.25">
      <c r="A192" s="22"/>
      <c r="B192" s="352">
        <v>2</v>
      </c>
      <c r="C192" s="80">
        <v>5</v>
      </c>
      <c r="D192" s="382" t="s">
        <v>86</v>
      </c>
      <c r="E192" s="65"/>
      <c r="F192" s="22"/>
      <c r="G192" s="42" t="s">
        <v>557</v>
      </c>
      <c r="H192" s="42" t="s">
        <v>549</v>
      </c>
      <c r="I192" s="42"/>
      <c r="J192" s="22"/>
      <c r="K192" s="22" t="s">
        <v>558</v>
      </c>
      <c r="L192" s="25"/>
      <c r="M192" s="25"/>
      <c r="N192" s="50">
        <v>216</v>
      </c>
      <c r="O192" s="22"/>
      <c r="P192" s="81">
        <v>12.6</v>
      </c>
      <c r="Q192" s="28">
        <f t="shared" si="16"/>
        <v>2721.6</v>
      </c>
      <c r="R192" s="44"/>
      <c r="S192" s="44">
        <v>437.94</v>
      </c>
      <c r="T192" s="44"/>
      <c r="U192" s="134">
        <f t="shared" si="17"/>
        <v>2283.66</v>
      </c>
      <c r="V192" s="22" t="s">
        <v>551</v>
      </c>
      <c r="W192" s="31" t="s">
        <v>552</v>
      </c>
      <c r="X192" s="22"/>
      <c r="Y192" s="22"/>
      <c r="Z192" s="30">
        <v>43173</v>
      </c>
      <c r="AA192" s="29"/>
      <c r="AB192" s="30">
        <v>43189</v>
      </c>
      <c r="AC192" s="29">
        <v>43195</v>
      </c>
      <c r="AD192" s="29"/>
      <c r="AE192" s="29"/>
      <c r="AF192" s="86" t="s">
        <v>490</v>
      </c>
      <c r="AG192" s="213" t="s">
        <v>98</v>
      </c>
      <c r="AH192" s="517">
        <v>437.94</v>
      </c>
      <c r="AI192" s="144"/>
      <c r="AJ192" s="143"/>
      <c r="AK192" s="143"/>
      <c r="AL192" s="143"/>
      <c r="AM192" s="143"/>
      <c r="AN192" s="143"/>
      <c r="AO192" s="143"/>
      <c r="AP192" s="143"/>
      <c r="AQ192" s="143"/>
      <c r="AR192" s="143"/>
    </row>
    <row r="193" spans="1:44" ht="12.75" customHeight="1" x14ac:dyDescent="0.25">
      <c r="A193" s="22"/>
      <c r="B193" s="352">
        <v>2</v>
      </c>
      <c r="C193" s="80">
        <v>5</v>
      </c>
      <c r="D193" s="382" t="s">
        <v>86</v>
      </c>
      <c r="E193" s="65"/>
      <c r="F193" s="22"/>
      <c r="G193" s="42" t="s">
        <v>559</v>
      </c>
      <c r="H193" s="42" t="s">
        <v>549</v>
      </c>
      <c r="I193" s="42"/>
      <c r="J193" s="22"/>
      <c r="K193" s="22" t="s">
        <v>560</v>
      </c>
      <c r="L193" s="25"/>
      <c r="M193" s="25"/>
      <c r="N193" s="50">
        <v>240</v>
      </c>
      <c r="O193" s="22"/>
      <c r="P193" s="81">
        <v>0.97</v>
      </c>
      <c r="Q193" s="28">
        <f t="shared" si="16"/>
        <v>232.79999999999998</v>
      </c>
      <c r="R193" s="44"/>
      <c r="S193" s="44">
        <v>2146.75</v>
      </c>
      <c r="T193" s="44"/>
      <c r="U193" s="134">
        <f t="shared" si="17"/>
        <v>-1913.95</v>
      </c>
      <c r="V193" s="22" t="s">
        <v>551</v>
      </c>
      <c r="W193" s="31" t="s">
        <v>552</v>
      </c>
      <c r="X193" s="22"/>
      <c r="Y193" s="22"/>
      <c r="Z193" s="30">
        <v>43173</v>
      </c>
      <c r="AA193" s="29"/>
      <c r="AB193" s="30">
        <v>43189</v>
      </c>
      <c r="AC193" s="29">
        <v>43193</v>
      </c>
      <c r="AD193" s="29"/>
      <c r="AE193" s="29"/>
      <c r="AF193" s="86" t="s">
        <v>490</v>
      </c>
      <c r="AG193" s="213" t="s">
        <v>98</v>
      </c>
      <c r="AH193" s="517">
        <v>2146.75</v>
      </c>
      <c r="AI193" s="144"/>
      <c r="AJ193" s="143"/>
      <c r="AK193" s="143"/>
      <c r="AL193" s="143"/>
      <c r="AM193" s="143"/>
      <c r="AN193" s="143"/>
      <c r="AO193" s="143"/>
      <c r="AP193" s="143"/>
      <c r="AQ193" s="143"/>
      <c r="AR193" s="143"/>
    </row>
    <row r="194" spans="1:44" ht="12.75" customHeight="1" x14ac:dyDescent="0.25">
      <c r="A194" s="22"/>
      <c r="B194" s="352">
        <v>2</v>
      </c>
      <c r="C194" s="80">
        <v>5</v>
      </c>
      <c r="D194" s="382" t="s">
        <v>86</v>
      </c>
      <c r="E194" s="65"/>
      <c r="F194" s="22"/>
      <c r="G194" s="42" t="s">
        <v>561</v>
      </c>
      <c r="H194" s="42" t="s">
        <v>549</v>
      </c>
      <c r="I194" s="42"/>
      <c r="J194" s="22"/>
      <c r="K194" s="22" t="s">
        <v>562</v>
      </c>
      <c r="L194" s="25"/>
      <c r="M194" s="25"/>
      <c r="N194" s="50">
        <v>3</v>
      </c>
      <c r="O194" s="22"/>
      <c r="P194" s="81">
        <v>7.18</v>
      </c>
      <c r="Q194" s="28">
        <f t="shared" si="16"/>
        <v>21.54</v>
      </c>
      <c r="R194" s="44"/>
      <c r="S194" s="44">
        <v>42.02</v>
      </c>
      <c r="T194" s="44"/>
      <c r="U194" s="134">
        <f t="shared" si="17"/>
        <v>-20.480000000000004</v>
      </c>
      <c r="V194" s="22" t="s">
        <v>551</v>
      </c>
      <c r="W194" s="31" t="s">
        <v>552</v>
      </c>
      <c r="X194" s="22"/>
      <c r="Y194" s="22"/>
      <c r="Z194" s="30">
        <v>43173</v>
      </c>
      <c r="AA194" s="29"/>
      <c r="AB194" s="30">
        <v>43189</v>
      </c>
      <c r="AC194" s="29">
        <v>43193</v>
      </c>
      <c r="AD194" s="29"/>
      <c r="AE194" s="29"/>
      <c r="AF194" s="86" t="s">
        <v>490</v>
      </c>
      <c r="AG194" s="213" t="s">
        <v>98</v>
      </c>
      <c r="AH194" s="517">
        <v>42.02</v>
      </c>
      <c r="AI194" s="144"/>
      <c r="AJ194" s="143"/>
      <c r="AK194" s="143"/>
      <c r="AL194" s="143"/>
      <c r="AM194" s="143"/>
      <c r="AN194" s="143"/>
      <c r="AO194" s="143"/>
      <c r="AP194" s="143"/>
      <c r="AQ194" s="143"/>
      <c r="AR194" s="143"/>
    </row>
    <row r="195" spans="1:44" ht="12.75" customHeight="1" x14ac:dyDescent="0.25">
      <c r="A195" s="22"/>
      <c r="B195" s="352">
        <v>2</v>
      </c>
      <c r="C195" s="80">
        <v>5</v>
      </c>
      <c r="D195" s="382" t="s">
        <v>86</v>
      </c>
      <c r="E195" s="65"/>
      <c r="F195" s="22"/>
      <c r="G195" s="42" t="s">
        <v>563</v>
      </c>
      <c r="H195" s="42" t="s">
        <v>564</v>
      </c>
      <c r="I195" s="42"/>
      <c r="J195" s="86"/>
      <c r="K195" s="22">
        <v>61601326281</v>
      </c>
      <c r="L195" s="85"/>
      <c r="M195" s="25"/>
      <c r="N195" s="50">
        <v>32</v>
      </c>
      <c r="O195" s="22"/>
      <c r="P195" s="81">
        <v>15.209</v>
      </c>
      <c r="Q195" s="28">
        <f t="shared" si="16"/>
        <v>486.68799999999999</v>
      </c>
      <c r="R195" s="44"/>
      <c r="S195" s="44">
        <v>583.04</v>
      </c>
      <c r="T195" s="671"/>
      <c r="U195" s="135">
        <f t="shared" si="17"/>
        <v>-96.351999999999975</v>
      </c>
      <c r="V195" s="22" t="s">
        <v>565</v>
      </c>
      <c r="W195" s="31" t="s">
        <v>566</v>
      </c>
      <c r="X195" s="22"/>
      <c r="Y195" s="22"/>
      <c r="Z195" s="30">
        <v>43133</v>
      </c>
      <c r="AA195" s="29"/>
      <c r="AB195" s="30">
        <v>43145</v>
      </c>
      <c r="AC195" s="29">
        <v>43145</v>
      </c>
      <c r="AD195" s="29"/>
      <c r="AE195" s="29"/>
      <c r="AF195" s="22"/>
      <c r="AG195" s="213" t="s">
        <v>98</v>
      </c>
      <c r="AH195" s="516">
        <v>1003.04</v>
      </c>
      <c r="AI195" s="144"/>
      <c r="AJ195" s="143"/>
      <c r="AK195" s="143"/>
      <c r="AL195" s="143"/>
      <c r="AM195" s="143"/>
      <c r="AN195" s="143"/>
      <c r="AO195" s="143"/>
      <c r="AP195" s="143"/>
      <c r="AQ195" s="143"/>
      <c r="AR195" s="143"/>
    </row>
    <row r="196" spans="1:44" ht="25.5" customHeight="1" x14ac:dyDescent="0.25">
      <c r="A196" s="22"/>
      <c r="B196" s="352">
        <v>2</v>
      </c>
      <c r="C196" s="80">
        <v>5</v>
      </c>
      <c r="D196" s="382" t="s">
        <v>86</v>
      </c>
      <c r="E196" s="65"/>
      <c r="F196" s="22"/>
      <c r="G196" s="42" t="s">
        <v>567</v>
      </c>
      <c r="H196" s="42" t="s">
        <v>564</v>
      </c>
      <c r="I196" s="42"/>
      <c r="J196" s="86"/>
      <c r="K196" s="22">
        <v>61601326281</v>
      </c>
      <c r="L196" s="85"/>
      <c r="M196" s="25"/>
      <c r="N196" s="50">
        <v>240</v>
      </c>
      <c r="O196" s="22"/>
      <c r="P196" s="81">
        <v>1.1631</v>
      </c>
      <c r="Q196" s="28">
        <f t="shared" si="16"/>
        <v>279.14400000000001</v>
      </c>
      <c r="R196" s="44"/>
      <c r="S196" s="44">
        <v>570</v>
      </c>
      <c r="T196" s="671"/>
      <c r="U196" s="135">
        <f t="shared" si="17"/>
        <v>-290.85599999999999</v>
      </c>
      <c r="V196" s="22" t="s">
        <v>565</v>
      </c>
      <c r="W196" s="31" t="s">
        <v>566</v>
      </c>
      <c r="X196" s="30">
        <v>43133</v>
      </c>
      <c r="Y196" s="30">
        <v>43145</v>
      </c>
      <c r="Z196" s="30">
        <v>43133</v>
      </c>
      <c r="AA196" s="29"/>
      <c r="AB196" s="30">
        <v>43145</v>
      </c>
      <c r="AC196" s="29">
        <v>43145</v>
      </c>
      <c r="AD196" s="29"/>
      <c r="AE196" s="29"/>
      <c r="AF196" s="22"/>
      <c r="AG196" s="213" t="s">
        <v>98</v>
      </c>
      <c r="AH196" s="516">
        <v>150</v>
      </c>
      <c r="AI196" s="144"/>
      <c r="AJ196" s="534"/>
      <c r="AK196" s="534"/>
      <c r="AL196" s="534"/>
      <c r="AM196" s="534"/>
      <c r="AN196" s="534"/>
      <c r="AO196" s="534"/>
      <c r="AP196" s="534"/>
      <c r="AQ196" s="534"/>
      <c r="AR196" s="534"/>
    </row>
    <row r="197" spans="1:44" ht="39.6" x14ac:dyDescent="0.25">
      <c r="A197" s="22"/>
      <c r="B197" s="352">
        <v>2</v>
      </c>
      <c r="C197" s="80">
        <v>5</v>
      </c>
      <c r="D197" s="382" t="s">
        <v>86</v>
      </c>
      <c r="E197" s="65"/>
      <c r="F197" s="22"/>
      <c r="G197" s="42" t="s">
        <v>568</v>
      </c>
      <c r="H197" s="42" t="s">
        <v>569</v>
      </c>
      <c r="I197" s="42"/>
      <c r="J197" s="22"/>
      <c r="K197" s="22" t="s">
        <v>570</v>
      </c>
      <c r="L197" s="25"/>
      <c r="M197" s="25"/>
      <c r="N197" s="50">
        <v>10</v>
      </c>
      <c r="O197" s="22"/>
      <c r="P197" s="81">
        <v>6697</v>
      </c>
      <c r="Q197" s="28">
        <f t="shared" si="16"/>
        <v>66970</v>
      </c>
      <c r="R197" s="44"/>
      <c r="S197" s="44">
        <v>67810</v>
      </c>
      <c r="T197" s="44"/>
      <c r="U197" s="134">
        <f t="shared" si="17"/>
        <v>-840</v>
      </c>
      <c r="V197" s="22" t="s">
        <v>571</v>
      </c>
      <c r="W197" s="31" t="s">
        <v>572</v>
      </c>
      <c r="X197" s="22"/>
      <c r="Y197" s="22"/>
      <c r="Z197" s="30">
        <v>43167</v>
      </c>
      <c r="AA197" s="29"/>
      <c r="AB197" s="30">
        <v>43210</v>
      </c>
      <c r="AC197" s="29">
        <v>43236</v>
      </c>
      <c r="AD197" s="29"/>
      <c r="AE197" s="29"/>
      <c r="AF197" s="86" t="s">
        <v>490</v>
      </c>
      <c r="AG197" s="213" t="s">
        <v>98</v>
      </c>
      <c r="AH197" s="516">
        <v>67810</v>
      </c>
      <c r="AI197" s="144"/>
      <c r="AJ197" s="143"/>
      <c r="AK197" s="143"/>
      <c r="AL197" s="143"/>
      <c r="AM197" s="143"/>
      <c r="AN197" s="143"/>
      <c r="AO197" s="143"/>
      <c r="AP197" s="143"/>
      <c r="AQ197" s="143"/>
      <c r="AR197" s="143"/>
    </row>
    <row r="198" spans="1:44" ht="12.75" customHeight="1" x14ac:dyDescent="0.25">
      <c r="A198" s="22"/>
      <c r="B198" s="352">
        <v>2</v>
      </c>
      <c r="C198" s="80">
        <v>5</v>
      </c>
      <c r="D198" s="382" t="s">
        <v>86</v>
      </c>
      <c r="E198" s="65"/>
      <c r="F198" s="22"/>
      <c r="G198" s="42" t="s">
        <v>573</v>
      </c>
      <c r="H198" s="42" t="s">
        <v>569</v>
      </c>
      <c r="I198" s="42"/>
      <c r="J198" s="22"/>
      <c r="K198" s="22" t="s">
        <v>147</v>
      </c>
      <c r="L198" s="25"/>
      <c r="M198" s="25"/>
      <c r="N198" s="50">
        <v>10</v>
      </c>
      <c r="O198" s="22"/>
      <c r="P198" s="81">
        <v>57.25</v>
      </c>
      <c r="Q198" s="28">
        <f t="shared" si="16"/>
        <v>572.5</v>
      </c>
      <c r="R198" s="44"/>
      <c r="S198" s="44">
        <v>572.5</v>
      </c>
      <c r="T198" s="44"/>
      <c r="U198" s="134">
        <f t="shared" si="17"/>
        <v>0</v>
      </c>
      <c r="V198" s="22" t="s">
        <v>571</v>
      </c>
      <c r="W198" s="31" t="s">
        <v>572</v>
      </c>
      <c r="X198" s="22"/>
      <c r="Y198" s="22"/>
      <c r="Z198" s="30">
        <v>43167</v>
      </c>
      <c r="AA198" s="29"/>
      <c r="AB198" s="30">
        <v>43210</v>
      </c>
      <c r="AC198" s="29">
        <v>43264</v>
      </c>
      <c r="AD198" s="29"/>
      <c r="AE198" s="29"/>
      <c r="AF198" s="86" t="s">
        <v>490</v>
      </c>
      <c r="AG198" s="213" t="s">
        <v>98</v>
      </c>
      <c r="AH198" s="516">
        <v>572.5</v>
      </c>
      <c r="AI198" s="144"/>
      <c r="AJ198" s="143"/>
      <c r="AK198" s="143"/>
      <c r="AL198" s="143"/>
      <c r="AM198" s="143"/>
      <c r="AN198" s="143"/>
      <c r="AO198" s="143"/>
      <c r="AP198" s="143"/>
      <c r="AQ198" s="143"/>
      <c r="AR198" s="143"/>
    </row>
    <row r="199" spans="1:44" ht="12.75" customHeight="1" x14ac:dyDescent="0.25">
      <c r="A199" s="22"/>
      <c r="B199" s="352">
        <v>2</v>
      </c>
      <c r="C199" s="80">
        <v>5</v>
      </c>
      <c r="D199" s="382" t="s">
        <v>86</v>
      </c>
      <c r="E199" s="65"/>
      <c r="F199" s="22"/>
      <c r="G199" s="42" t="s">
        <v>574</v>
      </c>
      <c r="H199" s="42" t="s">
        <v>569</v>
      </c>
      <c r="I199" s="42"/>
      <c r="J199" s="22"/>
      <c r="K199" s="22" t="s">
        <v>147</v>
      </c>
      <c r="L199" s="25"/>
      <c r="M199" s="25"/>
      <c r="N199" s="50">
        <v>20</v>
      </c>
      <c r="O199" s="22"/>
      <c r="P199" s="81">
        <v>94</v>
      </c>
      <c r="Q199" s="28">
        <f t="shared" si="16"/>
        <v>1880</v>
      </c>
      <c r="R199" s="44"/>
      <c r="S199" s="44">
        <v>1905</v>
      </c>
      <c r="T199" s="44"/>
      <c r="U199" s="134">
        <f t="shared" si="17"/>
        <v>-25</v>
      </c>
      <c r="V199" s="22" t="s">
        <v>571</v>
      </c>
      <c r="W199" s="31" t="s">
        <v>572</v>
      </c>
      <c r="X199" s="22"/>
      <c r="Y199" s="22"/>
      <c r="Z199" s="30">
        <v>43167</v>
      </c>
      <c r="AA199" s="29"/>
      <c r="AB199" s="30">
        <v>43210</v>
      </c>
      <c r="AC199" s="29">
        <v>43236</v>
      </c>
      <c r="AD199" s="29"/>
      <c r="AE199" s="29"/>
      <c r="AF199" s="86" t="s">
        <v>490</v>
      </c>
      <c r="AG199" s="213" t="s">
        <v>98</v>
      </c>
      <c r="AH199" s="516">
        <v>1905</v>
      </c>
      <c r="AI199" s="144"/>
      <c r="AJ199" s="143"/>
      <c r="AK199" s="143"/>
      <c r="AL199" s="143"/>
      <c r="AM199" s="143"/>
      <c r="AN199" s="143"/>
      <c r="AO199" s="143"/>
      <c r="AP199" s="143"/>
      <c r="AQ199" s="143"/>
      <c r="AR199" s="143"/>
    </row>
    <row r="200" spans="1:44" ht="12.75" customHeight="1" x14ac:dyDescent="0.25">
      <c r="A200" s="22"/>
      <c r="B200" s="352">
        <v>2</v>
      </c>
      <c r="C200" s="80">
        <v>5</v>
      </c>
      <c r="D200" s="382" t="s">
        <v>86</v>
      </c>
      <c r="E200" s="65"/>
      <c r="F200" s="22"/>
      <c r="G200" s="42" t="s">
        <v>575</v>
      </c>
      <c r="H200" s="42" t="s">
        <v>569</v>
      </c>
      <c r="I200" s="42"/>
      <c r="J200" s="22"/>
      <c r="K200" s="22" t="s">
        <v>147</v>
      </c>
      <c r="L200" s="25"/>
      <c r="M200" s="25"/>
      <c r="N200" s="50">
        <v>100</v>
      </c>
      <c r="O200" s="22"/>
      <c r="P200" s="81">
        <v>60.25</v>
      </c>
      <c r="Q200" s="28">
        <f t="shared" si="16"/>
        <v>6025</v>
      </c>
      <c r="R200" s="44"/>
      <c r="S200" s="44">
        <v>6100</v>
      </c>
      <c r="T200" s="44"/>
      <c r="U200" s="134">
        <f t="shared" si="17"/>
        <v>-75</v>
      </c>
      <c r="V200" s="22" t="s">
        <v>571</v>
      </c>
      <c r="W200" s="31" t="s">
        <v>572</v>
      </c>
      <c r="X200" s="22"/>
      <c r="Y200" s="22"/>
      <c r="Z200" s="30">
        <v>43167</v>
      </c>
      <c r="AA200" s="29"/>
      <c r="AB200" s="30">
        <v>43210</v>
      </c>
      <c r="AC200" s="29">
        <v>43236</v>
      </c>
      <c r="AD200" s="29"/>
      <c r="AE200" s="29"/>
      <c r="AF200" s="86" t="s">
        <v>490</v>
      </c>
      <c r="AG200" s="213" t="s">
        <v>98</v>
      </c>
      <c r="AH200" s="516">
        <v>6100</v>
      </c>
      <c r="AI200" s="144"/>
      <c r="AJ200" s="143"/>
      <c r="AK200" s="143"/>
      <c r="AL200" s="143"/>
      <c r="AM200" s="143"/>
      <c r="AN200" s="143"/>
      <c r="AO200" s="143"/>
      <c r="AP200" s="143"/>
      <c r="AQ200" s="143"/>
      <c r="AR200" s="143"/>
    </row>
    <row r="201" spans="1:44" ht="25.5" customHeight="1" x14ac:dyDescent="0.25">
      <c r="A201" s="22"/>
      <c r="B201" s="352">
        <v>2</v>
      </c>
      <c r="C201" s="80">
        <v>5</v>
      </c>
      <c r="D201" s="382" t="s">
        <v>86</v>
      </c>
      <c r="E201" s="65"/>
      <c r="F201" s="22"/>
      <c r="G201" s="42" t="s">
        <v>576</v>
      </c>
      <c r="H201" s="42" t="s">
        <v>569</v>
      </c>
      <c r="I201" s="42"/>
      <c r="J201" s="22"/>
      <c r="K201" s="22" t="s">
        <v>147</v>
      </c>
      <c r="L201" s="25"/>
      <c r="M201" s="25"/>
      <c r="N201" s="50">
        <v>10</v>
      </c>
      <c r="O201" s="22"/>
      <c r="P201" s="81">
        <v>46.45</v>
      </c>
      <c r="Q201" s="28">
        <f t="shared" si="16"/>
        <v>464.5</v>
      </c>
      <c r="R201" s="44"/>
      <c r="S201" s="28">
        <v>464.5</v>
      </c>
      <c r="T201" s="28"/>
      <c r="U201" s="134">
        <f t="shared" si="17"/>
        <v>0</v>
      </c>
      <c r="V201" s="22" t="s">
        <v>571</v>
      </c>
      <c r="W201" s="31" t="s">
        <v>572</v>
      </c>
      <c r="X201" s="22"/>
      <c r="Y201" s="22"/>
      <c r="Z201" s="30">
        <v>43167</v>
      </c>
      <c r="AA201" s="29"/>
      <c r="AB201" s="30">
        <v>43210</v>
      </c>
      <c r="AC201" s="29">
        <v>43236</v>
      </c>
      <c r="AD201" s="29"/>
      <c r="AE201" s="29"/>
      <c r="AF201" s="86" t="s">
        <v>490</v>
      </c>
      <c r="AG201" s="213" t="s">
        <v>98</v>
      </c>
      <c r="AH201" s="516">
        <v>464.5</v>
      </c>
      <c r="AI201" s="144"/>
      <c r="AJ201" s="143"/>
      <c r="AK201" s="143"/>
      <c r="AL201" s="143"/>
      <c r="AM201" s="143"/>
      <c r="AN201" s="143"/>
      <c r="AO201" s="143"/>
      <c r="AP201" s="143"/>
      <c r="AQ201" s="143"/>
      <c r="AR201" s="143"/>
    </row>
    <row r="202" spans="1:44" ht="12.75" customHeight="1" x14ac:dyDescent="0.25">
      <c r="A202" s="22"/>
      <c r="B202" s="352">
        <v>2</v>
      </c>
      <c r="C202" s="80">
        <v>5</v>
      </c>
      <c r="D202" s="382" t="s">
        <v>86</v>
      </c>
      <c r="E202" s="65"/>
      <c r="F202" s="22"/>
      <c r="G202" s="42" t="s">
        <v>577</v>
      </c>
      <c r="H202" s="42" t="s">
        <v>569</v>
      </c>
      <c r="I202" s="42"/>
      <c r="J202" s="22"/>
      <c r="K202" s="22" t="s">
        <v>578</v>
      </c>
      <c r="L202" s="25"/>
      <c r="M202" s="25"/>
      <c r="N202" s="50">
        <v>44</v>
      </c>
      <c r="O202" s="22"/>
      <c r="P202" s="81">
        <v>14.25</v>
      </c>
      <c r="Q202" s="28">
        <f t="shared" si="16"/>
        <v>627</v>
      </c>
      <c r="R202" s="44"/>
      <c r="S202" s="44">
        <v>627</v>
      </c>
      <c r="T202" s="44"/>
      <c r="U202" s="134">
        <f t="shared" si="17"/>
        <v>0</v>
      </c>
      <c r="V202" s="22" t="s">
        <v>571</v>
      </c>
      <c r="W202" s="31" t="s">
        <v>572</v>
      </c>
      <c r="X202" s="22"/>
      <c r="Y202" s="22"/>
      <c r="Z202" s="30">
        <v>43167</v>
      </c>
      <c r="AA202" s="29"/>
      <c r="AB202" s="30">
        <v>43210</v>
      </c>
      <c r="AC202" s="29">
        <v>43236</v>
      </c>
      <c r="AD202" s="29"/>
      <c r="AE202" s="29"/>
      <c r="AF202" s="86" t="s">
        <v>490</v>
      </c>
      <c r="AG202" s="213" t="s">
        <v>98</v>
      </c>
      <c r="AH202" s="516">
        <v>627</v>
      </c>
      <c r="AI202" s="144"/>
      <c r="AJ202" s="143"/>
      <c r="AK202" s="143"/>
      <c r="AL202" s="143"/>
      <c r="AM202" s="143"/>
      <c r="AN202" s="143"/>
      <c r="AO202" s="143"/>
      <c r="AP202" s="143"/>
      <c r="AQ202" s="143"/>
      <c r="AR202" s="143"/>
    </row>
    <row r="203" spans="1:44" ht="12.75" customHeight="1" x14ac:dyDescent="0.25">
      <c r="A203" s="22"/>
      <c r="B203" s="352">
        <v>2</v>
      </c>
      <c r="C203" s="80">
        <v>5</v>
      </c>
      <c r="D203" s="382" t="s">
        <v>86</v>
      </c>
      <c r="E203" s="65"/>
      <c r="F203" s="22"/>
      <c r="G203" s="42" t="s">
        <v>579</v>
      </c>
      <c r="H203" s="42" t="s">
        <v>569</v>
      </c>
      <c r="I203" s="42"/>
      <c r="J203" s="22"/>
      <c r="K203" s="22" t="s">
        <v>580</v>
      </c>
      <c r="L203" s="25"/>
      <c r="M203" s="25"/>
      <c r="N203" s="50">
        <v>44</v>
      </c>
      <c r="O203" s="22"/>
      <c r="P203" s="81">
        <v>17.55</v>
      </c>
      <c r="Q203" s="28">
        <f t="shared" si="16"/>
        <v>772.2</v>
      </c>
      <c r="R203" s="44"/>
      <c r="S203" s="44">
        <v>772.2</v>
      </c>
      <c r="T203" s="44"/>
      <c r="U203" s="134">
        <f t="shared" si="17"/>
        <v>0</v>
      </c>
      <c r="V203" s="22" t="s">
        <v>571</v>
      </c>
      <c r="W203" s="31" t="s">
        <v>572</v>
      </c>
      <c r="X203" s="22"/>
      <c r="Y203" s="22"/>
      <c r="Z203" s="30">
        <v>43167</v>
      </c>
      <c r="AA203" s="29"/>
      <c r="AB203" s="30">
        <v>43210</v>
      </c>
      <c r="AC203" s="29">
        <v>43236</v>
      </c>
      <c r="AD203" s="29"/>
      <c r="AE203" s="29"/>
      <c r="AF203" s="86" t="s">
        <v>490</v>
      </c>
      <c r="AG203" s="213" t="s">
        <v>98</v>
      </c>
      <c r="AH203" s="516">
        <v>772.2</v>
      </c>
      <c r="AI203" s="144"/>
      <c r="AJ203" s="143"/>
      <c r="AK203" s="143"/>
      <c r="AL203" s="143"/>
      <c r="AM203" s="143"/>
      <c r="AN203" s="143"/>
      <c r="AO203" s="143"/>
      <c r="AP203" s="143"/>
      <c r="AQ203" s="143"/>
      <c r="AR203" s="143"/>
    </row>
    <row r="204" spans="1:44" ht="12.75" customHeight="1" x14ac:dyDescent="0.25">
      <c r="A204" s="22"/>
      <c r="B204" s="352">
        <v>2</v>
      </c>
      <c r="C204" s="80">
        <v>5</v>
      </c>
      <c r="D204" s="382" t="s">
        <v>86</v>
      </c>
      <c r="E204" s="65"/>
      <c r="F204" s="22"/>
      <c r="G204" s="42" t="s">
        <v>581</v>
      </c>
      <c r="H204" s="42" t="s">
        <v>569</v>
      </c>
      <c r="I204" s="42"/>
      <c r="J204" s="22"/>
      <c r="K204" s="22" t="s">
        <v>582</v>
      </c>
      <c r="L204" s="25"/>
      <c r="M204" s="25"/>
      <c r="N204" s="50">
        <v>44</v>
      </c>
      <c r="O204" s="22"/>
      <c r="P204" s="81">
        <v>21.7</v>
      </c>
      <c r="Q204" s="28">
        <f t="shared" si="16"/>
        <v>954.8</v>
      </c>
      <c r="R204" s="44"/>
      <c r="S204" s="44">
        <v>954.8</v>
      </c>
      <c r="T204" s="44"/>
      <c r="U204" s="134">
        <f t="shared" si="17"/>
        <v>0</v>
      </c>
      <c r="V204" s="22" t="s">
        <v>571</v>
      </c>
      <c r="W204" s="31" t="s">
        <v>572</v>
      </c>
      <c r="X204" s="22"/>
      <c r="Y204" s="22"/>
      <c r="Z204" s="30">
        <v>43167</v>
      </c>
      <c r="AA204" s="29"/>
      <c r="AB204" s="30">
        <v>43210</v>
      </c>
      <c r="AC204" s="29">
        <v>43236</v>
      </c>
      <c r="AD204" s="29"/>
      <c r="AE204" s="29"/>
      <c r="AF204" s="86" t="s">
        <v>490</v>
      </c>
      <c r="AG204" s="213" t="s">
        <v>98</v>
      </c>
      <c r="AH204" s="516">
        <v>954.8</v>
      </c>
      <c r="AI204" s="144"/>
      <c r="AJ204" s="143"/>
      <c r="AK204" s="143"/>
      <c r="AL204" s="143"/>
      <c r="AM204" s="143"/>
      <c r="AN204" s="143"/>
      <c r="AO204" s="143"/>
      <c r="AP204" s="143"/>
      <c r="AQ204" s="143"/>
      <c r="AR204" s="143"/>
    </row>
    <row r="205" spans="1:44" ht="11.4" customHeight="1" x14ac:dyDescent="0.25">
      <c r="A205" s="22"/>
      <c r="B205" s="352">
        <v>2</v>
      </c>
      <c r="C205" s="80">
        <v>5</v>
      </c>
      <c r="D205" s="382" t="s">
        <v>86</v>
      </c>
      <c r="E205" s="65"/>
      <c r="F205" s="22"/>
      <c r="G205" s="42" t="s">
        <v>583</v>
      </c>
      <c r="H205" s="42" t="s">
        <v>569</v>
      </c>
      <c r="I205" s="42"/>
      <c r="J205" s="22"/>
      <c r="K205" s="22" t="s">
        <v>584</v>
      </c>
      <c r="L205" s="25"/>
      <c r="M205" s="25"/>
      <c r="N205" s="50">
        <v>20</v>
      </c>
      <c r="O205" s="22"/>
      <c r="P205" s="81">
        <v>34.6</v>
      </c>
      <c r="Q205" s="28">
        <f t="shared" si="16"/>
        <v>692</v>
      </c>
      <c r="R205" s="44"/>
      <c r="S205" s="44">
        <v>692</v>
      </c>
      <c r="T205" s="44"/>
      <c r="U205" s="134">
        <f t="shared" si="17"/>
        <v>0</v>
      </c>
      <c r="V205" s="22" t="s">
        <v>571</v>
      </c>
      <c r="W205" s="31" t="s">
        <v>572</v>
      </c>
      <c r="X205" s="22"/>
      <c r="Y205" s="22"/>
      <c r="Z205" s="30">
        <v>43167</v>
      </c>
      <c r="AA205" s="29"/>
      <c r="AB205" s="30">
        <v>43210</v>
      </c>
      <c r="AC205" s="29">
        <v>43236</v>
      </c>
      <c r="AD205" s="29"/>
      <c r="AE205" s="29"/>
      <c r="AF205" s="86" t="s">
        <v>490</v>
      </c>
      <c r="AG205" s="213" t="s">
        <v>98</v>
      </c>
      <c r="AH205" s="516">
        <v>692</v>
      </c>
      <c r="AI205" s="144"/>
      <c r="AJ205" s="143"/>
      <c r="AK205" s="143"/>
      <c r="AL205" s="143"/>
      <c r="AM205" s="143"/>
      <c r="AN205" s="143"/>
      <c r="AO205" s="143"/>
      <c r="AP205" s="143"/>
      <c r="AQ205" s="143"/>
      <c r="AR205" s="143"/>
    </row>
    <row r="206" spans="1:44" ht="11.4" customHeight="1" x14ac:dyDescent="0.25">
      <c r="A206" s="22"/>
      <c r="B206" s="352">
        <v>2</v>
      </c>
      <c r="C206" s="80">
        <v>5</v>
      </c>
      <c r="D206" s="382" t="s">
        <v>86</v>
      </c>
      <c r="E206" s="65"/>
      <c r="F206" s="22"/>
      <c r="G206" s="42" t="s">
        <v>569</v>
      </c>
      <c r="H206" s="42" t="s">
        <v>569</v>
      </c>
      <c r="I206" s="42"/>
      <c r="J206" s="22"/>
      <c r="K206" s="22" t="s">
        <v>438</v>
      </c>
      <c r="L206" s="25"/>
      <c r="M206" s="25"/>
      <c r="N206" s="50">
        <v>1</v>
      </c>
      <c r="O206" s="22"/>
      <c r="P206" s="81"/>
      <c r="Q206" s="28">
        <v>4145</v>
      </c>
      <c r="R206" s="44"/>
      <c r="S206" s="44">
        <v>4145</v>
      </c>
      <c r="T206" s="671"/>
      <c r="U206" s="176"/>
      <c r="V206" s="22" t="s">
        <v>571</v>
      </c>
      <c r="W206" s="31" t="s">
        <v>572</v>
      </c>
      <c r="X206" s="22"/>
      <c r="Y206" s="22"/>
      <c r="Z206" s="30"/>
      <c r="AA206" s="29"/>
      <c r="AB206" s="30"/>
      <c r="AC206" s="29"/>
      <c r="AD206" s="29"/>
      <c r="AE206" s="29"/>
      <c r="AF206" s="86" t="s">
        <v>490</v>
      </c>
      <c r="AG206" s="213" t="s">
        <v>98</v>
      </c>
      <c r="AH206" s="516">
        <v>4145</v>
      </c>
      <c r="AI206" s="144"/>
      <c r="AJ206" s="143"/>
      <c r="AK206" s="143"/>
      <c r="AL206" s="143"/>
      <c r="AM206" s="143"/>
      <c r="AN206" s="143"/>
      <c r="AO206" s="143"/>
      <c r="AP206" s="143"/>
      <c r="AQ206" s="143"/>
      <c r="AR206" s="143"/>
    </row>
    <row r="207" spans="1:44" ht="25.5" customHeight="1" x14ac:dyDescent="0.25">
      <c r="A207" s="22"/>
      <c r="B207" s="352">
        <v>2</v>
      </c>
      <c r="C207" s="80">
        <v>5</v>
      </c>
      <c r="D207" s="382" t="s">
        <v>86</v>
      </c>
      <c r="E207" s="65"/>
      <c r="F207" s="22"/>
      <c r="G207" s="42" t="s">
        <v>585</v>
      </c>
      <c r="H207" s="42" t="s">
        <v>116</v>
      </c>
      <c r="I207" s="42"/>
      <c r="J207" s="86"/>
      <c r="K207" s="22" t="s">
        <v>586</v>
      </c>
      <c r="L207" s="147" t="s">
        <v>180</v>
      </c>
      <c r="M207" s="25"/>
      <c r="N207" s="50">
        <v>4</v>
      </c>
      <c r="O207" s="22"/>
      <c r="P207" s="81">
        <v>1398.49</v>
      </c>
      <c r="Q207" s="28">
        <f t="shared" ref="Q207:Q238" si="18">N207*P207</f>
        <v>5593.96</v>
      </c>
      <c r="R207" s="35"/>
      <c r="S207" s="35">
        <v>4444</v>
      </c>
      <c r="T207" s="231"/>
      <c r="U207" s="135">
        <f t="shared" ref="U207:U238" si="19">Q207-S207</f>
        <v>1149.96</v>
      </c>
      <c r="V207" s="35" t="s">
        <v>587</v>
      </c>
      <c r="W207" s="30" t="s">
        <v>588</v>
      </c>
      <c r="X207" s="22"/>
      <c r="Y207" s="22"/>
      <c r="Z207" s="36">
        <v>43153</v>
      </c>
      <c r="AA207" s="173"/>
      <c r="AB207" s="30">
        <v>43189</v>
      </c>
      <c r="AC207" s="29">
        <v>43167</v>
      </c>
      <c r="AD207" s="29"/>
      <c r="AE207" s="29"/>
      <c r="AF207" s="86" t="s">
        <v>490</v>
      </c>
      <c r="AG207" s="213" t="s">
        <v>98</v>
      </c>
      <c r="AH207" s="518">
        <v>4444</v>
      </c>
      <c r="AI207" s="144"/>
      <c r="AJ207" s="143"/>
      <c r="AK207" s="143"/>
      <c r="AL207" s="143"/>
      <c r="AM207" s="143"/>
      <c r="AN207" s="143"/>
      <c r="AO207" s="143"/>
      <c r="AP207" s="143"/>
      <c r="AQ207" s="143"/>
      <c r="AR207" s="143"/>
    </row>
    <row r="208" spans="1:44" ht="25.5" customHeight="1" x14ac:dyDescent="0.25">
      <c r="A208" s="22"/>
      <c r="B208" s="352">
        <v>2</v>
      </c>
      <c r="C208" s="80">
        <v>5</v>
      </c>
      <c r="D208" s="382" t="s">
        <v>86</v>
      </c>
      <c r="E208" s="65"/>
      <c r="F208" s="23"/>
      <c r="G208" s="42" t="s">
        <v>589</v>
      </c>
      <c r="H208" s="42" t="s">
        <v>116</v>
      </c>
      <c r="I208" s="42"/>
      <c r="J208" s="147"/>
      <c r="K208" s="22" t="s">
        <v>590</v>
      </c>
      <c r="L208" s="147" t="s">
        <v>180</v>
      </c>
      <c r="M208" s="25"/>
      <c r="N208" s="50">
        <v>2</v>
      </c>
      <c r="O208" s="26"/>
      <c r="P208" s="81">
        <v>1358.59</v>
      </c>
      <c r="Q208" s="28">
        <f t="shared" si="18"/>
        <v>2717.18</v>
      </c>
      <c r="R208" s="28"/>
      <c r="S208" s="35">
        <v>2212</v>
      </c>
      <c r="T208" s="231"/>
      <c r="U208" s="135">
        <f t="shared" si="19"/>
        <v>505.17999999999984</v>
      </c>
      <c r="V208" s="28" t="s">
        <v>587</v>
      </c>
      <c r="W208" s="30" t="s">
        <v>588</v>
      </c>
      <c r="X208" s="22"/>
      <c r="Y208" s="29"/>
      <c r="Z208" s="36">
        <v>43153</v>
      </c>
      <c r="AA208" s="173"/>
      <c r="AB208" s="30">
        <v>43189</v>
      </c>
      <c r="AC208" s="30">
        <v>43167</v>
      </c>
      <c r="AD208" s="29"/>
      <c r="AE208" s="29"/>
      <c r="AF208" s="86" t="s">
        <v>490</v>
      </c>
      <c r="AG208" s="213" t="s">
        <v>98</v>
      </c>
      <c r="AH208" s="518">
        <v>2212</v>
      </c>
      <c r="AI208" s="144"/>
      <c r="AJ208" s="143"/>
      <c r="AK208" s="143"/>
      <c r="AL208" s="143"/>
      <c r="AM208" s="143"/>
      <c r="AN208" s="143"/>
      <c r="AO208" s="143"/>
      <c r="AP208" s="143"/>
      <c r="AQ208" s="143"/>
      <c r="AR208" s="143"/>
    </row>
    <row r="209" spans="1:44" ht="25.5" customHeight="1" x14ac:dyDescent="0.25">
      <c r="A209" s="22"/>
      <c r="B209" s="352">
        <v>2</v>
      </c>
      <c r="C209" s="80">
        <v>5</v>
      </c>
      <c r="D209" s="382" t="s">
        <v>86</v>
      </c>
      <c r="E209" s="65"/>
      <c r="F209" s="23"/>
      <c r="G209" s="42" t="s">
        <v>591</v>
      </c>
      <c r="H209" s="42" t="s">
        <v>116</v>
      </c>
      <c r="I209" s="42"/>
      <c r="J209" s="147"/>
      <c r="K209" s="22" t="s">
        <v>592</v>
      </c>
      <c r="L209" s="147" t="s">
        <v>180</v>
      </c>
      <c r="M209" s="25"/>
      <c r="N209" s="50">
        <v>4</v>
      </c>
      <c r="O209" s="26"/>
      <c r="P209" s="81">
        <v>5989.98</v>
      </c>
      <c r="Q209" s="28">
        <f t="shared" si="18"/>
        <v>23959.919999999998</v>
      </c>
      <c r="R209" s="28"/>
      <c r="S209" s="35">
        <v>19560</v>
      </c>
      <c r="T209" s="231"/>
      <c r="U209" s="135">
        <f t="shared" si="19"/>
        <v>4399.9199999999983</v>
      </c>
      <c r="V209" s="28" t="s">
        <v>587</v>
      </c>
      <c r="W209" s="30" t="s">
        <v>588</v>
      </c>
      <c r="X209" s="22"/>
      <c r="Y209" s="29"/>
      <c r="Z209" s="36">
        <v>43153</v>
      </c>
      <c r="AA209" s="173"/>
      <c r="AB209" s="30">
        <v>43189</v>
      </c>
      <c r="AC209" s="30">
        <v>43167</v>
      </c>
      <c r="AD209" s="29"/>
      <c r="AE209" s="29"/>
      <c r="AF209" s="86" t="s">
        <v>490</v>
      </c>
      <c r="AG209" s="213" t="s">
        <v>98</v>
      </c>
      <c r="AH209" s="518">
        <v>19560</v>
      </c>
      <c r="AI209" s="144"/>
      <c r="AJ209" s="143"/>
      <c r="AK209" s="143"/>
      <c r="AL209" s="143"/>
      <c r="AM209" s="143"/>
      <c r="AN209" s="143"/>
      <c r="AO209" s="143"/>
      <c r="AP209" s="143"/>
      <c r="AQ209" s="143"/>
      <c r="AR209" s="143"/>
    </row>
    <row r="210" spans="1:44" ht="25.5" customHeight="1" x14ac:dyDescent="0.25">
      <c r="A210" s="92"/>
      <c r="B210" s="352">
        <v>2</v>
      </c>
      <c r="C210" s="80">
        <v>5</v>
      </c>
      <c r="D210" s="382" t="s">
        <v>86</v>
      </c>
      <c r="E210" s="65"/>
      <c r="F210" s="23"/>
      <c r="G210" s="42" t="s">
        <v>593</v>
      </c>
      <c r="H210" s="42" t="s">
        <v>116</v>
      </c>
      <c r="I210" s="42"/>
      <c r="J210" s="147"/>
      <c r="K210" s="22" t="s">
        <v>594</v>
      </c>
      <c r="L210" s="147" t="s">
        <v>180</v>
      </c>
      <c r="M210" s="25"/>
      <c r="N210" s="50">
        <v>4</v>
      </c>
      <c r="O210" s="26"/>
      <c r="P210" s="81">
        <v>5006.4399999999996</v>
      </c>
      <c r="Q210" s="28">
        <f t="shared" si="18"/>
        <v>20025.759999999998</v>
      </c>
      <c r="R210" s="28"/>
      <c r="S210" s="35">
        <v>16372</v>
      </c>
      <c r="T210" s="231"/>
      <c r="U210" s="135">
        <f t="shared" si="19"/>
        <v>3653.7599999999984</v>
      </c>
      <c r="V210" s="28" t="s">
        <v>587</v>
      </c>
      <c r="W210" s="30" t="s">
        <v>588</v>
      </c>
      <c r="X210" s="22"/>
      <c r="Y210" s="22"/>
      <c r="Z210" s="36">
        <v>43153</v>
      </c>
      <c r="AA210" s="173"/>
      <c r="AB210" s="30">
        <v>43189</v>
      </c>
      <c r="AC210" s="30">
        <v>43167</v>
      </c>
      <c r="AD210" s="29"/>
      <c r="AE210" s="29"/>
      <c r="AF210" s="86" t="s">
        <v>490</v>
      </c>
      <c r="AG210" s="213" t="s">
        <v>98</v>
      </c>
      <c r="AH210" s="518">
        <v>16372</v>
      </c>
      <c r="AI210" s="144"/>
      <c r="AJ210" s="143"/>
      <c r="AK210" s="143"/>
      <c r="AL210" s="143"/>
      <c r="AM210" s="143"/>
      <c r="AN210" s="143"/>
      <c r="AO210" s="143"/>
      <c r="AP210" s="143"/>
      <c r="AQ210" s="143"/>
      <c r="AR210" s="143"/>
    </row>
    <row r="211" spans="1:44" ht="25.5" customHeight="1" x14ac:dyDescent="0.25">
      <c r="A211" s="92"/>
      <c r="B211" s="352">
        <v>2</v>
      </c>
      <c r="C211" s="80">
        <v>5</v>
      </c>
      <c r="D211" s="382" t="s">
        <v>86</v>
      </c>
      <c r="E211" s="65"/>
      <c r="F211" s="23"/>
      <c r="G211" s="42" t="s">
        <v>595</v>
      </c>
      <c r="H211" s="42" t="s">
        <v>596</v>
      </c>
      <c r="I211" s="42"/>
      <c r="J211" s="147"/>
      <c r="K211" s="22" t="s">
        <v>597</v>
      </c>
      <c r="L211" s="147" t="s">
        <v>180</v>
      </c>
      <c r="M211" s="25"/>
      <c r="N211" s="50">
        <v>4</v>
      </c>
      <c r="O211" s="26"/>
      <c r="P211" s="81">
        <v>2293.2399999999998</v>
      </c>
      <c r="Q211" s="28">
        <f t="shared" si="18"/>
        <v>9172.9599999999991</v>
      </c>
      <c r="R211" s="28"/>
      <c r="S211" s="35">
        <v>8504</v>
      </c>
      <c r="T211" s="231"/>
      <c r="U211" s="135">
        <f t="shared" si="19"/>
        <v>668.95999999999913</v>
      </c>
      <c r="V211" s="28" t="s">
        <v>587</v>
      </c>
      <c r="W211" s="30" t="s">
        <v>588</v>
      </c>
      <c r="X211" s="22"/>
      <c r="Y211" s="22"/>
      <c r="Z211" s="36">
        <v>43153</v>
      </c>
      <c r="AA211" s="173"/>
      <c r="AB211" s="30">
        <v>43189</v>
      </c>
      <c r="AC211" s="30">
        <v>43167</v>
      </c>
      <c r="AD211" s="29"/>
      <c r="AE211" s="29"/>
      <c r="AF211" s="86" t="s">
        <v>490</v>
      </c>
      <c r="AG211" s="213" t="s">
        <v>98</v>
      </c>
      <c r="AH211" s="518">
        <v>8504</v>
      </c>
      <c r="AI211" s="144"/>
      <c r="AJ211" s="143"/>
      <c r="AK211" s="143"/>
      <c r="AL211" s="143"/>
      <c r="AM211" s="143"/>
      <c r="AN211" s="143"/>
      <c r="AO211" s="143"/>
      <c r="AP211" s="143"/>
      <c r="AQ211" s="143"/>
      <c r="AR211" s="143"/>
    </row>
    <row r="212" spans="1:44" s="160" customFormat="1" ht="25.5" customHeight="1" x14ac:dyDescent="0.25">
      <c r="A212" s="139"/>
      <c r="B212" s="354">
        <v>2</v>
      </c>
      <c r="C212" s="49">
        <v>5</v>
      </c>
      <c r="D212" s="382" t="s">
        <v>86</v>
      </c>
      <c r="E212" s="154"/>
      <c r="F212" s="23"/>
      <c r="G212" s="33" t="s">
        <v>598</v>
      </c>
      <c r="H212" s="33" t="s">
        <v>599</v>
      </c>
      <c r="I212" s="33"/>
      <c r="J212" s="147"/>
      <c r="K212" s="139" t="s">
        <v>600</v>
      </c>
      <c r="L212" s="147" t="s">
        <v>180</v>
      </c>
      <c r="M212" s="155"/>
      <c r="N212" s="52">
        <v>10</v>
      </c>
      <c r="O212" s="26"/>
      <c r="P212" s="51">
        <v>680.29</v>
      </c>
      <c r="Q212" s="140">
        <f t="shared" si="18"/>
        <v>6802.9</v>
      </c>
      <c r="R212" s="28"/>
      <c r="S212" s="157">
        <v>290</v>
      </c>
      <c r="T212" s="673"/>
      <c r="U212" s="158">
        <f t="shared" si="19"/>
        <v>6512.9</v>
      </c>
      <c r="V212" s="140" t="s">
        <v>587</v>
      </c>
      <c r="W212" s="156" t="s">
        <v>588</v>
      </c>
      <c r="X212" s="22"/>
      <c r="Y212" s="22"/>
      <c r="Z212" s="159">
        <v>43153</v>
      </c>
      <c r="AA212" s="173"/>
      <c r="AB212" s="156">
        <v>43189</v>
      </c>
      <c r="AC212" s="156">
        <v>43195</v>
      </c>
      <c r="AD212" s="156"/>
      <c r="AE212" s="156"/>
      <c r="AF212" s="86" t="s">
        <v>490</v>
      </c>
      <c r="AG212" s="213" t="s">
        <v>98</v>
      </c>
      <c r="AH212" s="518">
        <v>290</v>
      </c>
      <c r="AI212" s="302"/>
      <c r="AJ212" s="506"/>
      <c r="AK212" s="506"/>
      <c r="AL212" s="506"/>
      <c r="AM212" s="506"/>
      <c r="AN212" s="506"/>
      <c r="AO212" s="506"/>
      <c r="AP212" s="506"/>
      <c r="AQ212" s="506"/>
      <c r="AR212" s="506"/>
    </row>
    <row r="213" spans="1:44" s="160" customFormat="1" ht="12.75" customHeight="1" x14ac:dyDescent="0.25">
      <c r="A213" s="139"/>
      <c r="B213" s="354">
        <v>2</v>
      </c>
      <c r="C213" s="49">
        <v>5</v>
      </c>
      <c r="D213" s="382" t="s">
        <v>86</v>
      </c>
      <c r="E213" s="154"/>
      <c r="F213" s="23"/>
      <c r="G213" s="33" t="s">
        <v>601</v>
      </c>
      <c r="H213" s="33" t="s">
        <v>602</v>
      </c>
      <c r="I213" s="33"/>
      <c r="J213" s="147"/>
      <c r="K213" s="139" t="s">
        <v>603</v>
      </c>
      <c r="L213" s="147" t="s">
        <v>180</v>
      </c>
      <c r="M213" s="155"/>
      <c r="N213" s="52">
        <v>12</v>
      </c>
      <c r="O213" s="26"/>
      <c r="P213" s="51">
        <v>79.790000000000006</v>
      </c>
      <c r="Q213" s="140">
        <f t="shared" si="18"/>
        <v>957.48</v>
      </c>
      <c r="R213" s="28"/>
      <c r="S213" s="157">
        <v>804</v>
      </c>
      <c r="T213" s="673"/>
      <c r="U213" s="158">
        <f t="shared" si="19"/>
        <v>153.48000000000002</v>
      </c>
      <c r="V213" s="140" t="s">
        <v>587</v>
      </c>
      <c r="W213" s="156" t="s">
        <v>588</v>
      </c>
      <c r="X213" s="22"/>
      <c r="Y213" s="22"/>
      <c r="Z213" s="159">
        <v>43153</v>
      </c>
      <c r="AA213" s="173"/>
      <c r="AB213" s="156">
        <v>43189</v>
      </c>
      <c r="AC213" s="156">
        <v>43167</v>
      </c>
      <c r="AD213" s="156"/>
      <c r="AE213" s="156"/>
      <c r="AF213" s="86" t="s">
        <v>490</v>
      </c>
      <c r="AG213" s="213" t="s">
        <v>98</v>
      </c>
      <c r="AH213" s="518">
        <v>804</v>
      </c>
      <c r="AI213" s="302"/>
      <c r="AJ213" s="506"/>
      <c r="AK213" s="506"/>
      <c r="AL213" s="506"/>
      <c r="AM213" s="506"/>
      <c r="AN213" s="506"/>
      <c r="AO213" s="506"/>
      <c r="AP213" s="506"/>
      <c r="AQ213" s="506"/>
      <c r="AR213" s="506"/>
    </row>
    <row r="214" spans="1:44" s="160" customFormat="1" ht="12.75" customHeight="1" x14ac:dyDescent="0.25">
      <c r="A214" s="139"/>
      <c r="B214" s="354">
        <v>2</v>
      </c>
      <c r="C214" s="49">
        <v>5</v>
      </c>
      <c r="D214" s="382" t="s">
        <v>86</v>
      </c>
      <c r="E214" s="154"/>
      <c r="F214" s="23"/>
      <c r="G214" s="33" t="s">
        <v>604</v>
      </c>
      <c r="H214" s="33" t="s">
        <v>605</v>
      </c>
      <c r="I214" s="33"/>
      <c r="J214" s="147"/>
      <c r="K214" s="139" t="s">
        <v>606</v>
      </c>
      <c r="L214" s="147" t="s">
        <v>180</v>
      </c>
      <c r="M214" s="155"/>
      <c r="N214" s="52">
        <v>2</v>
      </c>
      <c r="O214" s="26"/>
      <c r="P214" s="51">
        <v>1000.48</v>
      </c>
      <c r="Q214" s="140">
        <f t="shared" si="18"/>
        <v>2000.96</v>
      </c>
      <c r="R214" s="28"/>
      <c r="S214" s="157">
        <v>1314</v>
      </c>
      <c r="T214" s="673"/>
      <c r="U214" s="158">
        <f t="shared" si="19"/>
        <v>686.96</v>
      </c>
      <c r="V214" s="140" t="s">
        <v>587</v>
      </c>
      <c r="W214" s="156" t="s">
        <v>588</v>
      </c>
      <c r="X214" s="22"/>
      <c r="Y214" s="22"/>
      <c r="Z214" s="159">
        <v>43153</v>
      </c>
      <c r="AA214" s="173"/>
      <c r="AB214" s="156">
        <v>43189</v>
      </c>
      <c r="AC214" s="156">
        <v>43195</v>
      </c>
      <c r="AD214" s="156"/>
      <c r="AE214" s="156"/>
      <c r="AF214" s="86" t="s">
        <v>490</v>
      </c>
      <c r="AG214" s="213" t="s">
        <v>98</v>
      </c>
      <c r="AH214" s="518">
        <v>1314</v>
      </c>
      <c r="AI214" s="302"/>
      <c r="AJ214" s="506"/>
      <c r="AK214" s="506"/>
      <c r="AL214" s="506"/>
      <c r="AM214" s="506"/>
      <c r="AN214" s="506"/>
      <c r="AO214" s="506"/>
      <c r="AP214" s="506"/>
      <c r="AQ214" s="506"/>
      <c r="AR214" s="506"/>
    </row>
    <row r="215" spans="1:44" s="160" customFormat="1" ht="27" customHeight="1" x14ac:dyDescent="0.25">
      <c r="A215" s="139"/>
      <c r="B215" s="354">
        <v>2</v>
      </c>
      <c r="C215" s="49">
        <v>5</v>
      </c>
      <c r="D215" s="382" t="s">
        <v>86</v>
      </c>
      <c r="E215" s="154"/>
      <c r="F215" s="23"/>
      <c r="G215" s="33" t="s">
        <v>607</v>
      </c>
      <c r="H215" s="33" t="s">
        <v>608</v>
      </c>
      <c r="I215" s="33"/>
      <c r="J215" s="147"/>
      <c r="K215" s="139" t="s">
        <v>609</v>
      </c>
      <c r="L215" s="147" t="s">
        <v>180</v>
      </c>
      <c r="M215" s="155"/>
      <c r="N215" s="52">
        <v>48</v>
      </c>
      <c r="O215" s="26"/>
      <c r="P215" s="51">
        <v>5.98</v>
      </c>
      <c r="Q215" s="140">
        <f t="shared" si="18"/>
        <v>287.04000000000002</v>
      </c>
      <c r="R215" s="28"/>
      <c r="S215" s="157">
        <v>192</v>
      </c>
      <c r="T215" s="673"/>
      <c r="U215" s="158">
        <f t="shared" si="19"/>
        <v>95.04000000000002</v>
      </c>
      <c r="V215" s="140" t="s">
        <v>587</v>
      </c>
      <c r="W215" s="156" t="s">
        <v>588</v>
      </c>
      <c r="X215" s="22"/>
      <c r="Y215" s="22"/>
      <c r="Z215" s="159">
        <v>43153</v>
      </c>
      <c r="AA215" s="173"/>
      <c r="AB215" s="156">
        <v>43189</v>
      </c>
      <c r="AC215" s="156">
        <v>43167</v>
      </c>
      <c r="AD215" s="156"/>
      <c r="AE215" s="156"/>
      <c r="AF215" s="86" t="s">
        <v>490</v>
      </c>
      <c r="AG215" s="213" t="s">
        <v>98</v>
      </c>
      <c r="AH215" s="518">
        <v>192</v>
      </c>
      <c r="AJ215" s="506"/>
      <c r="AK215" s="506"/>
      <c r="AL215" s="506"/>
      <c r="AM215" s="506"/>
      <c r="AN215" s="506"/>
      <c r="AO215" s="506"/>
      <c r="AP215" s="506"/>
      <c r="AQ215" s="506"/>
      <c r="AR215" s="506"/>
    </row>
    <row r="216" spans="1:44" s="160" customFormat="1" ht="25.5" customHeight="1" x14ac:dyDescent="0.25">
      <c r="A216" s="139"/>
      <c r="B216" s="354">
        <v>2</v>
      </c>
      <c r="C216" s="49">
        <v>5</v>
      </c>
      <c r="D216" s="382" t="s">
        <v>86</v>
      </c>
      <c r="E216" s="154"/>
      <c r="F216" s="23"/>
      <c r="G216" s="33" t="s">
        <v>610</v>
      </c>
      <c r="H216" s="33" t="s">
        <v>611</v>
      </c>
      <c r="I216" s="33"/>
      <c r="J216" s="86"/>
      <c r="K216" s="139" t="s">
        <v>612</v>
      </c>
      <c r="L216" s="147" t="s">
        <v>180</v>
      </c>
      <c r="M216" s="155"/>
      <c r="N216" s="52">
        <v>20</v>
      </c>
      <c r="O216" s="139"/>
      <c r="P216" s="51">
        <v>883.78</v>
      </c>
      <c r="Q216" s="140">
        <f t="shared" si="18"/>
        <v>17675.599999999999</v>
      </c>
      <c r="R216" s="44"/>
      <c r="S216" s="157">
        <v>14120</v>
      </c>
      <c r="T216" s="673"/>
      <c r="U216" s="158">
        <f t="shared" si="19"/>
        <v>3555.5999999999985</v>
      </c>
      <c r="V216" s="140" t="s">
        <v>587</v>
      </c>
      <c r="W216" s="156" t="s">
        <v>588</v>
      </c>
      <c r="X216" s="22"/>
      <c r="Y216" s="22"/>
      <c r="Z216" s="159">
        <v>43153</v>
      </c>
      <c r="AA216" s="173"/>
      <c r="AB216" s="156">
        <v>43189</v>
      </c>
      <c r="AC216" s="156">
        <v>43167</v>
      </c>
      <c r="AD216" s="156"/>
      <c r="AE216" s="156"/>
      <c r="AF216" s="86" t="s">
        <v>490</v>
      </c>
      <c r="AG216" s="213" t="s">
        <v>98</v>
      </c>
      <c r="AH216" s="518">
        <v>14120</v>
      </c>
      <c r="AI216" s="302"/>
      <c r="AJ216" s="506"/>
      <c r="AK216" s="506"/>
      <c r="AL216" s="506"/>
      <c r="AM216" s="506"/>
      <c r="AN216" s="506"/>
      <c r="AO216" s="506"/>
      <c r="AP216" s="506"/>
      <c r="AQ216" s="506"/>
      <c r="AR216" s="506"/>
    </row>
    <row r="217" spans="1:44" s="160" customFormat="1" ht="14.4" customHeight="1" x14ac:dyDescent="0.25">
      <c r="A217" s="139"/>
      <c r="B217" s="354">
        <v>2</v>
      </c>
      <c r="C217" s="49" t="s">
        <v>613</v>
      </c>
      <c r="D217" s="382" t="s">
        <v>86</v>
      </c>
      <c r="E217" s="154"/>
      <c r="F217" s="23"/>
      <c r="G217" s="33" t="s">
        <v>614</v>
      </c>
      <c r="H217" s="33" t="s">
        <v>155</v>
      </c>
      <c r="I217" s="33"/>
      <c r="J217" s="147"/>
      <c r="K217" s="139" t="s">
        <v>615</v>
      </c>
      <c r="L217" s="147" t="s">
        <v>180</v>
      </c>
      <c r="M217" s="155"/>
      <c r="N217" s="52">
        <v>2</v>
      </c>
      <c r="O217" s="26"/>
      <c r="P217" s="51">
        <v>697.29</v>
      </c>
      <c r="Q217" s="140">
        <f t="shared" si="18"/>
        <v>1394.58</v>
      </c>
      <c r="R217" s="28"/>
      <c r="S217" s="157">
        <v>1342</v>
      </c>
      <c r="T217" s="673"/>
      <c r="U217" s="158">
        <f t="shared" si="19"/>
        <v>52.579999999999927</v>
      </c>
      <c r="V217" s="140" t="s">
        <v>587</v>
      </c>
      <c r="W217" s="156" t="s">
        <v>588</v>
      </c>
      <c r="X217" s="22"/>
      <c r="Y217" s="22"/>
      <c r="Z217" s="159">
        <v>43153</v>
      </c>
      <c r="AA217" s="173"/>
      <c r="AB217" s="156">
        <v>43189</v>
      </c>
      <c r="AC217" s="156">
        <v>43195</v>
      </c>
      <c r="AD217" s="156"/>
      <c r="AE217" s="156"/>
      <c r="AF217" s="86" t="s">
        <v>490</v>
      </c>
      <c r="AG217" s="213" t="s">
        <v>98</v>
      </c>
      <c r="AH217" s="518">
        <v>1342</v>
      </c>
      <c r="AI217" s="302"/>
      <c r="AJ217" s="506"/>
      <c r="AK217" s="506"/>
      <c r="AL217" s="506"/>
      <c r="AM217" s="506"/>
      <c r="AN217" s="506"/>
      <c r="AO217" s="506"/>
      <c r="AP217" s="506"/>
      <c r="AQ217" s="506"/>
      <c r="AR217" s="506"/>
    </row>
    <row r="218" spans="1:44" ht="25.5" customHeight="1" x14ac:dyDescent="0.25">
      <c r="A218" s="48"/>
      <c r="B218" s="352">
        <v>2</v>
      </c>
      <c r="C218" s="80">
        <v>5</v>
      </c>
      <c r="D218" s="382" t="s">
        <v>86</v>
      </c>
      <c r="E218" s="65"/>
      <c r="F218" s="23"/>
      <c r="G218" s="42" t="s">
        <v>616</v>
      </c>
      <c r="H218" s="42" t="s">
        <v>608</v>
      </c>
      <c r="I218" s="42"/>
      <c r="J218" s="147"/>
      <c r="K218" s="22" t="s">
        <v>617</v>
      </c>
      <c r="L218" s="147" t="s">
        <v>180</v>
      </c>
      <c r="M218" s="25"/>
      <c r="N218" s="50">
        <v>192</v>
      </c>
      <c r="O218" s="26"/>
      <c r="P218" s="81">
        <v>5.98</v>
      </c>
      <c r="Q218" s="28">
        <f t="shared" si="18"/>
        <v>1148.1600000000001</v>
      </c>
      <c r="R218" s="28"/>
      <c r="S218" s="35">
        <v>768</v>
      </c>
      <c r="T218" s="231"/>
      <c r="U218" s="135">
        <f t="shared" si="19"/>
        <v>380.16000000000008</v>
      </c>
      <c r="V218" s="46" t="s">
        <v>587</v>
      </c>
      <c r="W218" s="30" t="s">
        <v>588</v>
      </c>
      <c r="X218" s="22"/>
      <c r="Y218" s="22"/>
      <c r="Z218" s="36">
        <v>43153</v>
      </c>
      <c r="AA218" s="173"/>
      <c r="AB218" s="30">
        <v>43189</v>
      </c>
      <c r="AC218" s="30">
        <v>43167</v>
      </c>
      <c r="AD218" s="29"/>
      <c r="AE218" s="29"/>
      <c r="AF218" s="86" t="s">
        <v>490</v>
      </c>
      <c r="AG218" s="213" t="s">
        <v>98</v>
      </c>
      <c r="AH218" s="517">
        <v>768</v>
      </c>
      <c r="AI218" s="144"/>
      <c r="AJ218" s="143"/>
      <c r="AK218" s="143"/>
      <c r="AL218" s="143"/>
      <c r="AM218" s="143"/>
      <c r="AN218" s="143"/>
      <c r="AO218" s="143"/>
      <c r="AP218" s="143"/>
      <c r="AQ218" s="143"/>
      <c r="AR218" s="143"/>
    </row>
    <row r="219" spans="1:44" ht="25.5" customHeight="1" x14ac:dyDescent="0.25">
      <c r="A219" s="48"/>
      <c r="B219" s="352">
        <v>2</v>
      </c>
      <c r="C219" s="80">
        <v>5</v>
      </c>
      <c r="D219" s="382" t="s">
        <v>86</v>
      </c>
      <c r="E219" s="65"/>
      <c r="F219" s="23"/>
      <c r="G219" s="42" t="s">
        <v>618</v>
      </c>
      <c r="H219" s="42" t="s">
        <v>608</v>
      </c>
      <c r="I219" s="42"/>
      <c r="J219" s="147"/>
      <c r="K219" s="22" t="s">
        <v>619</v>
      </c>
      <c r="L219" s="147" t="s">
        <v>180</v>
      </c>
      <c r="M219" s="25"/>
      <c r="N219" s="50">
        <v>48</v>
      </c>
      <c r="O219" s="26"/>
      <c r="P219" s="81">
        <v>7.97</v>
      </c>
      <c r="Q219" s="28">
        <f t="shared" si="18"/>
        <v>382.56</v>
      </c>
      <c r="R219" s="28"/>
      <c r="S219" s="35">
        <v>240</v>
      </c>
      <c r="T219" s="231"/>
      <c r="U219" s="135">
        <f t="shared" si="19"/>
        <v>142.56</v>
      </c>
      <c r="V219" s="46" t="s">
        <v>587</v>
      </c>
      <c r="W219" s="30" t="s">
        <v>588</v>
      </c>
      <c r="X219" s="22"/>
      <c r="Y219" s="22"/>
      <c r="Z219" s="36">
        <v>43153</v>
      </c>
      <c r="AA219" s="173"/>
      <c r="AB219" s="30">
        <v>43189</v>
      </c>
      <c r="AC219" s="30">
        <v>43167</v>
      </c>
      <c r="AD219" s="29"/>
      <c r="AE219" s="29"/>
      <c r="AF219" s="86" t="s">
        <v>490</v>
      </c>
      <c r="AG219" s="213" t="s">
        <v>98</v>
      </c>
      <c r="AH219" s="517">
        <v>240</v>
      </c>
      <c r="AI219" s="144"/>
      <c r="AJ219" s="143"/>
      <c r="AK219" s="143"/>
      <c r="AL219" s="143"/>
      <c r="AM219" s="143"/>
      <c r="AN219" s="143"/>
      <c r="AO219" s="143"/>
      <c r="AP219" s="143"/>
      <c r="AQ219" s="143"/>
      <c r="AR219" s="143"/>
    </row>
    <row r="220" spans="1:44" ht="25.5" customHeight="1" x14ac:dyDescent="0.25">
      <c r="A220" s="152"/>
      <c r="B220" s="352">
        <v>2</v>
      </c>
      <c r="C220" s="80">
        <v>5</v>
      </c>
      <c r="D220" s="382" t="s">
        <v>86</v>
      </c>
      <c r="E220" s="65"/>
      <c r="F220" s="23"/>
      <c r="G220" s="42" t="s">
        <v>620</v>
      </c>
      <c r="H220" s="42" t="s">
        <v>88</v>
      </c>
      <c r="I220" s="42"/>
      <c r="J220" s="147"/>
      <c r="K220" s="21" t="s">
        <v>621</v>
      </c>
      <c r="L220" s="147" t="s">
        <v>180</v>
      </c>
      <c r="M220" s="25"/>
      <c r="N220" s="50">
        <v>10</v>
      </c>
      <c r="O220" s="26"/>
      <c r="P220" s="81">
        <v>299.24</v>
      </c>
      <c r="Q220" s="28">
        <f t="shared" si="18"/>
        <v>2992.4</v>
      </c>
      <c r="R220" s="28"/>
      <c r="S220" s="35">
        <v>2700</v>
      </c>
      <c r="T220" s="231"/>
      <c r="U220" s="135">
        <f t="shared" si="19"/>
        <v>292.40000000000009</v>
      </c>
      <c r="V220" s="28" t="s">
        <v>587</v>
      </c>
      <c r="W220" s="30" t="s">
        <v>588</v>
      </c>
      <c r="X220" s="22"/>
      <c r="Y220" s="22"/>
      <c r="Z220" s="36">
        <v>43153</v>
      </c>
      <c r="AA220" s="173"/>
      <c r="AB220" s="30">
        <v>43189</v>
      </c>
      <c r="AC220" s="30">
        <v>43160</v>
      </c>
      <c r="AD220" s="29"/>
      <c r="AE220" s="29"/>
      <c r="AF220" s="86" t="s">
        <v>490</v>
      </c>
      <c r="AG220" s="213" t="s">
        <v>98</v>
      </c>
      <c r="AH220" s="517">
        <v>2700</v>
      </c>
      <c r="AI220" s="144"/>
      <c r="AJ220" s="143"/>
      <c r="AK220" s="143"/>
      <c r="AL220" s="143"/>
      <c r="AM220" s="143"/>
      <c r="AN220" s="143"/>
      <c r="AO220" s="143"/>
      <c r="AP220" s="143"/>
      <c r="AQ220" s="143"/>
      <c r="AR220" s="143"/>
    </row>
    <row r="221" spans="1:44" ht="25.5" customHeight="1" x14ac:dyDescent="0.25">
      <c r="A221" s="152"/>
      <c r="B221" s="352">
        <v>2</v>
      </c>
      <c r="C221" s="80">
        <v>5</v>
      </c>
      <c r="D221" s="382" t="s">
        <v>86</v>
      </c>
      <c r="E221" s="65"/>
      <c r="F221" s="23"/>
      <c r="G221" s="42" t="s">
        <v>622</v>
      </c>
      <c r="H221" s="42" t="s">
        <v>116</v>
      </c>
      <c r="I221" s="42"/>
      <c r="J221" s="147"/>
      <c r="K221" s="22" t="s">
        <v>623</v>
      </c>
      <c r="L221" s="147" t="s">
        <v>180</v>
      </c>
      <c r="M221" s="25"/>
      <c r="N221" s="50">
        <v>12</v>
      </c>
      <c r="O221" s="26"/>
      <c r="P221" s="81">
        <v>5047.34</v>
      </c>
      <c r="Q221" s="28">
        <f t="shared" si="18"/>
        <v>60568.08</v>
      </c>
      <c r="R221" s="28"/>
      <c r="S221" s="35">
        <v>50292</v>
      </c>
      <c r="T221" s="231"/>
      <c r="U221" s="135">
        <f t="shared" si="19"/>
        <v>10276.080000000002</v>
      </c>
      <c r="V221" s="28" t="s">
        <v>587</v>
      </c>
      <c r="W221" s="30" t="s">
        <v>588</v>
      </c>
      <c r="X221" s="22"/>
      <c r="Y221" s="22"/>
      <c r="Z221" s="36">
        <v>43153</v>
      </c>
      <c r="AA221" s="173"/>
      <c r="AB221" s="30">
        <v>43189</v>
      </c>
      <c r="AC221" s="30">
        <v>43167</v>
      </c>
      <c r="AD221" s="29"/>
      <c r="AE221" s="29"/>
      <c r="AF221" s="86" t="s">
        <v>490</v>
      </c>
      <c r="AG221" s="213" t="s">
        <v>98</v>
      </c>
      <c r="AH221" s="517">
        <v>50292</v>
      </c>
      <c r="AI221" s="144"/>
      <c r="AJ221" s="143"/>
      <c r="AK221" s="143"/>
      <c r="AL221" s="143"/>
      <c r="AM221" s="143"/>
      <c r="AN221" s="143"/>
      <c r="AO221" s="143"/>
      <c r="AP221" s="143"/>
      <c r="AQ221" s="143"/>
      <c r="AR221" s="143"/>
    </row>
    <row r="222" spans="1:44" ht="25.5" customHeight="1" x14ac:dyDescent="0.25">
      <c r="A222" s="22"/>
      <c r="B222" s="352">
        <v>2</v>
      </c>
      <c r="C222" s="80">
        <v>5</v>
      </c>
      <c r="D222" s="382" t="s">
        <v>86</v>
      </c>
      <c r="E222" s="65"/>
      <c r="F222" s="23"/>
      <c r="G222" s="42" t="s">
        <v>624</v>
      </c>
      <c r="H222" s="42" t="s">
        <v>116</v>
      </c>
      <c r="I222" s="42"/>
      <c r="J222" s="147"/>
      <c r="K222" s="22" t="s">
        <v>625</v>
      </c>
      <c r="L222" s="147" t="s">
        <v>180</v>
      </c>
      <c r="M222" s="25"/>
      <c r="N222" s="50">
        <v>8</v>
      </c>
      <c r="O222" s="26"/>
      <c r="P222" s="81">
        <v>478.79</v>
      </c>
      <c r="Q222" s="28">
        <f t="shared" si="18"/>
        <v>3830.32</v>
      </c>
      <c r="R222" s="28"/>
      <c r="S222" s="35">
        <v>3048</v>
      </c>
      <c r="T222" s="231"/>
      <c r="U222" s="135">
        <f t="shared" si="19"/>
        <v>782.32000000000016</v>
      </c>
      <c r="V222" s="28" t="s">
        <v>587</v>
      </c>
      <c r="W222" s="30" t="s">
        <v>588</v>
      </c>
      <c r="X222" s="22"/>
      <c r="Y222" s="22"/>
      <c r="Z222" s="36">
        <v>43153</v>
      </c>
      <c r="AA222" s="173"/>
      <c r="AB222" s="30">
        <v>43189</v>
      </c>
      <c r="AC222" s="30">
        <v>43167</v>
      </c>
      <c r="AD222" s="29"/>
      <c r="AE222" s="29"/>
      <c r="AF222" s="86" t="s">
        <v>490</v>
      </c>
      <c r="AG222" s="213" t="s">
        <v>98</v>
      </c>
      <c r="AH222" s="517">
        <v>3048</v>
      </c>
      <c r="AI222" s="144"/>
      <c r="AJ222" s="143"/>
      <c r="AK222" s="143"/>
      <c r="AL222" s="143"/>
      <c r="AM222" s="143"/>
      <c r="AN222" s="143"/>
      <c r="AO222" s="143"/>
      <c r="AP222" s="143"/>
      <c r="AQ222" s="143"/>
      <c r="AR222" s="143"/>
    </row>
    <row r="223" spans="1:44" ht="25.5" customHeight="1" x14ac:dyDescent="0.25">
      <c r="A223" s="22"/>
      <c r="B223" s="352">
        <v>2</v>
      </c>
      <c r="C223" s="80">
        <v>5</v>
      </c>
      <c r="D223" s="382" t="s">
        <v>86</v>
      </c>
      <c r="E223" s="65"/>
      <c r="F223" s="23"/>
      <c r="G223" s="42" t="s">
        <v>626</v>
      </c>
      <c r="H223" s="42" t="s">
        <v>116</v>
      </c>
      <c r="I223" s="42"/>
      <c r="J223" s="147"/>
      <c r="K223" s="22" t="s">
        <v>627</v>
      </c>
      <c r="L223" s="147" t="s">
        <v>180</v>
      </c>
      <c r="M223" s="25"/>
      <c r="N223" s="50">
        <v>13</v>
      </c>
      <c r="O223" s="26"/>
      <c r="P223" s="81">
        <v>14363.99</v>
      </c>
      <c r="Q223" s="28">
        <f t="shared" si="18"/>
        <v>186731.87</v>
      </c>
      <c r="R223" s="28"/>
      <c r="S223" s="35">
        <v>180661</v>
      </c>
      <c r="T223" s="231"/>
      <c r="U223" s="135">
        <f t="shared" si="19"/>
        <v>6070.8699999999953</v>
      </c>
      <c r="V223" s="28" t="s">
        <v>587</v>
      </c>
      <c r="W223" s="30" t="s">
        <v>588</v>
      </c>
      <c r="X223" s="22"/>
      <c r="Y223" s="22"/>
      <c r="Z223" s="36">
        <v>43153</v>
      </c>
      <c r="AA223" s="173"/>
      <c r="AB223" s="30">
        <v>43189</v>
      </c>
      <c r="AC223" s="30">
        <v>43167</v>
      </c>
      <c r="AD223" s="29"/>
      <c r="AE223" s="29"/>
      <c r="AF223" s="86" t="s">
        <v>490</v>
      </c>
      <c r="AG223" s="213" t="s">
        <v>98</v>
      </c>
      <c r="AH223" s="517">
        <v>180661</v>
      </c>
      <c r="AI223" s="144"/>
      <c r="AJ223" s="143"/>
      <c r="AK223" s="143"/>
      <c r="AL223" s="143"/>
      <c r="AM223" s="143"/>
      <c r="AN223" s="143"/>
      <c r="AO223" s="143"/>
      <c r="AP223" s="143"/>
      <c r="AQ223" s="143"/>
      <c r="AR223" s="143"/>
    </row>
    <row r="224" spans="1:44" ht="25.5" customHeight="1" x14ac:dyDescent="0.25">
      <c r="A224" s="22"/>
      <c r="B224" s="352">
        <v>2</v>
      </c>
      <c r="C224" s="80">
        <v>5</v>
      </c>
      <c r="D224" s="382" t="s">
        <v>86</v>
      </c>
      <c r="E224" s="65"/>
      <c r="F224" s="23"/>
      <c r="G224" s="42" t="s">
        <v>628</v>
      </c>
      <c r="H224" s="42" t="s">
        <v>629</v>
      </c>
      <c r="I224" s="42"/>
      <c r="J224" s="147"/>
      <c r="K224" s="22" t="s">
        <v>630</v>
      </c>
      <c r="L224" s="147" t="s">
        <v>180</v>
      </c>
      <c r="M224" s="25"/>
      <c r="N224" s="50">
        <v>1</v>
      </c>
      <c r="O224" s="26"/>
      <c r="P224" s="81">
        <v>5697.14</v>
      </c>
      <c r="Q224" s="28">
        <f t="shared" si="18"/>
        <v>5697.14</v>
      </c>
      <c r="R224" s="28"/>
      <c r="S224" s="35">
        <v>4848</v>
      </c>
      <c r="T224" s="231"/>
      <c r="U224" s="135">
        <f t="shared" si="19"/>
        <v>849.14000000000033</v>
      </c>
      <c r="V224" s="28" t="s">
        <v>587</v>
      </c>
      <c r="W224" s="30" t="s">
        <v>588</v>
      </c>
      <c r="X224" s="22"/>
      <c r="Y224" s="22"/>
      <c r="Z224" s="36">
        <v>43153</v>
      </c>
      <c r="AA224" s="173"/>
      <c r="AB224" s="30">
        <v>43189</v>
      </c>
      <c r="AC224" s="30">
        <v>43167</v>
      </c>
      <c r="AD224" s="29"/>
      <c r="AE224" s="29"/>
      <c r="AF224" s="86" t="s">
        <v>490</v>
      </c>
      <c r="AG224" s="213" t="s">
        <v>98</v>
      </c>
      <c r="AH224" s="517">
        <v>4848</v>
      </c>
      <c r="AI224" s="144"/>
      <c r="AJ224" s="143"/>
      <c r="AK224" s="143"/>
      <c r="AL224" s="143"/>
      <c r="AM224" s="143"/>
      <c r="AN224" s="143"/>
      <c r="AO224" s="143"/>
      <c r="AP224" s="143"/>
      <c r="AQ224" s="143"/>
      <c r="AR224" s="143"/>
    </row>
    <row r="225" spans="1:44" ht="25.5" customHeight="1" x14ac:dyDescent="0.25">
      <c r="A225" s="22"/>
      <c r="B225" s="352">
        <v>2</v>
      </c>
      <c r="C225" s="80">
        <v>5</v>
      </c>
      <c r="D225" s="382" t="s">
        <v>86</v>
      </c>
      <c r="E225" s="65"/>
      <c r="F225" s="23"/>
      <c r="G225" s="42" t="s">
        <v>631</v>
      </c>
      <c r="H225" s="42" t="s">
        <v>629</v>
      </c>
      <c r="I225" s="42"/>
      <c r="J225" s="147"/>
      <c r="K225" s="22" t="s">
        <v>632</v>
      </c>
      <c r="L225" s="147" t="s">
        <v>180</v>
      </c>
      <c r="M225" s="25"/>
      <c r="N225" s="50">
        <v>1</v>
      </c>
      <c r="O225" s="26"/>
      <c r="P225" s="81">
        <v>322.99</v>
      </c>
      <c r="Q225" s="28">
        <f t="shared" si="18"/>
        <v>322.99</v>
      </c>
      <c r="R225" s="28"/>
      <c r="S225" s="35">
        <v>283</v>
      </c>
      <c r="T225" s="231"/>
      <c r="U225" s="135">
        <f t="shared" si="19"/>
        <v>39.990000000000009</v>
      </c>
      <c r="V225" s="28" t="s">
        <v>587</v>
      </c>
      <c r="W225" s="30" t="s">
        <v>588</v>
      </c>
      <c r="X225" s="22"/>
      <c r="Y225" s="22"/>
      <c r="Z225" s="36">
        <v>43153</v>
      </c>
      <c r="AA225" s="173"/>
      <c r="AB225" s="30">
        <v>43189</v>
      </c>
      <c r="AC225" s="30">
        <v>43167</v>
      </c>
      <c r="AD225" s="29"/>
      <c r="AE225" s="29"/>
      <c r="AF225" s="86" t="s">
        <v>490</v>
      </c>
      <c r="AG225" s="213" t="s">
        <v>98</v>
      </c>
      <c r="AH225" s="516">
        <v>283</v>
      </c>
      <c r="AI225" s="144"/>
      <c r="AJ225" s="143"/>
      <c r="AK225" s="143"/>
      <c r="AL225" s="143"/>
      <c r="AM225" s="143"/>
      <c r="AN225" s="143"/>
      <c r="AO225" s="143"/>
      <c r="AP225" s="143"/>
      <c r="AQ225" s="143"/>
      <c r="AR225" s="143"/>
    </row>
    <row r="226" spans="1:44" ht="25.5" customHeight="1" x14ac:dyDescent="0.25">
      <c r="A226" s="22"/>
      <c r="B226" s="352">
        <v>2</v>
      </c>
      <c r="C226" s="80">
        <v>5</v>
      </c>
      <c r="D226" s="382" t="s">
        <v>86</v>
      </c>
      <c r="E226" s="65"/>
      <c r="F226" s="23"/>
      <c r="G226" s="42" t="s">
        <v>633</v>
      </c>
      <c r="H226" s="42"/>
      <c r="I226" s="42"/>
      <c r="J226" s="147"/>
      <c r="K226" s="22" t="s">
        <v>634</v>
      </c>
      <c r="L226" s="147" t="s">
        <v>180</v>
      </c>
      <c r="M226" s="25"/>
      <c r="N226" s="50">
        <v>13</v>
      </c>
      <c r="O226" s="26"/>
      <c r="P226" s="153">
        <v>2348.39</v>
      </c>
      <c r="Q226" s="28">
        <f t="shared" si="18"/>
        <v>30529.07</v>
      </c>
      <c r="R226" s="28"/>
      <c r="S226" s="35">
        <v>26117</v>
      </c>
      <c r="T226" s="231"/>
      <c r="U226" s="135">
        <f t="shared" si="19"/>
        <v>4412.07</v>
      </c>
      <c r="V226" s="28" t="s">
        <v>587</v>
      </c>
      <c r="W226" s="30" t="s">
        <v>588</v>
      </c>
      <c r="X226" s="22"/>
      <c r="Y226" s="22"/>
      <c r="Z226" s="36">
        <v>43153</v>
      </c>
      <c r="AA226" s="173"/>
      <c r="AB226" s="30">
        <v>43189</v>
      </c>
      <c r="AC226" s="30">
        <v>43167</v>
      </c>
      <c r="AD226" s="29"/>
      <c r="AE226" s="29"/>
      <c r="AF226" s="86" t="s">
        <v>490</v>
      </c>
      <c r="AG226" s="213" t="s">
        <v>98</v>
      </c>
      <c r="AH226" s="517">
        <v>26117</v>
      </c>
      <c r="AI226" s="144"/>
      <c r="AJ226" s="143"/>
      <c r="AK226" s="143"/>
      <c r="AL226" s="143"/>
      <c r="AM226" s="143"/>
      <c r="AN226" s="143"/>
      <c r="AO226" s="143"/>
      <c r="AP226" s="143"/>
      <c r="AQ226" s="143"/>
      <c r="AR226" s="143"/>
    </row>
    <row r="227" spans="1:44" ht="25.5" customHeight="1" x14ac:dyDescent="0.25">
      <c r="A227" s="48"/>
      <c r="B227" s="352">
        <v>2</v>
      </c>
      <c r="C227" s="80">
        <v>5</v>
      </c>
      <c r="D227" s="382" t="s">
        <v>86</v>
      </c>
      <c r="E227" s="65"/>
      <c r="F227" s="23"/>
      <c r="G227" s="42" t="s">
        <v>635</v>
      </c>
      <c r="H227" s="42" t="s">
        <v>116</v>
      </c>
      <c r="I227" s="42"/>
      <c r="J227" s="147"/>
      <c r="K227" s="22" t="s">
        <v>636</v>
      </c>
      <c r="L227" s="147" t="s">
        <v>180</v>
      </c>
      <c r="M227" s="25"/>
      <c r="N227" s="50">
        <v>3</v>
      </c>
      <c r="O227" s="26"/>
      <c r="P227" s="81">
        <v>2416.9299999999998</v>
      </c>
      <c r="Q227" s="28">
        <f t="shared" si="18"/>
        <v>7250.7899999999991</v>
      </c>
      <c r="R227" s="28"/>
      <c r="S227" s="35">
        <v>756</v>
      </c>
      <c r="T227" s="231"/>
      <c r="U227" s="135">
        <f t="shared" si="19"/>
        <v>6494.7899999999991</v>
      </c>
      <c r="V227" s="28" t="s">
        <v>587</v>
      </c>
      <c r="W227" s="30" t="s">
        <v>588</v>
      </c>
      <c r="X227" s="22"/>
      <c r="Y227" s="22"/>
      <c r="Z227" s="36">
        <v>43153</v>
      </c>
      <c r="AA227" s="173"/>
      <c r="AB227" s="30">
        <v>43189</v>
      </c>
      <c r="AC227" s="30">
        <v>43159</v>
      </c>
      <c r="AD227" s="29"/>
      <c r="AE227" s="29"/>
      <c r="AF227" s="86" t="s">
        <v>490</v>
      </c>
      <c r="AG227" s="213" t="s">
        <v>98</v>
      </c>
      <c r="AH227" s="518">
        <v>756</v>
      </c>
      <c r="AI227" s="144"/>
      <c r="AJ227" s="143"/>
      <c r="AK227" s="143"/>
      <c r="AL227" s="143"/>
      <c r="AM227" s="143"/>
      <c r="AN227" s="143"/>
      <c r="AO227" s="143"/>
      <c r="AP227" s="143"/>
      <c r="AQ227" s="143"/>
      <c r="AR227" s="143"/>
    </row>
    <row r="228" spans="1:44" ht="12.75" customHeight="1" x14ac:dyDescent="0.25">
      <c r="A228" s="22"/>
      <c r="B228" s="352">
        <v>2</v>
      </c>
      <c r="C228" s="80">
        <v>5</v>
      </c>
      <c r="D228" s="382" t="s">
        <v>86</v>
      </c>
      <c r="E228" s="65"/>
      <c r="F228" s="23"/>
      <c r="G228" s="42" t="s">
        <v>637</v>
      </c>
      <c r="H228" s="42" t="s">
        <v>638</v>
      </c>
      <c r="I228" s="42"/>
      <c r="J228" s="24"/>
      <c r="K228" s="22" t="s">
        <v>639</v>
      </c>
      <c r="L228" s="24" t="s">
        <v>640</v>
      </c>
      <c r="M228" s="25"/>
      <c r="N228" s="150">
        <v>6</v>
      </c>
      <c r="O228" s="148"/>
      <c r="P228" s="81">
        <v>590</v>
      </c>
      <c r="Q228" s="28">
        <f t="shared" si="18"/>
        <v>3540</v>
      </c>
      <c r="R228" s="46"/>
      <c r="S228" s="28">
        <v>2549.16</v>
      </c>
      <c r="T228" s="77"/>
      <c r="U228" s="135">
        <f t="shared" si="19"/>
        <v>990.84000000000015</v>
      </c>
      <c r="V228" s="48" t="s">
        <v>641</v>
      </c>
      <c r="W228" s="22" t="s">
        <v>642</v>
      </c>
      <c r="X228" s="22"/>
      <c r="Y228" s="22"/>
      <c r="Z228" s="29">
        <v>43158</v>
      </c>
      <c r="AA228" s="29"/>
      <c r="AB228" s="29">
        <v>43164</v>
      </c>
      <c r="AC228" s="29">
        <v>43167</v>
      </c>
      <c r="AD228" s="29"/>
      <c r="AE228" s="29"/>
      <c r="AF228" s="48" t="s">
        <v>643</v>
      </c>
      <c r="AG228" s="213" t="s">
        <v>98</v>
      </c>
      <c r="AH228" s="517">
        <v>2549.16</v>
      </c>
      <c r="AI228" s="144"/>
      <c r="AJ228" s="143"/>
      <c r="AK228" s="143"/>
      <c r="AL228" s="143"/>
      <c r="AM228" s="143"/>
      <c r="AN228" s="143"/>
      <c r="AO228" s="143"/>
      <c r="AP228" s="143"/>
      <c r="AQ228" s="143"/>
      <c r="AR228" s="143"/>
    </row>
    <row r="229" spans="1:44" ht="89.25" customHeight="1" x14ac:dyDescent="0.25">
      <c r="A229" s="86"/>
      <c r="B229" s="352">
        <v>2</v>
      </c>
      <c r="C229" s="80">
        <v>5</v>
      </c>
      <c r="D229" s="382" t="s">
        <v>86</v>
      </c>
      <c r="E229" s="65"/>
      <c r="F229" s="171"/>
      <c r="G229" s="42" t="s">
        <v>644</v>
      </c>
      <c r="H229" s="42" t="s">
        <v>645</v>
      </c>
      <c r="I229" s="42"/>
      <c r="J229" s="147"/>
      <c r="K229" s="22" t="s">
        <v>646</v>
      </c>
      <c r="L229" s="147"/>
      <c r="M229" s="25"/>
      <c r="N229" s="150">
        <v>11</v>
      </c>
      <c r="O229" s="26"/>
      <c r="P229" s="81">
        <v>60.52</v>
      </c>
      <c r="Q229" s="28">
        <f t="shared" si="18"/>
        <v>665.72</v>
      </c>
      <c r="R229" s="172"/>
      <c r="S229" s="28">
        <v>717.84</v>
      </c>
      <c r="T229" s="28"/>
      <c r="U229" s="133">
        <f t="shared" si="19"/>
        <v>-52.120000000000005</v>
      </c>
      <c r="V229" s="48" t="s">
        <v>647</v>
      </c>
      <c r="W229" s="31" t="s">
        <v>648</v>
      </c>
      <c r="X229" s="86"/>
      <c r="Y229" s="86"/>
      <c r="Z229" s="30">
        <v>43164</v>
      </c>
      <c r="AA229" s="90"/>
      <c r="AB229" s="30">
        <v>43168</v>
      </c>
      <c r="AC229" s="30">
        <v>43199</v>
      </c>
      <c r="AD229" s="29"/>
      <c r="AE229" s="29"/>
      <c r="AF229" s="48" t="s">
        <v>649</v>
      </c>
      <c r="AG229" s="213" t="s">
        <v>98</v>
      </c>
      <c r="AH229" s="517">
        <v>715.72</v>
      </c>
      <c r="AI229" s="144"/>
      <c r="AJ229" s="143"/>
      <c r="AK229" s="143"/>
      <c r="AL229" s="143"/>
      <c r="AM229" s="143"/>
      <c r="AN229" s="143"/>
      <c r="AO229" s="143"/>
      <c r="AP229" s="143"/>
      <c r="AQ229" s="143"/>
      <c r="AR229" s="143"/>
    </row>
    <row r="230" spans="1:44" ht="25.5" customHeight="1" x14ac:dyDescent="0.25">
      <c r="A230" s="22"/>
      <c r="B230" s="352">
        <v>2</v>
      </c>
      <c r="C230" s="80">
        <v>5</v>
      </c>
      <c r="D230" s="382" t="s">
        <v>86</v>
      </c>
      <c r="E230" s="65"/>
      <c r="F230" s="86"/>
      <c r="G230" s="42" t="s">
        <v>650</v>
      </c>
      <c r="H230" s="42" t="s">
        <v>116</v>
      </c>
      <c r="I230" s="42"/>
      <c r="J230" s="86"/>
      <c r="K230" s="22" t="s">
        <v>651</v>
      </c>
      <c r="L230" s="86"/>
      <c r="M230" s="22"/>
      <c r="N230" s="50">
        <v>6</v>
      </c>
      <c r="O230" s="22"/>
      <c r="P230" s="81">
        <v>1295</v>
      </c>
      <c r="Q230" s="28">
        <f t="shared" si="18"/>
        <v>7770</v>
      </c>
      <c r="R230" s="86"/>
      <c r="S230" s="28">
        <v>7770</v>
      </c>
      <c r="T230" s="77"/>
      <c r="U230" s="135">
        <f t="shared" si="19"/>
        <v>0</v>
      </c>
      <c r="V230" s="22" t="s">
        <v>652</v>
      </c>
      <c r="W230" s="22" t="s">
        <v>653</v>
      </c>
      <c r="X230" s="86"/>
      <c r="Y230" s="86"/>
      <c r="Z230" s="29">
        <v>43158</v>
      </c>
      <c r="AA230" s="90"/>
      <c r="AB230" s="29">
        <v>43175</v>
      </c>
      <c r="AC230" s="29">
        <v>43161</v>
      </c>
      <c r="AD230" s="29"/>
      <c r="AE230" s="29"/>
      <c r="AF230" s="48" t="s">
        <v>643</v>
      </c>
      <c r="AG230" s="213" t="s">
        <v>98</v>
      </c>
      <c r="AH230" s="516">
        <v>7770</v>
      </c>
      <c r="AI230" s="144"/>
      <c r="AJ230" s="143"/>
      <c r="AK230" s="143"/>
      <c r="AL230" s="143"/>
      <c r="AM230" s="143"/>
      <c r="AN230" s="143"/>
      <c r="AO230" s="143"/>
      <c r="AP230" s="143"/>
      <c r="AQ230" s="143"/>
      <c r="AR230" s="143"/>
    </row>
    <row r="231" spans="1:44" ht="25.5" customHeight="1" x14ac:dyDescent="0.25">
      <c r="A231" s="22"/>
      <c r="B231" s="352">
        <v>2</v>
      </c>
      <c r="C231" s="80">
        <v>5</v>
      </c>
      <c r="D231" s="382" t="s">
        <v>86</v>
      </c>
      <c r="E231" s="65"/>
      <c r="F231" s="22"/>
      <c r="G231" s="42" t="s">
        <v>654</v>
      </c>
      <c r="H231" s="42" t="s">
        <v>116</v>
      </c>
      <c r="I231" s="42"/>
      <c r="J231" s="86"/>
      <c r="K231" s="22" t="s">
        <v>655</v>
      </c>
      <c r="L231" s="86"/>
      <c r="M231" s="22"/>
      <c r="N231" s="50">
        <v>6</v>
      </c>
      <c r="O231" s="22"/>
      <c r="P231" s="81">
        <v>1295</v>
      </c>
      <c r="Q231" s="28">
        <f t="shared" si="18"/>
        <v>7770</v>
      </c>
      <c r="R231" s="22"/>
      <c r="S231" s="28">
        <v>7770</v>
      </c>
      <c r="T231" s="77"/>
      <c r="U231" s="135">
        <f t="shared" si="19"/>
        <v>0</v>
      </c>
      <c r="V231" s="22" t="s">
        <v>652</v>
      </c>
      <c r="W231" s="22" t="s">
        <v>653</v>
      </c>
      <c r="X231" s="22"/>
      <c r="Y231" s="22"/>
      <c r="Z231" s="29">
        <v>43158</v>
      </c>
      <c r="AA231" s="90"/>
      <c r="AB231" s="29">
        <v>43175</v>
      </c>
      <c r="AC231" s="29">
        <v>43161</v>
      </c>
      <c r="AD231" s="29"/>
      <c r="AE231" s="29"/>
      <c r="AF231" s="48" t="s">
        <v>643</v>
      </c>
      <c r="AG231" s="213" t="s">
        <v>98</v>
      </c>
      <c r="AH231" s="519">
        <v>7770</v>
      </c>
      <c r="AI231" s="144"/>
      <c r="AJ231" s="143"/>
      <c r="AK231" s="143"/>
      <c r="AL231" s="143"/>
      <c r="AM231" s="143"/>
      <c r="AN231" s="143"/>
      <c r="AO231" s="143"/>
      <c r="AP231" s="143"/>
      <c r="AQ231" s="143"/>
      <c r="AR231" s="143"/>
    </row>
    <row r="232" spans="1:44" ht="25.5" customHeight="1" x14ac:dyDescent="0.25">
      <c r="A232" s="22"/>
      <c r="B232" s="352">
        <v>2</v>
      </c>
      <c r="C232" s="80">
        <v>5</v>
      </c>
      <c r="D232" s="382" t="s">
        <v>86</v>
      </c>
      <c r="E232" s="65"/>
      <c r="F232" s="22"/>
      <c r="G232" s="42" t="s">
        <v>656</v>
      </c>
      <c r="H232" s="42" t="s">
        <v>116</v>
      </c>
      <c r="I232" s="42"/>
      <c r="J232" s="22"/>
      <c r="K232" s="22" t="s">
        <v>657</v>
      </c>
      <c r="L232" s="22"/>
      <c r="M232" s="22"/>
      <c r="N232" s="50">
        <v>8</v>
      </c>
      <c r="O232" s="22"/>
      <c r="P232" s="81">
        <v>69</v>
      </c>
      <c r="Q232" s="28">
        <f t="shared" si="18"/>
        <v>552</v>
      </c>
      <c r="R232" s="22"/>
      <c r="S232" s="35">
        <v>490.48</v>
      </c>
      <c r="T232" s="231"/>
      <c r="U232" s="135">
        <f t="shared" si="19"/>
        <v>61.519999999999982</v>
      </c>
      <c r="V232" s="22" t="s">
        <v>658</v>
      </c>
      <c r="W232" s="22" t="s">
        <v>659</v>
      </c>
      <c r="X232" s="22"/>
      <c r="Y232" s="22"/>
      <c r="Z232" s="29">
        <v>43154</v>
      </c>
      <c r="AA232" s="29"/>
      <c r="AB232" s="29">
        <v>43161</v>
      </c>
      <c r="AC232" s="29">
        <v>43160</v>
      </c>
      <c r="AD232" s="29"/>
      <c r="AE232" s="29"/>
      <c r="AF232" s="288" t="s">
        <v>490</v>
      </c>
      <c r="AG232" s="213" t="s">
        <v>98</v>
      </c>
      <c r="AH232" s="519">
        <v>490.48</v>
      </c>
      <c r="AI232" s="144"/>
      <c r="AJ232" s="143"/>
      <c r="AK232" s="143"/>
      <c r="AL232" s="143"/>
      <c r="AM232" s="143"/>
      <c r="AN232" s="143"/>
      <c r="AO232" s="143"/>
      <c r="AP232" s="143"/>
      <c r="AQ232" s="143"/>
      <c r="AR232" s="143"/>
    </row>
    <row r="233" spans="1:44" ht="38.25" customHeight="1" x14ac:dyDescent="0.25">
      <c r="A233" s="22"/>
      <c r="B233" s="352">
        <v>2</v>
      </c>
      <c r="C233" s="80">
        <v>5</v>
      </c>
      <c r="D233" s="382" t="s">
        <v>86</v>
      </c>
      <c r="E233" s="65"/>
      <c r="F233" s="22"/>
      <c r="G233" s="42" t="s">
        <v>660</v>
      </c>
      <c r="H233" s="42" t="s">
        <v>116</v>
      </c>
      <c r="I233" s="42"/>
      <c r="J233" s="22"/>
      <c r="K233" s="22" t="s">
        <v>661</v>
      </c>
      <c r="L233" s="25"/>
      <c r="M233" s="25"/>
      <c r="N233" s="50">
        <v>20</v>
      </c>
      <c r="O233" s="22"/>
      <c r="P233" s="81">
        <v>39</v>
      </c>
      <c r="Q233" s="28">
        <f t="shared" si="18"/>
        <v>780</v>
      </c>
      <c r="R233" s="35"/>
      <c r="S233" s="35">
        <v>394.42</v>
      </c>
      <c r="T233" s="231"/>
      <c r="U233" s="135">
        <f t="shared" si="19"/>
        <v>385.58</v>
      </c>
      <c r="V233" s="22" t="s">
        <v>658</v>
      </c>
      <c r="W233" s="22" t="s">
        <v>659</v>
      </c>
      <c r="X233" s="22"/>
      <c r="Y233" s="22"/>
      <c r="Z233" s="29">
        <v>43154</v>
      </c>
      <c r="AA233" s="29"/>
      <c r="AB233" s="29">
        <v>43161</v>
      </c>
      <c r="AC233" s="29">
        <v>43160</v>
      </c>
      <c r="AD233" s="29"/>
      <c r="AE233" s="29"/>
      <c r="AF233" s="48" t="s">
        <v>662</v>
      </c>
      <c r="AG233" s="213" t="s">
        <v>98</v>
      </c>
      <c r="AH233" s="519">
        <v>394.42</v>
      </c>
      <c r="AI233" s="144"/>
      <c r="AJ233" s="143"/>
      <c r="AK233" s="143"/>
      <c r="AL233" s="143"/>
      <c r="AM233" s="143"/>
      <c r="AN233" s="143"/>
      <c r="AO233" s="143"/>
      <c r="AP233" s="143"/>
      <c r="AQ233" s="143"/>
      <c r="AR233" s="143"/>
    </row>
    <row r="234" spans="1:44" ht="38.25" customHeight="1" x14ac:dyDescent="0.25">
      <c r="A234" s="22"/>
      <c r="B234" s="352">
        <v>2</v>
      </c>
      <c r="C234" s="80">
        <v>5</v>
      </c>
      <c r="D234" s="382" t="s">
        <v>86</v>
      </c>
      <c r="E234" s="65"/>
      <c r="F234" s="22"/>
      <c r="G234" s="42" t="s">
        <v>656</v>
      </c>
      <c r="H234" s="42" t="s">
        <v>116</v>
      </c>
      <c r="I234" s="42"/>
      <c r="J234" s="22"/>
      <c r="K234" s="22" t="s">
        <v>438</v>
      </c>
      <c r="L234" s="91"/>
      <c r="M234" s="25"/>
      <c r="N234" s="50">
        <v>1</v>
      </c>
      <c r="O234" s="22"/>
      <c r="P234" s="81">
        <v>56.48</v>
      </c>
      <c r="Q234" s="28">
        <f t="shared" si="18"/>
        <v>56.48</v>
      </c>
      <c r="R234" s="35"/>
      <c r="S234" s="28">
        <f>P234*R234</f>
        <v>0</v>
      </c>
      <c r="T234" s="77"/>
      <c r="U234" s="135">
        <f t="shared" si="19"/>
        <v>56.48</v>
      </c>
      <c r="V234" s="22" t="s">
        <v>658</v>
      </c>
      <c r="W234" s="22" t="s">
        <v>659</v>
      </c>
      <c r="X234" s="22"/>
      <c r="Y234" s="22"/>
      <c r="Z234" s="29">
        <v>43154</v>
      </c>
      <c r="AA234" s="29"/>
      <c r="AB234" s="29">
        <v>43161</v>
      </c>
      <c r="AC234" s="29"/>
      <c r="AD234" s="29"/>
      <c r="AE234" s="29"/>
      <c r="AF234" s="48" t="s">
        <v>662</v>
      </c>
      <c r="AG234" s="213" t="s">
        <v>98</v>
      </c>
      <c r="AH234" s="519">
        <v>0</v>
      </c>
      <c r="AI234" s="144"/>
      <c r="AJ234" s="143"/>
      <c r="AK234" s="143"/>
      <c r="AL234" s="143"/>
      <c r="AM234" s="143"/>
      <c r="AN234" s="143"/>
      <c r="AO234" s="143"/>
      <c r="AP234" s="143"/>
      <c r="AQ234" s="143"/>
      <c r="AR234" s="143"/>
    </row>
    <row r="235" spans="1:44" ht="25.5" customHeight="1" x14ac:dyDescent="0.25">
      <c r="A235" s="22"/>
      <c r="B235" s="352">
        <v>2</v>
      </c>
      <c r="C235" s="80">
        <v>5</v>
      </c>
      <c r="D235" s="382" t="s">
        <v>86</v>
      </c>
      <c r="E235" s="65"/>
      <c r="F235" s="22"/>
      <c r="G235" s="42" t="s">
        <v>663</v>
      </c>
      <c r="H235" s="42" t="s">
        <v>664</v>
      </c>
      <c r="I235" s="42"/>
      <c r="J235" s="86"/>
      <c r="K235" s="22" t="s">
        <v>665</v>
      </c>
      <c r="L235" s="85"/>
      <c r="M235" s="25"/>
      <c r="N235" s="50">
        <v>4</v>
      </c>
      <c r="O235" s="22"/>
      <c r="P235" s="81">
        <v>13.19</v>
      </c>
      <c r="Q235" s="28">
        <f t="shared" si="18"/>
        <v>52.76</v>
      </c>
      <c r="R235" s="35"/>
      <c r="S235" s="35">
        <v>52.76</v>
      </c>
      <c r="T235" s="35"/>
      <c r="U235" s="133">
        <f t="shared" si="19"/>
        <v>0</v>
      </c>
      <c r="V235" s="22" t="s">
        <v>666</v>
      </c>
      <c r="W235" s="22" t="s">
        <v>667</v>
      </c>
      <c r="X235" s="22"/>
      <c r="Y235" s="22"/>
      <c r="Z235" s="29">
        <v>43161</v>
      </c>
      <c r="AA235" s="29"/>
      <c r="AB235" s="29">
        <v>43182</v>
      </c>
      <c r="AC235" s="29">
        <v>43185</v>
      </c>
      <c r="AD235" s="29"/>
      <c r="AE235" s="29"/>
      <c r="AF235" s="48" t="s">
        <v>662</v>
      </c>
      <c r="AG235" s="213" t="s">
        <v>98</v>
      </c>
      <c r="AH235" s="519">
        <v>52.76</v>
      </c>
      <c r="AI235" s="144"/>
      <c r="AJ235" s="143"/>
      <c r="AK235" s="143"/>
      <c r="AL235" s="143"/>
      <c r="AM235" s="143"/>
      <c r="AN235" s="143"/>
      <c r="AO235" s="143"/>
      <c r="AP235" s="143"/>
      <c r="AQ235" s="143"/>
      <c r="AR235" s="143"/>
    </row>
    <row r="236" spans="1:44" ht="25.5" customHeight="1" x14ac:dyDescent="0.25">
      <c r="A236" s="22"/>
      <c r="B236" s="352">
        <v>2</v>
      </c>
      <c r="C236" s="80">
        <v>5</v>
      </c>
      <c r="D236" s="382" t="s">
        <v>86</v>
      </c>
      <c r="E236" s="65"/>
      <c r="F236" s="22"/>
      <c r="G236" s="42" t="s">
        <v>668</v>
      </c>
      <c r="H236" s="42" t="s">
        <v>664</v>
      </c>
      <c r="I236" s="42"/>
      <c r="J236" s="86"/>
      <c r="K236" s="22" t="s">
        <v>665</v>
      </c>
      <c r="L236" s="85"/>
      <c r="M236" s="25"/>
      <c r="N236" s="50">
        <v>4</v>
      </c>
      <c r="O236" s="22"/>
      <c r="P236" s="81">
        <v>50.02</v>
      </c>
      <c r="Q236" s="28">
        <f t="shared" si="18"/>
        <v>200.08</v>
      </c>
      <c r="R236" s="35"/>
      <c r="S236" s="35">
        <v>200.08</v>
      </c>
      <c r="T236" s="35"/>
      <c r="U236" s="133">
        <f t="shared" si="19"/>
        <v>0</v>
      </c>
      <c r="V236" s="22" t="s">
        <v>666</v>
      </c>
      <c r="W236" s="22" t="s">
        <v>667</v>
      </c>
      <c r="X236" s="22"/>
      <c r="Y236" s="22"/>
      <c r="Z236" s="29">
        <v>43161</v>
      </c>
      <c r="AA236" s="29"/>
      <c r="AB236" s="29">
        <v>43182</v>
      </c>
      <c r="AC236" s="29">
        <v>43185</v>
      </c>
      <c r="AD236" s="29"/>
      <c r="AE236" s="29"/>
      <c r="AF236" s="48" t="s">
        <v>662</v>
      </c>
      <c r="AG236" s="213" t="s">
        <v>98</v>
      </c>
      <c r="AH236" s="519">
        <v>200.08</v>
      </c>
      <c r="AI236" s="144"/>
      <c r="AJ236" s="143"/>
      <c r="AK236" s="143"/>
      <c r="AL236" s="143"/>
      <c r="AM236" s="143"/>
      <c r="AN236" s="143"/>
      <c r="AO236" s="143"/>
      <c r="AP236" s="143"/>
      <c r="AQ236" s="143"/>
      <c r="AR236" s="143"/>
    </row>
    <row r="237" spans="1:44" ht="25.5" customHeight="1" x14ac:dyDescent="0.25">
      <c r="A237" s="22"/>
      <c r="B237" s="352">
        <v>2</v>
      </c>
      <c r="C237" s="80">
        <v>5</v>
      </c>
      <c r="D237" s="382" t="s">
        <v>86</v>
      </c>
      <c r="E237" s="65"/>
      <c r="F237" s="22"/>
      <c r="G237" s="42" t="s">
        <v>669</v>
      </c>
      <c r="H237" s="42" t="s">
        <v>664</v>
      </c>
      <c r="I237" s="42"/>
      <c r="J237" s="86"/>
      <c r="K237" s="22" t="s">
        <v>665</v>
      </c>
      <c r="L237" s="85"/>
      <c r="M237" s="25"/>
      <c r="N237" s="50">
        <v>4</v>
      </c>
      <c r="O237" s="22"/>
      <c r="P237" s="81">
        <v>47.08</v>
      </c>
      <c r="Q237" s="28">
        <f t="shared" si="18"/>
        <v>188.32</v>
      </c>
      <c r="R237" s="35"/>
      <c r="S237" s="35">
        <v>188.32</v>
      </c>
      <c r="T237" s="35"/>
      <c r="U237" s="133">
        <f t="shared" si="19"/>
        <v>0</v>
      </c>
      <c r="V237" s="22" t="s">
        <v>666</v>
      </c>
      <c r="W237" s="22" t="s">
        <v>667</v>
      </c>
      <c r="X237" s="22"/>
      <c r="Y237" s="22"/>
      <c r="Z237" s="29">
        <v>43161</v>
      </c>
      <c r="AA237" s="29"/>
      <c r="AB237" s="29">
        <v>43182</v>
      </c>
      <c r="AC237" s="29">
        <v>43185</v>
      </c>
      <c r="AD237" s="29"/>
      <c r="AE237" s="29"/>
      <c r="AF237" s="48" t="s">
        <v>662</v>
      </c>
      <c r="AG237" s="213" t="s">
        <v>98</v>
      </c>
      <c r="AH237" s="519">
        <v>188.32</v>
      </c>
      <c r="AI237" s="144"/>
      <c r="AJ237" s="143"/>
      <c r="AK237" s="143"/>
      <c r="AL237" s="143"/>
      <c r="AM237" s="143"/>
      <c r="AN237" s="143"/>
      <c r="AO237" s="143"/>
      <c r="AP237" s="143"/>
      <c r="AQ237" s="143"/>
      <c r="AR237" s="143"/>
    </row>
    <row r="238" spans="1:44" ht="25.5" customHeight="1" x14ac:dyDescent="0.25">
      <c r="A238" s="22"/>
      <c r="B238" s="352">
        <v>2</v>
      </c>
      <c r="C238" s="80">
        <v>5</v>
      </c>
      <c r="D238" s="382" t="s">
        <v>86</v>
      </c>
      <c r="E238" s="65"/>
      <c r="F238" s="22"/>
      <c r="G238" s="42" t="s">
        <v>670</v>
      </c>
      <c r="H238" s="42" t="s">
        <v>664</v>
      </c>
      <c r="I238" s="42"/>
      <c r="J238" s="86"/>
      <c r="K238" s="22" t="s">
        <v>665</v>
      </c>
      <c r="L238" s="85"/>
      <c r="M238" s="25"/>
      <c r="N238" s="50">
        <v>4</v>
      </c>
      <c r="O238" s="22"/>
      <c r="P238" s="81">
        <v>48.55</v>
      </c>
      <c r="Q238" s="28">
        <f t="shared" si="18"/>
        <v>194.2</v>
      </c>
      <c r="R238" s="35"/>
      <c r="S238" s="35">
        <v>194.2</v>
      </c>
      <c r="T238" s="35"/>
      <c r="U238" s="133">
        <f t="shared" si="19"/>
        <v>0</v>
      </c>
      <c r="V238" s="22" t="s">
        <v>666</v>
      </c>
      <c r="W238" s="22" t="s">
        <v>667</v>
      </c>
      <c r="X238" s="22"/>
      <c r="Y238" s="22"/>
      <c r="Z238" s="29">
        <v>43161</v>
      </c>
      <c r="AA238" s="29"/>
      <c r="AB238" s="29">
        <v>43182</v>
      </c>
      <c r="AC238" s="29">
        <v>43185</v>
      </c>
      <c r="AD238" s="29"/>
      <c r="AE238" s="29"/>
      <c r="AF238" s="48" t="s">
        <v>662</v>
      </c>
      <c r="AG238" s="213" t="s">
        <v>98</v>
      </c>
      <c r="AH238" s="519">
        <v>194.2</v>
      </c>
      <c r="AI238" s="144"/>
      <c r="AJ238" s="143"/>
      <c r="AK238" s="143"/>
      <c r="AL238" s="143"/>
      <c r="AM238" s="143"/>
      <c r="AN238" s="143"/>
      <c r="AO238" s="143"/>
      <c r="AP238" s="143"/>
      <c r="AQ238" s="143"/>
      <c r="AR238" s="143"/>
    </row>
    <row r="239" spans="1:44" ht="25.5" customHeight="1" x14ac:dyDescent="0.25">
      <c r="A239" s="22"/>
      <c r="B239" s="352">
        <v>2</v>
      </c>
      <c r="C239" s="80">
        <v>5</v>
      </c>
      <c r="D239" s="382" t="s">
        <v>86</v>
      </c>
      <c r="E239" s="65"/>
      <c r="F239" s="22"/>
      <c r="G239" s="42" t="s">
        <v>671</v>
      </c>
      <c r="H239" s="42" t="s">
        <v>664</v>
      </c>
      <c r="I239" s="42"/>
      <c r="J239" s="86"/>
      <c r="K239" s="22" t="s">
        <v>665</v>
      </c>
      <c r="L239" s="85"/>
      <c r="M239" s="25"/>
      <c r="N239" s="50">
        <v>4</v>
      </c>
      <c r="O239" s="22"/>
      <c r="P239" s="81">
        <v>16.149999999999999</v>
      </c>
      <c r="Q239" s="28">
        <f t="shared" ref="Q239:Q270" si="20">N239*P239</f>
        <v>64.599999999999994</v>
      </c>
      <c r="R239" s="35"/>
      <c r="S239" s="35">
        <v>64.599999999999994</v>
      </c>
      <c r="T239" s="35"/>
      <c r="U239" s="133">
        <f t="shared" ref="U239:U270" si="21">Q239-S239</f>
        <v>0</v>
      </c>
      <c r="V239" s="22" t="s">
        <v>666</v>
      </c>
      <c r="W239" s="22" t="s">
        <v>667</v>
      </c>
      <c r="X239" s="22"/>
      <c r="Y239" s="22"/>
      <c r="Z239" s="29">
        <v>43161</v>
      </c>
      <c r="AA239" s="29"/>
      <c r="AB239" s="29">
        <v>43182</v>
      </c>
      <c r="AC239" s="29">
        <v>43185</v>
      </c>
      <c r="AD239" s="29"/>
      <c r="AE239" s="29"/>
      <c r="AF239" s="48" t="s">
        <v>662</v>
      </c>
      <c r="AG239" s="213" t="s">
        <v>98</v>
      </c>
      <c r="AH239" s="519">
        <v>64.599999999999994</v>
      </c>
      <c r="AI239" s="144"/>
      <c r="AJ239" s="143"/>
      <c r="AK239" s="143"/>
      <c r="AL239" s="143"/>
      <c r="AM239" s="143"/>
      <c r="AN239" s="143"/>
      <c r="AO239" s="143"/>
      <c r="AP239" s="143"/>
      <c r="AQ239" s="143"/>
      <c r="AR239" s="143"/>
    </row>
    <row r="240" spans="1:44" ht="25.5" customHeight="1" x14ac:dyDescent="0.25">
      <c r="A240" s="22"/>
      <c r="B240" s="352">
        <v>2</v>
      </c>
      <c r="C240" s="80">
        <v>5</v>
      </c>
      <c r="D240" s="382" t="s">
        <v>86</v>
      </c>
      <c r="E240" s="65"/>
      <c r="F240" s="22"/>
      <c r="G240" s="42" t="s">
        <v>672</v>
      </c>
      <c r="H240" s="42" t="s">
        <v>664</v>
      </c>
      <c r="I240" s="42"/>
      <c r="J240" s="86"/>
      <c r="K240" s="22" t="s">
        <v>665</v>
      </c>
      <c r="L240" s="85"/>
      <c r="M240" s="25"/>
      <c r="N240" s="50">
        <v>4</v>
      </c>
      <c r="O240" s="22"/>
      <c r="P240" s="81">
        <v>17.62</v>
      </c>
      <c r="Q240" s="28">
        <f t="shared" si="20"/>
        <v>70.48</v>
      </c>
      <c r="R240" s="35"/>
      <c r="S240" s="35">
        <v>70.48</v>
      </c>
      <c r="T240" s="35"/>
      <c r="U240" s="133">
        <f t="shared" si="21"/>
        <v>0</v>
      </c>
      <c r="V240" s="22" t="s">
        <v>666</v>
      </c>
      <c r="W240" s="22" t="s">
        <v>667</v>
      </c>
      <c r="X240" s="22"/>
      <c r="Y240" s="22"/>
      <c r="Z240" s="29">
        <v>43161</v>
      </c>
      <c r="AA240" s="29"/>
      <c r="AB240" s="29">
        <v>43182</v>
      </c>
      <c r="AC240" s="29">
        <v>43185</v>
      </c>
      <c r="AD240" s="29"/>
      <c r="AE240" s="29"/>
      <c r="AF240" s="48" t="s">
        <v>662</v>
      </c>
      <c r="AG240" s="213" t="s">
        <v>98</v>
      </c>
      <c r="AH240" s="519">
        <v>70.48</v>
      </c>
      <c r="AI240" s="144"/>
      <c r="AJ240" s="143"/>
      <c r="AK240" s="143"/>
      <c r="AL240" s="143"/>
      <c r="AM240" s="143"/>
      <c r="AN240" s="143"/>
      <c r="AO240" s="143"/>
      <c r="AP240" s="143"/>
      <c r="AQ240" s="143"/>
      <c r="AR240" s="143"/>
    </row>
    <row r="241" spans="1:44" ht="25.5" customHeight="1" x14ac:dyDescent="0.25">
      <c r="A241" s="22"/>
      <c r="B241" s="352">
        <v>2</v>
      </c>
      <c r="C241" s="80">
        <v>5</v>
      </c>
      <c r="D241" s="382" t="s">
        <v>86</v>
      </c>
      <c r="E241" s="65"/>
      <c r="F241" s="22"/>
      <c r="G241" s="42" t="s">
        <v>673</v>
      </c>
      <c r="H241" s="42" t="s">
        <v>664</v>
      </c>
      <c r="I241" s="42"/>
      <c r="J241" s="86"/>
      <c r="K241" s="22" t="s">
        <v>438</v>
      </c>
      <c r="L241" s="85"/>
      <c r="M241" s="25"/>
      <c r="N241" s="50">
        <v>1</v>
      </c>
      <c r="O241" s="22"/>
      <c r="P241" s="81">
        <v>43.25</v>
      </c>
      <c r="Q241" s="28">
        <f t="shared" si="20"/>
        <v>43.25</v>
      </c>
      <c r="R241" s="35"/>
      <c r="S241" s="35">
        <v>33.380000000000003</v>
      </c>
      <c r="T241" s="35"/>
      <c r="U241" s="133">
        <f t="shared" si="21"/>
        <v>9.8699999999999974</v>
      </c>
      <c r="V241" s="22" t="s">
        <v>666</v>
      </c>
      <c r="W241" s="22" t="s">
        <v>667</v>
      </c>
      <c r="X241" s="22"/>
      <c r="Y241" s="22"/>
      <c r="Z241" s="29">
        <v>43161</v>
      </c>
      <c r="AA241" s="29"/>
      <c r="AB241" s="29">
        <v>43182</v>
      </c>
      <c r="AC241" s="29">
        <v>43185</v>
      </c>
      <c r="AD241" s="29"/>
      <c r="AE241" s="29"/>
      <c r="AF241" s="48" t="s">
        <v>662</v>
      </c>
      <c r="AG241" s="213" t="s">
        <v>98</v>
      </c>
      <c r="AH241" s="519">
        <v>33.380000000000003</v>
      </c>
      <c r="AI241" s="144"/>
      <c r="AJ241" s="143"/>
      <c r="AK241" s="143"/>
      <c r="AL241" s="143"/>
      <c r="AM241" s="143"/>
      <c r="AN241" s="143"/>
      <c r="AO241" s="143"/>
      <c r="AP241" s="143"/>
      <c r="AQ241" s="143"/>
      <c r="AR241" s="143"/>
    </row>
    <row r="242" spans="1:44" ht="25.5" customHeight="1" x14ac:dyDescent="0.25">
      <c r="A242" s="22"/>
      <c r="B242" s="352">
        <v>2</v>
      </c>
      <c r="C242" s="80">
        <v>5</v>
      </c>
      <c r="D242" s="382" t="s">
        <v>86</v>
      </c>
      <c r="E242" s="65"/>
      <c r="F242" s="22"/>
      <c r="G242" s="42" t="s">
        <v>674</v>
      </c>
      <c r="H242" s="42" t="s">
        <v>675</v>
      </c>
      <c r="I242" s="42"/>
      <c r="J242" s="86"/>
      <c r="K242" s="22" t="s">
        <v>676</v>
      </c>
      <c r="L242" s="85"/>
      <c r="M242" s="25"/>
      <c r="N242" s="50">
        <v>4</v>
      </c>
      <c r="O242" s="22"/>
      <c r="P242" s="81">
        <v>108.73</v>
      </c>
      <c r="Q242" s="28">
        <f t="shared" si="20"/>
        <v>434.92</v>
      </c>
      <c r="R242" s="35"/>
      <c r="S242" s="35">
        <v>373</v>
      </c>
      <c r="T242" s="35"/>
      <c r="U242" s="133">
        <f t="shared" si="21"/>
        <v>61.920000000000016</v>
      </c>
      <c r="V242" s="22" t="s">
        <v>677</v>
      </c>
      <c r="W242" s="29" t="s">
        <v>678</v>
      </c>
      <c r="X242" s="22"/>
      <c r="Y242" s="22"/>
      <c r="Z242" s="29">
        <v>43173</v>
      </c>
      <c r="AA242" s="29"/>
      <c r="AB242" s="29">
        <v>43196</v>
      </c>
      <c r="AC242" s="29">
        <v>43187</v>
      </c>
      <c r="AD242" s="29"/>
      <c r="AE242" s="29"/>
      <c r="AF242" s="48" t="s">
        <v>679</v>
      </c>
      <c r="AG242" s="213" t="s">
        <v>98</v>
      </c>
      <c r="AH242" s="519">
        <v>373</v>
      </c>
      <c r="AI242" s="144"/>
      <c r="AJ242" s="143"/>
      <c r="AK242" s="143"/>
      <c r="AL242" s="143"/>
      <c r="AM242" s="143"/>
      <c r="AN242" s="143"/>
      <c r="AO242" s="143"/>
      <c r="AP242" s="143"/>
      <c r="AQ242" s="143"/>
      <c r="AR242" s="143"/>
    </row>
    <row r="243" spans="1:44" ht="25.5" customHeight="1" x14ac:dyDescent="0.25">
      <c r="A243" s="22"/>
      <c r="B243" s="352">
        <v>2</v>
      </c>
      <c r="C243" s="80">
        <v>5</v>
      </c>
      <c r="D243" s="382" t="s">
        <v>86</v>
      </c>
      <c r="E243" s="65"/>
      <c r="F243" s="22"/>
      <c r="G243" s="42" t="s">
        <v>680</v>
      </c>
      <c r="H243" s="42" t="s">
        <v>675</v>
      </c>
      <c r="I243" s="42"/>
      <c r="J243" s="86"/>
      <c r="K243" s="22" t="s">
        <v>681</v>
      </c>
      <c r="L243" s="85"/>
      <c r="M243" s="25"/>
      <c r="N243" s="50">
        <v>4</v>
      </c>
      <c r="O243" s="22"/>
      <c r="P243" s="81">
        <v>101.73</v>
      </c>
      <c r="Q243" s="28">
        <f t="shared" si="20"/>
        <v>406.92</v>
      </c>
      <c r="R243" s="35"/>
      <c r="S243" s="35">
        <v>349</v>
      </c>
      <c r="T243" s="35"/>
      <c r="U243" s="133">
        <f t="shared" si="21"/>
        <v>57.920000000000016</v>
      </c>
      <c r="V243" s="22" t="s">
        <v>677</v>
      </c>
      <c r="W243" s="29" t="s">
        <v>678</v>
      </c>
      <c r="X243" s="22"/>
      <c r="Y243" s="22"/>
      <c r="Z243" s="29">
        <v>43173</v>
      </c>
      <c r="AA243" s="29"/>
      <c r="AB243" s="29">
        <v>43196</v>
      </c>
      <c r="AC243" s="29">
        <v>43187</v>
      </c>
      <c r="AD243" s="29"/>
      <c r="AE243" s="29"/>
      <c r="AF243" s="48" t="s">
        <v>679</v>
      </c>
      <c r="AG243" s="213" t="s">
        <v>98</v>
      </c>
      <c r="AH243" s="519">
        <v>349</v>
      </c>
      <c r="AI243" s="144"/>
      <c r="AJ243" s="143"/>
      <c r="AK243" s="143"/>
      <c r="AL243" s="143"/>
      <c r="AM243" s="143"/>
      <c r="AN243" s="143"/>
      <c r="AO243" s="143"/>
      <c r="AP243" s="143"/>
      <c r="AQ243" s="143"/>
      <c r="AR243" s="143"/>
    </row>
    <row r="244" spans="1:44" ht="25.5" customHeight="1" x14ac:dyDescent="0.25">
      <c r="A244" s="22"/>
      <c r="B244" s="352">
        <v>2</v>
      </c>
      <c r="C244" s="80">
        <v>5</v>
      </c>
      <c r="D244" s="382" t="s">
        <v>86</v>
      </c>
      <c r="E244" s="65"/>
      <c r="F244" s="22"/>
      <c r="G244" s="42" t="s">
        <v>682</v>
      </c>
      <c r="H244" s="42" t="s">
        <v>675</v>
      </c>
      <c r="I244" s="42"/>
      <c r="J244" s="86"/>
      <c r="K244" s="22" t="s">
        <v>683</v>
      </c>
      <c r="L244" s="85"/>
      <c r="M244" s="25"/>
      <c r="N244" s="50">
        <v>4</v>
      </c>
      <c r="O244" s="22"/>
      <c r="P244" s="81">
        <v>98.23</v>
      </c>
      <c r="Q244" s="28">
        <f t="shared" si="20"/>
        <v>392.92</v>
      </c>
      <c r="R244" s="35"/>
      <c r="S244" s="35">
        <v>332</v>
      </c>
      <c r="T244" s="35"/>
      <c r="U244" s="133">
        <f t="shared" si="21"/>
        <v>60.920000000000016</v>
      </c>
      <c r="V244" s="22" t="s">
        <v>677</v>
      </c>
      <c r="W244" s="29" t="s">
        <v>678</v>
      </c>
      <c r="X244" s="22"/>
      <c r="Y244" s="22"/>
      <c r="Z244" s="29">
        <v>43173</v>
      </c>
      <c r="AA244" s="29"/>
      <c r="AB244" s="29">
        <v>43196</v>
      </c>
      <c r="AC244" s="29">
        <v>43187</v>
      </c>
      <c r="AD244" s="29"/>
      <c r="AE244" s="29"/>
      <c r="AF244" s="48" t="s">
        <v>679</v>
      </c>
      <c r="AG244" s="213" t="s">
        <v>98</v>
      </c>
      <c r="AH244" s="519">
        <v>332</v>
      </c>
      <c r="AI244" s="144"/>
      <c r="AJ244" s="143"/>
      <c r="AK244" s="143"/>
      <c r="AL244" s="143"/>
      <c r="AM244" s="143"/>
      <c r="AN244" s="143"/>
      <c r="AO244" s="143"/>
      <c r="AP244" s="143"/>
      <c r="AQ244" s="143"/>
      <c r="AR244" s="143"/>
    </row>
    <row r="245" spans="1:44" ht="25.5" customHeight="1" x14ac:dyDescent="0.25">
      <c r="A245" s="22"/>
      <c r="B245" s="352">
        <v>2</v>
      </c>
      <c r="C245" s="80">
        <v>5</v>
      </c>
      <c r="D245" s="382" t="s">
        <v>86</v>
      </c>
      <c r="E245" s="65"/>
      <c r="F245" s="22"/>
      <c r="G245" s="42" t="s">
        <v>684</v>
      </c>
      <c r="H245" s="42" t="s">
        <v>675</v>
      </c>
      <c r="I245" s="42"/>
      <c r="J245" s="86"/>
      <c r="K245" s="22" t="s">
        <v>685</v>
      </c>
      <c r="L245" s="85"/>
      <c r="M245" s="25"/>
      <c r="N245" s="50">
        <v>4</v>
      </c>
      <c r="O245" s="22"/>
      <c r="P245" s="81">
        <v>105.23</v>
      </c>
      <c r="Q245" s="28">
        <f t="shared" si="20"/>
        <v>420.92</v>
      </c>
      <c r="R245" s="35"/>
      <c r="S245" s="35">
        <v>360</v>
      </c>
      <c r="T245" s="35"/>
      <c r="U245" s="133">
        <f t="shared" si="21"/>
        <v>60.920000000000016</v>
      </c>
      <c r="V245" s="22" t="s">
        <v>677</v>
      </c>
      <c r="W245" s="29" t="s">
        <v>678</v>
      </c>
      <c r="X245" s="22"/>
      <c r="Y245" s="22"/>
      <c r="Z245" s="29">
        <v>43173</v>
      </c>
      <c r="AA245" s="29"/>
      <c r="AB245" s="29">
        <v>43196</v>
      </c>
      <c r="AC245" s="29">
        <v>43187</v>
      </c>
      <c r="AD245" s="29"/>
      <c r="AE245" s="29"/>
      <c r="AF245" s="48" t="s">
        <v>679</v>
      </c>
      <c r="AG245" s="213" t="s">
        <v>98</v>
      </c>
      <c r="AH245" s="519">
        <v>360</v>
      </c>
      <c r="AI245" s="144"/>
      <c r="AJ245" s="143"/>
      <c r="AK245" s="143"/>
      <c r="AL245" s="143"/>
      <c r="AM245" s="143"/>
      <c r="AN245" s="143"/>
      <c r="AO245" s="143"/>
      <c r="AP245" s="143"/>
      <c r="AQ245" s="143"/>
      <c r="AR245" s="143"/>
    </row>
    <row r="246" spans="1:44" ht="25.5" customHeight="1" x14ac:dyDescent="0.25">
      <c r="A246" s="22"/>
      <c r="B246" s="352">
        <v>2</v>
      </c>
      <c r="C246" s="80">
        <v>5</v>
      </c>
      <c r="D246" s="382" t="s">
        <v>86</v>
      </c>
      <c r="E246" s="65"/>
      <c r="F246" s="22"/>
      <c r="G246" s="42" t="s">
        <v>686</v>
      </c>
      <c r="H246" s="42" t="s">
        <v>675</v>
      </c>
      <c r="I246" s="42"/>
      <c r="J246" s="86"/>
      <c r="K246" s="22" t="s">
        <v>687</v>
      </c>
      <c r="L246" s="85"/>
      <c r="M246" s="25"/>
      <c r="N246" s="50">
        <v>4</v>
      </c>
      <c r="O246" s="22"/>
      <c r="P246" s="81">
        <v>24.81</v>
      </c>
      <c r="Q246" s="28">
        <f t="shared" si="20"/>
        <v>99.24</v>
      </c>
      <c r="R246" s="35"/>
      <c r="S246" s="35">
        <v>77</v>
      </c>
      <c r="T246" s="35"/>
      <c r="U246" s="133">
        <f t="shared" si="21"/>
        <v>22.239999999999995</v>
      </c>
      <c r="V246" s="22" t="s">
        <v>677</v>
      </c>
      <c r="W246" s="29" t="s">
        <v>678</v>
      </c>
      <c r="X246" s="22"/>
      <c r="Y246" s="22"/>
      <c r="Z246" s="29">
        <v>43173</v>
      </c>
      <c r="AA246" s="29"/>
      <c r="AB246" s="29">
        <v>43196</v>
      </c>
      <c r="AC246" s="29">
        <v>43187</v>
      </c>
      <c r="AD246" s="29"/>
      <c r="AE246" s="29"/>
      <c r="AF246" s="48" t="s">
        <v>679</v>
      </c>
      <c r="AG246" s="213" t="s">
        <v>98</v>
      </c>
      <c r="AH246" s="519">
        <v>77</v>
      </c>
      <c r="AI246" s="144"/>
      <c r="AJ246" s="143"/>
      <c r="AK246" s="143"/>
      <c r="AL246" s="143"/>
      <c r="AM246" s="143"/>
      <c r="AN246" s="143"/>
      <c r="AO246" s="143"/>
      <c r="AP246" s="143"/>
      <c r="AQ246" s="143"/>
      <c r="AR246" s="143"/>
    </row>
    <row r="247" spans="1:44" ht="25.5" customHeight="1" x14ac:dyDescent="0.25">
      <c r="A247" s="22"/>
      <c r="B247" s="352">
        <v>2</v>
      </c>
      <c r="C247" s="80">
        <v>5</v>
      </c>
      <c r="D247" s="382" t="s">
        <v>86</v>
      </c>
      <c r="E247" s="65"/>
      <c r="F247" s="22"/>
      <c r="G247" s="42" t="s">
        <v>688</v>
      </c>
      <c r="H247" s="42" t="s">
        <v>675</v>
      </c>
      <c r="I247" s="42"/>
      <c r="J247" s="86"/>
      <c r="K247" s="22" t="s">
        <v>689</v>
      </c>
      <c r="L247" s="85"/>
      <c r="M247" s="25"/>
      <c r="N247" s="50">
        <v>4</v>
      </c>
      <c r="O247" s="22"/>
      <c r="P247" s="81">
        <v>27.09</v>
      </c>
      <c r="Q247" s="28">
        <f t="shared" si="20"/>
        <v>108.36</v>
      </c>
      <c r="R247" s="35"/>
      <c r="S247" s="35">
        <v>97</v>
      </c>
      <c r="T247" s="35"/>
      <c r="U247" s="133">
        <f t="shared" si="21"/>
        <v>11.36</v>
      </c>
      <c r="V247" s="22" t="s">
        <v>677</v>
      </c>
      <c r="W247" s="29" t="s">
        <v>678</v>
      </c>
      <c r="X247" s="22"/>
      <c r="Y247" s="22"/>
      <c r="Z247" s="29">
        <v>43173</v>
      </c>
      <c r="AA247" s="29"/>
      <c r="AB247" s="29">
        <v>43196</v>
      </c>
      <c r="AC247" s="29">
        <v>43187</v>
      </c>
      <c r="AD247" s="29"/>
      <c r="AE247" s="29"/>
      <c r="AF247" s="48" t="s">
        <v>679</v>
      </c>
      <c r="AG247" s="213" t="s">
        <v>98</v>
      </c>
      <c r="AH247" s="519">
        <v>97</v>
      </c>
      <c r="AI247" s="144"/>
      <c r="AJ247" s="143"/>
      <c r="AK247" s="143"/>
      <c r="AL247" s="143"/>
      <c r="AM247" s="143"/>
      <c r="AN247" s="143"/>
      <c r="AO247" s="143"/>
      <c r="AP247" s="143"/>
      <c r="AQ247" s="143"/>
      <c r="AR247" s="143"/>
    </row>
    <row r="248" spans="1:44" ht="25.5" customHeight="1" x14ac:dyDescent="0.25">
      <c r="A248" s="22"/>
      <c r="B248" s="352">
        <v>2</v>
      </c>
      <c r="C248" s="80">
        <v>5</v>
      </c>
      <c r="D248" s="382" t="s">
        <v>86</v>
      </c>
      <c r="E248" s="65"/>
      <c r="F248" s="22"/>
      <c r="G248" s="42" t="s">
        <v>690</v>
      </c>
      <c r="H248" s="42" t="s">
        <v>675</v>
      </c>
      <c r="I248" s="42"/>
      <c r="J248" s="86"/>
      <c r="K248" s="22" t="s">
        <v>691</v>
      </c>
      <c r="L248" s="85"/>
      <c r="M248" s="25"/>
      <c r="N248" s="50">
        <v>5</v>
      </c>
      <c r="O248" s="22"/>
      <c r="P248" s="81">
        <v>388.12</v>
      </c>
      <c r="Q248" s="28">
        <f t="shared" si="20"/>
        <v>1940.6</v>
      </c>
      <c r="R248" s="35"/>
      <c r="S248" s="35">
        <v>1550</v>
      </c>
      <c r="T248" s="35"/>
      <c r="U248" s="133">
        <f t="shared" si="21"/>
        <v>390.59999999999991</v>
      </c>
      <c r="V248" s="22" t="s">
        <v>677</v>
      </c>
      <c r="W248" s="29" t="s">
        <v>678</v>
      </c>
      <c r="X248" s="22"/>
      <c r="Y248" s="22"/>
      <c r="Z248" s="29">
        <v>43173</v>
      </c>
      <c r="AA248" s="29"/>
      <c r="AB248" s="29">
        <v>43196</v>
      </c>
      <c r="AC248" s="29">
        <v>43178</v>
      </c>
      <c r="AD248" s="29"/>
      <c r="AE248" s="29"/>
      <c r="AF248" s="48" t="s">
        <v>679</v>
      </c>
      <c r="AG248" s="213" t="s">
        <v>98</v>
      </c>
      <c r="AH248" s="519">
        <v>1550</v>
      </c>
      <c r="AI248" s="144"/>
      <c r="AJ248" s="143"/>
      <c r="AK248" s="143"/>
      <c r="AL248" s="143"/>
      <c r="AM248" s="143"/>
      <c r="AN248" s="143"/>
      <c r="AO248" s="143"/>
      <c r="AP248" s="143"/>
      <c r="AQ248" s="143"/>
      <c r="AR248" s="143"/>
    </row>
    <row r="249" spans="1:44" ht="12.75" customHeight="1" x14ac:dyDescent="0.25">
      <c r="A249" s="22"/>
      <c r="B249" s="352">
        <v>2</v>
      </c>
      <c r="C249" s="80">
        <v>5</v>
      </c>
      <c r="D249" s="382" t="s">
        <v>86</v>
      </c>
      <c r="E249" s="65"/>
      <c r="F249" s="22"/>
      <c r="G249" s="42" t="s">
        <v>692</v>
      </c>
      <c r="H249" s="42" t="s">
        <v>675</v>
      </c>
      <c r="I249" s="42"/>
      <c r="J249" s="86"/>
      <c r="K249" s="22" t="s">
        <v>693</v>
      </c>
      <c r="L249" s="85"/>
      <c r="M249" s="25"/>
      <c r="N249" s="150">
        <v>5</v>
      </c>
      <c r="O249" s="22"/>
      <c r="P249" s="81">
        <v>388.12</v>
      </c>
      <c r="Q249" s="28">
        <f t="shared" si="20"/>
        <v>1940.6</v>
      </c>
      <c r="R249" s="35"/>
      <c r="S249" s="35">
        <v>1550</v>
      </c>
      <c r="T249" s="35"/>
      <c r="U249" s="133">
        <f t="shared" si="21"/>
        <v>390.59999999999991</v>
      </c>
      <c r="V249" s="22" t="s">
        <v>677</v>
      </c>
      <c r="W249" s="29" t="s">
        <v>678</v>
      </c>
      <c r="X249" s="22"/>
      <c r="Y249" s="22"/>
      <c r="Z249" s="29">
        <v>43173</v>
      </c>
      <c r="AA249" s="29"/>
      <c r="AB249" s="29">
        <v>43196</v>
      </c>
      <c r="AC249" s="29">
        <v>43178</v>
      </c>
      <c r="AD249" s="29"/>
      <c r="AE249" s="29"/>
      <c r="AF249" s="48"/>
      <c r="AG249" s="213" t="s">
        <v>98</v>
      </c>
      <c r="AH249" s="519">
        <v>1550</v>
      </c>
      <c r="AI249" s="144"/>
      <c r="AJ249" s="143"/>
      <c r="AK249" s="143"/>
      <c r="AL249" s="143"/>
      <c r="AM249" s="143"/>
      <c r="AN249" s="143"/>
      <c r="AO249" s="143"/>
      <c r="AP249" s="143"/>
      <c r="AQ249" s="143"/>
      <c r="AR249" s="143"/>
    </row>
    <row r="250" spans="1:44" ht="12.75" customHeight="1" x14ac:dyDescent="0.25">
      <c r="A250" s="22"/>
      <c r="B250" s="352">
        <v>2</v>
      </c>
      <c r="C250" s="80">
        <v>5</v>
      </c>
      <c r="D250" s="382" t="s">
        <v>86</v>
      </c>
      <c r="E250" s="65"/>
      <c r="F250" s="246"/>
      <c r="G250" s="22" t="s">
        <v>694</v>
      </c>
      <c r="H250" s="42" t="s">
        <v>675</v>
      </c>
      <c r="I250" s="42"/>
      <c r="J250" s="448"/>
      <c r="K250" s="22" t="s">
        <v>695</v>
      </c>
      <c r="L250" s="448"/>
      <c r="M250" s="22"/>
      <c r="N250" s="162">
        <v>2</v>
      </c>
      <c r="O250" s="22"/>
      <c r="P250" s="143">
        <v>258.27</v>
      </c>
      <c r="Q250" s="28">
        <f t="shared" si="20"/>
        <v>516.54</v>
      </c>
      <c r="R250" s="21"/>
      <c r="S250" s="28">
        <v>620</v>
      </c>
      <c r="T250" s="28"/>
      <c r="U250" s="133">
        <f t="shared" si="21"/>
        <v>-103.46000000000004</v>
      </c>
      <c r="V250" s="22" t="s">
        <v>677</v>
      </c>
      <c r="W250" s="29" t="s">
        <v>678</v>
      </c>
      <c r="Z250" s="36">
        <v>43173</v>
      </c>
      <c r="AA250" s="21"/>
      <c r="AB250" s="36">
        <v>43178</v>
      </c>
      <c r="AC250" s="29">
        <v>43178</v>
      </c>
      <c r="AD250" s="22"/>
      <c r="AE250" s="22"/>
      <c r="AF250" s="22"/>
      <c r="AG250" s="213" t="s">
        <v>98</v>
      </c>
      <c r="AH250" s="519">
        <v>620</v>
      </c>
      <c r="AI250" s="144"/>
      <c r="AJ250" s="143"/>
      <c r="AK250" s="143"/>
      <c r="AL250" s="143"/>
      <c r="AM250" s="143"/>
      <c r="AN250" s="143"/>
      <c r="AO250" s="143"/>
      <c r="AP250" s="143"/>
      <c r="AQ250" s="143"/>
      <c r="AR250" s="143"/>
    </row>
    <row r="251" spans="1:44" ht="25.5" customHeight="1" x14ac:dyDescent="0.25">
      <c r="A251" s="22"/>
      <c r="B251" s="352">
        <v>2</v>
      </c>
      <c r="C251" s="80">
        <v>5</v>
      </c>
      <c r="D251" s="382" t="s">
        <v>86</v>
      </c>
      <c r="E251" s="65"/>
      <c r="F251" s="22"/>
      <c r="G251" s="42" t="s">
        <v>696</v>
      </c>
      <c r="H251" s="42" t="s">
        <v>675</v>
      </c>
      <c r="I251" s="42"/>
      <c r="J251" s="22"/>
      <c r="K251" s="22" t="s">
        <v>697</v>
      </c>
      <c r="L251" s="25"/>
      <c r="M251" s="25"/>
      <c r="N251" s="150">
        <v>1</v>
      </c>
      <c r="O251" s="22"/>
      <c r="P251" s="81">
        <v>106.49</v>
      </c>
      <c r="Q251" s="28">
        <f t="shared" si="20"/>
        <v>106.49</v>
      </c>
      <c r="R251" s="35"/>
      <c r="S251" s="35">
        <v>100</v>
      </c>
      <c r="T251" s="35"/>
      <c r="U251" s="133">
        <f t="shared" si="21"/>
        <v>6.4899999999999949</v>
      </c>
      <c r="V251" s="22" t="s">
        <v>677</v>
      </c>
      <c r="W251" s="29" t="s">
        <v>678</v>
      </c>
      <c r="X251" s="22"/>
      <c r="Y251" s="22"/>
      <c r="Z251" s="29"/>
      <c r="AA251" s="29"/>
      <c r="AB251" s="29"/>
      <c r="AC251" s="29"/>
      <c r="AD251" s="29"/>
      <c r="AE251" s="29"/>
      <c r="AF251" s="48" t="s">
        <v>679</v>
      </c>
      <c r="AG251" s="213" t="s">
        <v>98</v>
      </c>
      <c r="AH251" s="519">
        <v>100</v>
      </c>
      <c r="AI251" s="144"/>
      <c r="AJ251" s="143"/>
      <c r="AK251" s="143"/>
      <c r="AL251" s="143"/>
      <c r="AM251" s="143"/>
      <c r="AN251" s="143"/>
      <c r="AO251" s="143"/>
      <c r="AP251" s="143"/>
      <c r="AQ251" s="143"/>
      <c r="AR251" s="143"/>
    </row>
    <row r="252" spans="1:44" ht="25.5" customHeight="1" x14ac:dyDescent="0.25">
      <c r="A252" s="22"/>
      <c r="B252" s="352">
        <v>2</v>
      </c>
      <c r="C252" s="80">
        <v>5</v>
      </c>
      <c r="D252" s="382" t="s">
        <v>86</v>
      </c>
      <c r="E252" s="65"/>
      <c r="F252" s="22"/>
      <c r="G252" s="42" t="s">
        <v>698</v>
      </c>
      <c r="H252" s="42" t="s">
        <v>699</v>
      </c>
      <c r="I252" s="42"/>
      <c r="J252" s="86"/>
      <c r="K252" s="22" t="s">
        <v>700</v>
      </c>
      <c r="L252" s="85"/>
      <c r="M252" s="25"/>
      <c r="N252" s="50">
        <v>10</v>
      </c>
      <c r="O252" s="22"/>
      <c r="P252" s="81">
        <v>219</v>
      </c>
      <c r="Q252" s="28">
        <f t="shared" si="20"/>
        <v>2190</v>
      </c>
      <c r="R252" s="35"/>
      <c r="S252" s="35">
        <v>2160</v>
      </c>
      <c r="T252" s="35"/>
      <c r="U252" s="133">
        <f t="shared" si="21"/>
        <v>30</v>
      </c>
      <c r="V252" s="22" t="s">
        <v>701</v>
      </c>
      <c r="W252" s="22" t="s">
        <v>702</v>
      </c>
      <c r="X252" s="22"/>
      <c r="Y252" s="22"/>
      <c r="Z252" s="29">
        <v>43147</v>
      </c>
      <c r="AA252" s="29"/>
      <c r="AB252" s="29">
        <v>43164</v>
      </c>
      <c r="AC252" s="29">
        <v>43178</v>
      </c>
      <c r="AD252" s="29"/>
      <c r="AE252" s="29"/>
      <c r="AF252" s="48" t="s">
        <v>703</v>
      </c>
      <c r="AG252" s="213" t="s">
        <v>98</v>
      </c>
      <c r="AH252" s="519">
        <v>477.14</v>
      </c>
      <c r="AI252" s="144"/>
      <c r="AJ252" s="143"/>
      <c r="AK252" s="143"/>
      <c r="AL252" s="143"/>
      <c r="AM252" s="143"/>
      <c r="AN252" s="143"/>
      <c r="AO252" s="143"/>
      <c r="AP252" s="143"/>
      <c r="AQ252" s="143"/>
      <c r="AR252" s="143"/>
    </row>
    <row r="253" spans="1:44" ht="29.4" customHeight="1" x14ac:dyDescent="0.25">
      <c r="A253" s="22"/>
      <c r="B253" s="352">
        <v>2</v>
      </c>
      <c r="C253" s="80">
        <v>5</v>
      </c>
      <c r="D253" s="382" t="s">
        <v>86</v>
      </c>
      <c r="E253" s="65"/>
      <c r="F253" s="22"/>
      <c r="G253" s="42" t="s">
        <v>704</v>
      </c>
      <c r="H253" s="42" t="s">
        <v>699</v>
      </c>
      <c r="I253" s="42"/>
      <c r="J253" s="86"/>
      <c r="K253" s="22" t="s">
        <v>705</v>
      </c>
      <c r="L253" s="85"/>
      <c r="M253" s="25"/>
      <c r="N253" s="50">
        <v>10</v>
      </c>
      <c r="O253" s="22"/>
      <c r="P253" s="81">
        <v>42</v>
      </c>
      <c r="Q253" s="28">
        <f t="shared" si="20"/>
        <v>420</v>
      </c>
      <c r="R253" s="35"/>
      <c r="S253" s="35">
        <v>420</v>
      </c>
      <c r="T253" s="35"/>
      <c r="U253" s="133">
        <f t="shared" si="21"/>
        <v>0</v>
      </c>
      <c r="V253" s="22" t="s">
        <v>701</v>
      </c>
      <c r="W253" s="22" t="s">
        <v>702</v>
      </c>
      <c r="X253" s="22"/>
      <c r="Y253" s="22"/>
      <c r="Z253" s="29">
        <v>43147</v>
      </c>
      <c r="AA253" s="29"/>
      <c r="AB253" s="29">
        <v>43164</v>
      </c>
      <c r="AC253" s="29">
        <v>43166</v>
      </c>
      <c r="AD253" s="29"/>
      <c r="AE253" s="29"/>
      <c r="AF253" s="48" t="s">
        <v>706</v>
      </c>
      <c r="AG253" s="213" t="s">
        <v>98</v>
      </c>
      <c r="AH253" s="520">
        <v>2332.6</v>
      </c>
      <c r="AI253" s="144"/>
      <c r="AJ253" s="143"/>
      <c r="AK253" s="143"/>
      <c r="AL253" s="143"/>
      <c r="AM253" s="143"/>
      <c r="AN253" s="143"/>
      <c r="AO253" s="143"/>
      <c r="AP253" s="143"/>
      <c r="AQ253" s="143"/>
      <c r="AR253" s="143"/>
    </row>
    <row r="254" spans="1:44" ht="14.1" customHeight="1" x14ac:dyDescent="0.25">
      <c r="A254" s="22"/>
      <c r="B254" s="352">
        <v>2</v>
      </c>
      <c r="C254" s="80">
        <v>5</v>
      </c>
      <c r="D254" s="382" t="s">
        <v>86</v>
      </c>
      <c r="E254" s="65"/>
      <c r="F254" s="22"/>
      <c r="G254" s="42" t="s">
        <v>707</v>
      </c>
      <c r="H254" s="42" t="s">
        <v>708</v>
      </c>
      <c r="I254" s="42"/>
      <c r="J254" s="22"/>
      <c r="K254" s="22" t="s">
        <v>709</v>
      </c>
      <c r="L254" s="42" t="s">
        <v>708</v>
      </c>
      <c r="M254" s="25"/>
      <c r="N254" s="50">
        <v>6</v>
      </c>
      <c r="O254" s="22"/>
      <c r="P254" s="81">
        <v>157.49</v>
      </c>
      <c r="Q254" s="28">
        <f t="shared" si="20"/>
        <v>944.94</v>
      </c>
      <c r="R254" s="35"/>
      <c r="S254" s="35">
        <v>4290</v>
      </c>
      <c r="T254" s="35"/>
      <c r="U254" s="133">
        <f t="shared" si="21"/>
        <v>-3345.06</v>
      </c>
      <c r="V254" s="22" t="s">
        <v>710</v>
      </c>
      <c r="W254" s="22" t="s">
        <v>711</v>
      </c>
      <c r="X254" s="22"/>
      <c r="Y254" s="22"/>
      <c r="Z254" s="29">
        <v>43172</v>
      </c>
      <c r="AA254" s="29"/>
      <c r="AB254" s="29">
        <v>43210</v>
      </c>
      <c r="AC254" s="29">
        <v>43224</v>
      </c>
      <c r="AD254" s="29"/>
      <c r="AE254" s="29"/>
      <c r="AF254" s="22"/>
      <c r="AG254" s="213" t="s">
        <v>98</v>
      </c>
      <c r="AH254" s="519">
        <v>4560.3</v>
      </c>
      <c r="AI254" s="144"/>
      <c r="AJ254" s="143"/>
      <c r="AK254" s="143"/>
      <c r="AL254" s="143"/>
      <c r="AM254" s="143"/>
      <c r="AN254" s="143"/>
      <c r="AO254" s="143"/>
      <c r="AP254" s="143"/>
      <c r="AQ254" s="143"/>
      <c r="AR254" s="143"/>
    </row>
    <row r="255" spans="1:44" ht="12.75" customHeight="1" x14ac:dyDescent="0.25">
      <c r="A255" s="22"/>
      <c r="B255" s="352">
        <v>2</v>
      </c>
      <c r="C255" s="80">
        <v>5</v>
      </c>
      <c r="D255" s="382" t="s">
        <v>86</v>
      </c>
      <c r="E255" s="65"/>
      <c r="F255" s="22"/>
      <c r="G255" s="42" t="s">
        <v>712</v>
      </c>
      <c r="H255" s="42" t="s">
        <v>708</v>
      </c>
      <c r="I255" s="42"/>
      <c r="J255" s="22"/>
      <c r="K255" s="22" t="s">
        <v>713</v>
      </c>
      <c r="L255" s="42" t="s">
        <v>708</v>
      </c>
      <c r="M255" s="25"/>
      <c r="N255" s="50">
        <v>2</v>
      </c>
      <c r="O255" s="22"/>
      <c r="P255" s="81">
        <v>22.03</v>
      </c>
      <c r="Q255" s="28">
        <f t="shared" si="20"/>
        <v>44.06</v>
      </c>
      <c r="R255" s="35"/>
      <c r="S255" s="35">
        <v>270.3</v>
      </c>
      <c r="T255" s="35"/>
      <c r="U255" s="133">
        <f t="shared" si="21"/>
        <v>-226.24</v>
      </c>
      <c r="V255" s="22" t="s">
        <v>710</v>
      </c>
      <c r="W255" s="22" t="s">
        <v>711</v>
      </c>
      <c r="X255" s="22"/>
      <c r="Y255" s="22"/>
      <c r="Z255" s="29">
        <v>43172</v>
      </c>
      <c r="AA255" s="29"/>
      <c r="AB255" s="29">
        <v>43210</v>
      </c>
      <c r="AC255" s="29">
        <v>43224</v>
      </c>
      <c r="AD255" s="29"/>
      <c r="AE255" s="29"/>
      <c r="AF255" s="22"/>
      <c r="AG255" s="213" t="s">
        <v>98</v>
      </c>
      <c r="AH255" s="519">
        <v>0</v>
      </c>
      <c r="AI255" s="144"/>
      <c r="AJ255" s="143"/>
      <c r="AK255" s="143"/>
      <c r="AL255" s="143"/>
      <c r="AM255" s="143"/>
      <c r="AN255" s="143"/>
      <c r="AO255" s="143"/>
      <c r="AP255" s="143"/>
      <c r="AQ255" s="143"/>
      <c r="AR255" s="143"/>
    </row>
    <row r="256" spans="1:44" ht="25.5" customHeight="1" x14ac:dyDescent="0.25">
      <c r="A256" s="22"/>
      <c r="B256" s="352">
        <v>2</v>
      </c>
      <c r="C256" s="80">
        <v>5</v>
      </c>
      <c r="D256" s="382" t="s">
        <v>86</v>
      </c>
      <c r="E256" s="65"/>
      <c r="F256" s="22"/>
      <c r="G256" s="42" t="s">
        <v>714</v>
      </c>
      <c r="H256" s="42" t="s">
        <v>88</v>
      </c>
      <c r="I256" s="42"/>
      <c r="J256" s="86"/>
      <c r="K256" s="22" t="s">
        <v>715</v>
      </c>
      <c r="L256" s="85" t="s">
        <v>88</v>
      </c>
      <c r="M256" s="25"/>
      <c r="N256" s="50">
        <v>2</v>
      </c>
      <c r="O256" s="22"/>
      <c r="P256" s="81">
        <v>859.81</v>
      </c>
      <c r="Q256" s="28">
        <f t="shared" si="20"/>
        <v>1719.62</v>
      </c>
      <c r="R256" s="35"/>
      <c r="S256" s="35">
        <v>1719.62</v>
      </c>
      <c r="T256" s="35"/>
      <c r="U256" s="133">
        <f t="shared" si="21"/>
        <v>0</v>
      </c>
      <c r="V256" s="22" t="s">
        <v>716</v>
      </c>
      <c r="W256" s="22" t="s">
        <v>717</v>
      </c>
      <c r="X256" s="22"/>
      <c r="Y256" s="22"/>
      <c r="Z256" s="29">
        <v>43179</v>
      </c>
      <c r="AA256" s="29"/>
      <c r="AB256" s="29">
        <v>43210</v>
      </c>
      <c r="AC256" s="29">
        <v>43207</v>
      </c>
      <c r="AD256" s="29"/>
      <c r="AE256" s="29"/>
      <c r="AF256" s="288" t="s">
        <v>490</v>
      </c>
      <c r="AG256" s="213" t="s">
        <v>98</v>
      </c>
      <c r="AH256" s="519">
        <v>1719.62</v>
      </c>
      <c r="AI256" s="144"/>
      <c r="AJ256" s="143"/>
      <c r="AK256" s="143"/>
      <c r="AL256" s="143"/>
      <c r="AM256" s="143"/>
      <c r="AN256" s="143"/>
      <c r="AO256" s="143"/>
      <c r="AP256" s="143"/>
      <c r="AQ256" s="143"/>
      <c r="AR256" s="143"/>
    </row>
    <row r="257" spans="1:44" ht="25.5" customHeight="1" x14ac:dyDescent="0.25">
      <c r="A257" s="22"/>
      <c r="B257" s="355">
        <v>2</v>
      </c>
      <c r="C257" s="220">
        <v>5</v>
      </c>
      <c r="D257" s="382" t="s">
        <v>86</v>
      </c>
      <c r="E257" s="67"/>
      <c r="F257" s="38"/>
      <c r="G257" s="221" t="s">
        <v>718</v>
      </c>
      <c r="H257" s="221" t="s">
        <v>88</v>
      </c>
      <c r="I257" s="221"/>
      <c r="J257" s="86"/>
      <c r="K257" s="38" t="s">
        <v>719</v>
      </c>
      <c r="L257" s="85" t="s">
        <v>88</v>
      </c>
      <c r="M257" s="39"/>
      <c r="N257" s="222">
        <v>2</v>
      </c>
      <c r="O257" s="22"/>
      <c r="P257" s="223">
        <v>157.49</v>
      </c>
      <c r="Q257" s="40">
        <f t="shared" si="20"/>
        <v>314.98</v>
      </c>
      <c r="R257" s="35"/>
      <c r="S257" s="224">
        <v>314.98</v>
      </c>
      <c r="T257" s="224"/>
      <c r="U257" s="133">
        <f t="shared" si="21"/>
        <v>0</v>
      </c>
      <c r="V257" s="38" t="s">
        <v>716</v>
      </c>
      <c r="W257" s="38" t="s">
        <v>717</v>
      </c>
      <c r="X257" s="22"/>
      <c r="Y257" s="22"/>
      <c r="Z257" s="41">
        <v>43179</v>
      </c>
      <c r="AA257" s="29"/>
      <c r="AB257" s="41">
        <v>43210</v>
      </c>
      <c r="AC257" s="41">
        <v>43208</v>
      </c>
      <c r="AD257" s="29"/>
      <c r="AE257" s="29"/>
      <c r="AF257" s="288" t="s">
        <v>490</v>
      </c>
      <c r="AG257" s="213" t="s">
        <v>98</v>
      </c>
      <c r="AH257" s="521">
        <v>314.98</v>
      </c>
      <c r="AI257" s="508"/>
      <c r="AJ257" s="504"/>
      <c r="AK257" s="504"/>
      <c r="AL257" s="504"/>
      <c r="AM257" s="504"/>
      <c r="AN257" s="504"/>
      <c r="AO257" s="504"/>
      <c r="AP257" s="504"/>
      <c r="AQ257" s="504"/>
      <c r="AR257" s="504"/>
    </row>
    <row r="258" spans="1:44" s="149" customFormat="1" ht="25.5" customHeight="1" x14ac:dyDescent="0.25">
      <c r="A258" s="217"/>
      <c r="B258" s="356">
        <v>2</v>
      </c>
      <c r="C258" s="166">
        <v>5</v>
      </c>
      <c r="D258" s="382" t="s">
        <v>86</v>
      </c>
      <c r="E258" s="25"/>
      <c r="F258" s="25"/>
      <c r="G258" s="25" t="s">
        <v>720</v>
      </c>
      <c r="H258" s="25" t="s">
        <v>88</v>
      </c>
      <c r="I258" s="25"/>
      <c r="J258" s="218"/>
      <c r="K258" s="25" t="s">
        <v>721</v>
      </c>
      <c r="L258" s="218" t="s">
        <v>88</v>
      </c>
      <c r="M258" s="25"/>
      <c r="N258" s="167">
        <v>1</v>
      </c>
      <c r="O258" s="218"/>
      <c r="P258" s="168">
        <v>24237.879999999997</v>
      </c>
      <c r="Q258" s="28">
        <f t="shared" si="20"/>
        <v>24237.879999999997</v>
      </c>
      <c r="R258" s="218"/>
      <c r="S258" s="28">
        <v>44.06</v>
      </c>
      <c r="T258" s="219"/>
      <c r="U258" s="219">
        <f t="shared" si="21"/>
        <v>24193.819999999996</v>
      </c>
      <c r="V258" s="25" t="s">
        <v>716</v>
      </c>
      <c r="W258" s="25" t="s">
        <v>717</v>
      </c>
      <c r="X258" s="175"/>
      <c r="Y258" s="449"/>
      <c r="Z258" s="29">
        <v>43179</v>
      </c>
      <c r="AA258" s="218"/>
      <c r="AB258" s="29">
        <v>43210</v>
      </c>
      <c r="AC258" s="29">
        <v>43224</v>
      </c>
      <c r="AD258" s="175"/>
      <c r="AE258" s="25"/>
      <c r="AF258" s="450" t="s">
        <v>490</v>
      </c>
      <c r="AG258" s="213" t="s">
        <v>98</v>
      </c>
      <c r="AH258" s="519">
        <v>220.3</v>
      </c>
      <c r="AI258" s="175"/>
      <c r="AJ258" s="143"/>
      <c r="AK258" s="143"/>
      <c r="AL258" s="143"/>
      <c r="AM258" s="143"/>
      <c r="AN258" s="143"/>
      <c r="AO258" s="143"/>
      <c r="AP258" s="143"/>
      <c r="AQ258" s="143"/>
      <c r="AR258" s="143"/>
    </row>
    <row r="259" spans="1:44" ht="12.75" customHeight="1" x14ac:dyDescent="0.25">
      <c r="A259" s="22"/>
      <c r="B259" s="353">
        <v>2</v>
      </c>
      <c r="C259" s="225">
        <v>5</v>
      </c>
      <c r="D259" s="382" t="s">
        <v>86</v>
      </c>
      <c r="E259" s="226"/>
      <c r="F259" s="56"/>
      <c r="G259" s="227" t="s">
        <v>722</v>
      </c>
      <c r="H259" s="227" t="s">
        <v>88</v>
      </c>
      <c r="I259" s="227"/>
      <c r="J259" s="86"/>
      <c r="K259" s="56" t="s">
        <v>723</v>
      </c>
      <c r="L259" s="85" t="s">
        <v>88</v>
      </c>
      <c r="M259" s="228"/>
      <c r="N259" s="229">
        <v>4</v>
      </c>
      <c r="O259" s="22"/>
      <c r="P259" s="230">
        <v>7375.45</v>
      </c>
      <c r="Q259" s="77">
        <f t="shared" si="20"/>
        <v>29501.8</v>
      </c>
      <c r="R259" s="35"/>
      <c r="S259" s="231">
        <v>29783.48</v>
      </c>
      <c r="T259" s="231"/>
      <c r="U259" s="133">
        <f t="shared" si="21"/>
        <v>-281.68000000000029</v>
      </c>
      <c r="V259" s="56" t="s">
        <v>716</v>
      </c>
      <c r="W259" s="56" t="s">
        <v>717</v>
      </c>
      <c r="X259" s="22"/>
      <c r="Y259" s="22"/>
      <c r="Z259" s="232">
        <v>43179</v>
      </c>
      <c r="AA259" s="29"/>
      <c r="AB259" s="232">
        <v>43210</v>
      </c>
      <c r="AC259" s="232">
        <v>43214</v>
      </c>
      <c r="AD259" s="29"/>
      <c r="AE259" s="29"/>
      <c r="AF259" s="288" t="s">
        <v>490</v>
      </c>
      <c r="AG259" s="213" t="s">
        <v>98</v>
      </c>
      <c r="AH259" s="522">
        <v>29783.48</v>
      </c>
      <c r="AI259" s="509"/>
      <c r="AJ259" s="505"/>
      <c r="AK259" s="505"/>
      <c r="AL259" s="505"/>
      <c r="AM259" s="505"/>
      <c r="AN259" s="505"/>
      <c r="AO259" s="505"/>
      <c r="AP259" s="505"/>
      <c r="AQ259" s="505"/>
      <c r="AR259" s="505"/>
    </row>
    <row r="260" spans="1:44" ht="12.75" customHeight="1" x14ac:dyDescent="0.25">
      <c r="A260" s="22"/>
      <c r="B260" s="352">
        <v>2</v>
      </c>
      <c r="C260" s="80">
        <v>5</v>
      </c>
      <c r="D260" s="382" t="s">
        <v>86</v>
      </c>
      <c r="E260" s="65"/>
      <c r="F260" s="22"/>
      <c r="G260" s="42" t="s">
        <v>724</v>
      </c>
      <c r="H260" s="42" t="s">
        <v>88</v>
      </c>
      <c r="I260" s="42"/>
      <c r="J260" s="86"/>
      <c r="K260" s="22" t="s">
        <v>725</v>
      </c>
      <c r="L260" s="85" t="s">
        <v>88</v>
      </c>
      <c r="M260" s="25"/>
      <c r="N260" s="50">
        <v>4</v>
      </c>
      <c r="O260" s="22"/>
      <c r="P260" s="81">
        <v>817.49</v>
      </c>
      <c r="Q260" s="28">
        <f t="shared" si="20"/>
        <v>3269.96</v>
      </c>
      <c r="R260" s="35"/>
      <c r="S260" s="35">
        <v>3269.96</v>
      </c>
      <c r="T260" s="35"/>
      <c r="U260" s="133">
        <f t="shared" si="21"/>
        <v>0</v>
      </c>
      <c r="V260" s="22" t="s">
        <v>716</v>
      </c>
      <c r="W260" s="22" t="s">
        <v>717</v>
      </c>
      <c r="X260" s="22"/>
      <c r="Y260" s="22"/>
      <c r="Z260" s="29">
        <v>43179</v>
      </c>
      <c r="AA260" s="29"/>
      <c r="AB260" s="165">
        <v>43210</v>
      </c>
      <c r="AC260" s="29">
        <v>43208</v>
      </c>
      <c r="AD260" s="29"/>
      <c r="AE260" s="29"/>
      <c r="AF260" s="288" t="s">
        <v>490</v>
      </c>
      <c r="AG260" s="213" t="s">
        <v>98</v>
      </c>
      <c r="AH260" s="519">
        <v>3269.96</v>
      </c>
      <c r="AI260" s="144"/>
      <c r="AJ260" s="143"/>
      <c r="AK260" s="143"/>
      <c r="AL260" s="143"/>
      <c r="AM260" s="143"/>
      <c r="AN260" s="143"/>
      <c r="AO260" s="143"/>
      <c r="AP260" s="143"/>
      <c r="AQ260" s="143"/>
      <c r="AR260" s="143"/>
    </row>
    <row r="261" spans="1:44" ht="12.75" customHeight="1" x14ac:dyDescent="0.25">
      <c r="A261" s="22"/>
      <c r="B261" s="352">
        <v>2</v>
      </c>
      <c r="C261" s="80">
        <v>5</v>
      </c>
      <c r="D261" s="382" t="s">
        <v>86</v>
      </c>
      <c r="E261" s="65"/>
      <c r="F261" s="22"/>
      <c r="G261" s="42" t="s">
        <v>726</v>
      </c>
      <c r="H261" s="42" t="s">
        <v>88</v>
      </c>
      <c r="I261" s="42"/>
      <c r="J261" s="86"/>
      <c r="K261" s="22" t="s">
        <v>727</v>
      </c>
      <c r="L261" s="85" t="s">
        <v>88</v>
      </c>
      <c r="M261" s="25"/>
      <c r="N261" s="50">
        <v>4</v>
      </c>
      <c r="O261" s="22"/>
      <c r="P261" s="81">
        <v>67.989999999999995</v>
      </c>
      <c r="Q261" s="28">
        <f t="shared" si="20"/>
        <v>271.95999999999998</v>
      </c>
      <c r="R261" s="35"/>
      <c r="S261" s="35">
        <v>271.95999999999998</v>
      </c>
      <c r="T261" s="35"/>
      <c r="U261" s="133">
        <f t="shared" si="21"/>
        <v>0</v>
      </c>
      <c r="V261" s="22" t="s">
        <v>716</v>
      </c>
      <c r="W261" s="22" t="s">
        <v>717</v>
      </c>
      <c r="X261" s="22"/>
      <c r="Y261" s="22"/>
      <c r="Z261" s="29">
        <v>43179</v>
      </c>
      <c r="AA261" s="29"/>
      <c r="AB261" s="29">
        <v>43210</v>
      </c>
      <c r="AC261" s="29">
        <v>43208</v>
      </c>
      <c r="AD261" s="29"/>
      <c r="AE261" s="29"/>
      <c r="AF261" s="288" t="s">
        <v>490</v>
      </c>
      <c r="AG261" s="213" t="s">
        <v>98</v>
      </c>
      <c r="AH261" s="519">
        <v>271.95999999999998</v>
      </c>
      <c r="AI261" s="144"/>
      <c r="AJ261" s="143"/>
      <c r="AK261" s="143"/>
      <c r="AL261" s="143"/>
      <c r="AM261" s="143"/>
      <c r="AN261" s="143"/>
      <c r="AO261" s="143"/>
      <c r="AP261" s="143"/>
      <c r="AQ261" s="143"/>
      <c r="AR261" s="143"/>
    </row>
    <row r="262" spans="1:44" ht="12.75" customHeight="1" x14ac:dyDescent="0.25">
      <c r="A262" s="22"/>
      <c r="B262" s="352">
        <v>2</v>
      </c>
      <c r="C262" s="80">
        <v>5</v>
      </c>
      <c r="D262" s="382" t="s">
        <v>86</v>
      </c>
      <c r="E262" s="65"/>
      <c r="F262" s="22"/>
      <c r="G262" s="42" t="s">
        <v>728</v>
      </c>
      <c r="H262" s="42" t="s">
        <v>88</v>
      </c>
      <c r="I262" s="42"/>
      <c r="J262" s="86"/>
      <c r="K262" s="22" t="s">
        <v>729</v>
      </c>
      <c r="L262" s="85" t="s">
        <v>88</v>
      </c>
      <c r="M262" s="25"/>
      <c r="N262" s="50">
        <v>4</v>
      </c>
      <c r="O262" s="22"/>
      <c r="P262" s="81">
        <v>2243.9899999999998</v>
      </c>
      <c r="Q262" s="28">
        <f t="shared" si="20"/>
        <v>8975.9599999999991</v>
      </c>
      <c r="R262" s="35"/>
      <c r="S262" s="35">
        <v>8975.9599999999991</v>
      </c>
      <c r="T262" s="35"/>
      <c r="U262" s="133">
        <f t="shared" si="21"/>
        <v>0</v>
      </c>
      <c r="V262" s="22" t="s">
        <v>716</v>
      </c>
      <c r="W262" s="22" t="s">
        <v>717</v>
      </c>
      <c r="X262" s="22"/>
      <c r="Y262" s="22"/>
      <c r="Z262" s="29">
        <v>43179</v>
      </c>
      <c r="AA262" s="29"/>
      <c r="AB262" s="29">
        <v>43210</v>
      </c>
      <c r="AC262" s="29">
        <v>43208</v>
      </c>
      <c r="AD262" s="29"/>
      <c r="AE262" s="29"/>
      <c r="AF262" s="288" t="s">
        <v>490</v>
      </c>
      <c r="AG262" s="213" t="s">
        <v>98</v>
      </c>
      <c r="AH262" s="519">
        <v>8975.9599999999991</v>
      </c>
      <c r="AI262" s="144"/>
      <c r="AJ262" s="143"/>
      <c r="AK262" s="143"/>
      <c r="AL262" s="143"/>
      <c r="AM262" s="143"/>
      <c r="AN262" s="143"/>
      <c r="AO262" s="143"/>
      <c r="AP262" s="143"/>
      <c r="AQ262" s="143"/>
      <c r="AR262" s="143"/>
    </row>
    <row r="263" spans="1:44" ht="12.75" customHeight="1" x14ac:dyDescent="0.25">
      <c r="A263" s="22"/>
      <c r="B263" s="352">
        <v>2</v>
      </c>
      <c r="C263" s="80">
        <v>5</v>
      </c>
      <c r="D263" s="382" t="s">
        <v>86</v>
      </c>
      <c r="E263" s="65"/>
      <c r="F263" s="22"/>
      <c r="G263" s="42" t="s">
        <v>730</v>
      </c>
      <c r="H263" s="42" t="s">
        <v>88</v>
      </c>
      <c r="I263" s="42"/>
      <c r="J263" s="86"/>
      <c r="K263" s="22" t="s">
        <v>731</v>
      </c>
      <c r="L263" s="85" t="s">
        <v>88</v>
      </c>
      <c r="M263" s="25"/>
      <c r="N263" s="50">
        <v>30</v>
      </c>
      <c r="O263" s="22"/>
      <c r="P263" s="81">
        <v>97.49</v>
      </c>
      <c r="Q263" s="28">
        <f t="shared" si="20"/>
        <v>2924.7</v>
      </c>
      <c r="R263" s="35"/>
      <c r="S263" s="35">
        <v>2924.7</v>
      </c>
      <c r="T263" s="35"/>
      <c r="U263" s="133">
        <f t="shared" si="21"/>
        <v>0</v>
      </c>
      <c r="V263" s="22" t="s">
        <v>716</v>
      </c>
      <c r="W263" s="22" t="s">
        <v>717</v>
      </c>
      <c r="X263" s="22"/>
      <c r="Y263" s="22"/>
      <c r="Z263" s="29">
        <v>43179</v>
      </c>
      <c r="AA263" s="29"/>
      <c r="AB263" s="29">
        <v>43210</v>
      </c>
      <c r="AC263" s="29">
        <v>43208</v>
      </c>
      <c r="AD263" s="29"/>
      <c r="AE263" s="29"/>
      <c r="AF263" s="288" t="s">
        <v>490</v>
      </c>
      <c r="AG263" s="213" t="s">
        <v>98</v>
      </c>
      <c r="AH263" s="519">
        <v>2924.7</v>
      </c>
      <c r="AI263" s="144"/>
      <c r="AJ263" s="143"/>
      <c r="AK263" s="143"/>
      <c r="AL263" s="143"/>
      <c r="AM263" s="143"/>
      <c r="AN263" s="143"/>
      <c r="AO263" s="143"/>
      <c r="AP263" s="143"/>
      <c r="AQ263" s="143"/>
      <c r="AR263" s="143"/>
    </row>
    <row r="264" spans="1:44" ht="12.75" customHeight="1" x14ac:dyDescent="0.25">
      <c r="A264" s="22"/>
      <c r="B264" s="352">
        <v>2</v>
      </c>
      <c r="C264" s="80">
        <v>5</v>
      </c>
      <c r="D264" s="382" t="s">
        <v>86</v>
      </c>
      <c r="E264" s="65"/>
      <c r="F264" s="22"/>
      <c r="G264" s="42" t="s">
        <v>732</v>
      </c>
      <c r="H264" s="42" t="s">
        <v>88</v>
      </c>
      <c r="I264" s="42"/>
      <c r="J264" s="86"/>
      <c r="K264" s="22" t="s">
        <v>733</v>
      </c>
      <c r="L264" s="85" t="s">
        <v>88</v>
      </c>
      <c r="M264" s="25"/>
      <c r="N264" s="50">
        <v>8</v>
      </c>
      <c r="O264" s="22"/>
      <c r="P264" s="81">
        <v>904.23</v>
      </c>
      <c r="Q264" s="28">
        <f t="shared" si="20"/>
        <v>7233.84</v>
      </c>
      <c r="R264" s="35"/>
      <c r="S264" s="35">
        <v>7233.84</v>
      </c>
      <c r="T264" s="35"/>
      <c r="U264" s="133">
        <f t="shared" si="21"/>
        <v>0</v>
      </c>
      <c r="V264" s="22" t="s">
        <v>716</v>
      </c>
      <c r="W264" s="22" t="s">
        <v>717</v>
      </c>
      <c r="X264" s="22"/>
      <c r="Y264" s="22"/>
      <c r="Z264" s="29">
        <v>43179</v>
      </c>
      <c r="AA264" s="29"/>
      <c r="AB264" s="29">
        <v>43210</v>
      </c>
      <c r="AC264" s="29">
        <v>43208</v>
      </c>
      <c r="AD264" s="29"/>
      <c r="AE264" s="29"/>
      <c r="AF264" s="288" t="s">
        <v>490</v>
      </c>
      <c r="AG264" s="213" t="s">
        <v>98</v>
      </c>
      <c r="AH264" s="519">
        <v>7233.84</v>
      </c>
      <c r="AI264" s="144"/>
      <c r="AJ264" s="143"/>
      <c r="AK264" s="143"/>
      <c r="AL264" s="143"/>
      <c r="AM264" s="143"/>
      <c r="AN264" s="143"/>
      <c r="AO264" s="143"/>
      <c r="AP264" s="143"/>
      <c r="AQ264" s="143"/>
      <c r="AR264" s="143"/>
    </row>
    <row r="265" spans="1:44" ht="12.75" customHeight="1" x14ac:dyDescent="0.25">
      <c r="A265" s="22"/>
      <c r="B265" s="352">
        <v>2</v>
      </c>
      <c r="C265" s="80">
        <v>5</v>
      </c>
      <c r="D265" s="382" t="s">
        <v>86</v>
      </c>
      <c r="E265" s="65"/>
      <c r="F265" s="22"/>
      <c r="G265" s="42" t="s">
        <v>734</v>
      </c>
      <c r="H265" s="42" t="s">
        <v>88</v>
      </c>
      <c r="I265" s="42"/>
      <c r="J265" s="86"/>
      <c r="K265" s="22" t="s">
        <v>721</v>
      </c>
      <c r="L265" s="85" t="s">
        <v>88</v>
      </c>
      <c r="M265" s="25"/>
      <c r="N265" s="50">
        <v>8</v>
      </c>
      <c r="O265" s="22"/>
      <c r="P265" s="81">
        <v>22.03</v>
      </c>
      <c r="Q265" s="28">
        <f t="shared" si="20"/>
        <v>176.24</v>
      </c>
      <c r="R265" s="35"/>
      <c r="S265" s="35">
        <v>176.24</v>
      </c>
      <c r="T265" s="35"/>
      <c r="U265" s="133">
        <f t="shared" si="21"/>
        <v>0</v>
      </c>
      <c r="V265" s="22" t="s">
        <v>716</v>
      </c>
      <c r="W265" s="22" t="s">
        <v>717</v>
      </c>
      <c r="X265" s="22"/>
      <c r="Y265" s="22"/>
      <c r="Z265" s="29">
        <v>43179</v>
      </c>
      <c r="AA265" s="29"/>
      <c r="AB265" s="29">
        <v>43210</v>
      </c>
      <c r="AC265" s="29">
        <v>43224</v>
      </c>
      <c r="AD265" s="29"/>
      <c r="AE265" s="29"/>
      <c r="AF265" s="288" t="s">
        <v>490</v>
      </c>
      <c r="AG265" s="213" t="s">
        <v>98</v>
      </c>
      <c r="AH265" s="519">
        <v>0</v>
      </c>
      <c r="AI265" s="144"/>
      <c r="AJ265" s="143"/>
      <c r="AK265" s="143"/>
      <c r="AL265" s="143"/>
      <c r="AM265" s="143"/>
      <c r="AN265" s="143"/>
      <c r="AO265" s="143"/>
      <c r="AP265" s="143"/>
      <c r="AQ265" s="143"/>
      <c r="AR265" s="143"/>
    </row>
    <row r="266" spans="1:44" ht="51" customHeight="1" x14ac:dyDescent="0.25">
      <c r="A266" s="22"/>
      <c r="B266" s="352">
        <v>2</v>
      </c>
      <c r="C266" s="80">
        <v>5</v>
      </c>
      <c r="D266" s="382" t="s">
        <v>86</v>
      </c>
      <c r="E266" s="65"/>
      <c r="F266" s="22"/>
      <c r="G266" s="42" t="s">
        <v>735</v>
      </c>
      <c r="H266" s="42" t="s">
        <v>736</v>
      </c>
      <c r="I266" s="42"/>
      <c r="J266" s="86"/>
      <c r="K266" s="22" t="s">
        <v>737</v>
      </c>
      <c r="L266" s="85"/>
      <c r="M266" s="25"/>
      <c r="N266" s="50">
        <v>2</v>
      </c>
      <c r="O266" s="22"/>
      <c r="P266" s="81">
        <v>395</v>
      </c>
      <c r="Q266" s="28">
        <f t="shared" si="20"/>
        <v>790</v>
      </c>
      <c r="R266" s="35"/>
      <c r="S266" s="35">
        <v>671.48</v>
      </c>
      <c r="T266" s="35"/>
      <c r="U266" s="133">
        <f t="shared" si="21"/>
        <v>118.51999999999998</v>
      </c>
      <c r="V266" s="22" t="s">
        <v>738</v>
      </c>
      <c r="W266" s="22" t="s">
        <v>739</v>
      </c>
      <c r="X266" s="22"/>
      <c r="Y266" s="22"/>
      <c r="Z266" s="29">
        <v>43161</v>
      </c>
      <c r="AA266" s="29"/>
      <c r="AB266" s="29">
        <v>43168</v>
      </c>
      <c r="AC266" s="29">
        <v>43180</v>
      </c>
      <c r="AD266" s="29"/>
      <c r="AE266" s="29"/>
      <c r="AF266" s="22" t="s">
        <v>740</v>
      </c>
      <c r="AG266" s="213" t="s">
        <v>98</v>
      </c>
      <c r="AH266" s="519">
        <v>671.48</v>
      </c>
      <c r="AI266" s="144"/>
      <c r="AJ266" s="143"/>
      <c r="AK266" s="143"/>
      <c r="AL266" s="143"/>
      <c r="AM266" s="143"/>
      <c r="AN266" s="143"/>
      <c r="AO266" s="143"/>
      <c r="AP266" s="143"/>
      <c r="AQ266" s="143"/>
      <c r="AR266" s="143"/>
    </row>
    <row r="267" spans="1:44" ht="51" customHeight="1" x14ac:dyDescent="0.25">
      <c r="A267" s="22"/>
      <c r="B267" s="352">
        <v>2</v>
      </c>
      <c r="C267" s="80">
        <v>5</v>
      </c>
      <c r="D267" s="382" t="s">
        <v>86</v>
      </c>
      <c r="E267" s="65"/>
      <c r="F267" s="22"/>
      <c r="G267" s="42" t="s">
        <v>741</v>
      </c>
      <c r="H267" s="42" t="s">
        <v>736</v>
      </c>
      <c r="I267" s="42"/>
      <c r="J267" s="86"/>
      <c r="K267" s="22" t="s">
        <v>742</v>
      </c>
      <c r="L267" s="85"/>
      <c r="M267" s="25"/>
      <c r="N267" s="50">
        <v>2</v>
      </c>
      <c r="O267" s="22"/>
      <c r="P267" s="81">
        <v>114</v>
      </c>
      <c r="Q267" s="28">
        <f t="shared" si="20"/>
        <v>228</v>
      </c>
      <c r="R267" s="35"/>
      <c r="S267" s="35">
        <v>193.8</v>
      </c>
      <c r="T267" s="35"/>
      <c r="U267" s="133">
        <f t="shared" si="21"/>
        <v>34.199999999999989</v>
      </c>
      <c r="V267" s="22" t="s">
        <v>738</v>
      </c>
      <c r="W267" s="22" t="s">
        <v>739</v>
      </c>
      <c r="X267" s="22"/>
      <c r="Y267" s="22"/>
      <c r="Z267" s="29">
        <v>43161</v>
      </c>
      <c r="AA267" s="29"/>
      <c r="AB267" s="29">
        <v>43168</v>
      </c>
      <c r="AC267" s="29">
        <v>43180</v>
      </c>
      <c r="AD267" s="29"/>
      <c r="AE267" s="29"/>
      <c r="AF267" s="22" t="s">
        <v>740</v>
      </c>
      <c r="AG267" s="213" t="s">
        <v>98</v>
      </c>
      <c r="AH267" s="519">
        <v>193.8</v>
      </c>
      <c r="AI267" s="144"/>
      <c r="AJ267" s="143"/>
      <c r="AK267" s="143"/>
      <c r="AL267" s="143"/>
      <c r="AM267" s="143"/>
      <c r="AN267" s="143"/>
      <c r="AO267" s="143"/>
      <c r="AP267" s="143"/>
      <c r="AQ267" s="143"/>
      <c r="AR267" s="143"/>
    </row>
    <row r="268" spans="1:44" ht="33.6" customHeight="1" x14ac:dyDescent="0.25">
      <c r="A268" s="86"/>
      <c r="B268" s="352">
        <v>2</v>
      </c>
      <c r="C268" s="80">
        <v>5</v>
      </c>
      <c r="D268" s="382" t="s">
        <v>86</v>
      </c>
      <c r="E268" s="65"/>
      <c r="F268" s="86"/>
      <c r="G268" s="42" t="s">
        <v>743</v>
      </c>
      <c r="H268" s="42" t="s">
        <v>744</v>
      </c>
      <c r="I268" s="42"/>
      <c r="J268" s="86"/>
      <c r="K268" s="22" t="s">
        <v>745</v>
      </c>
      <c r="L268" s="85" t="s">
        <v>744</v>
      </c>
      <c r="M268" s="25"/>
      <c r="N268" s="50">
        <v>2</v>
      </c>
      <c r="O268" s="22"/>
      <c r="P268" s="81">
        <v>77.69</v>
      </c>
      <c r="Q268" s="28">
        <f t="shared" si="20"/>
        <v>155.38</v>
      </c>
      <c r="R268" s="180"/>
      <c r="S268" s="35">
        <v>176.91</v>
      </c>
      <c r="T268" s="35"/>
      <c r="U268" s="133">
        <f t="shared" si="21"/>
        <v>-21.53</v>
      </c>
      <c r="V268" s="22" t="s">
        <v>746</v>
      </c>
      <c r="W268" s="22" t="s">
        <v>747</v>
      </c>
      <c r="X268" s="86"/>
      <c r="Y268" s="86"/>
      <c r="Z268" s="29">
        <v>43161</v>
      </c>
      <c r="AA268" s="173"/>
      <c r="AB268" s="29">
        <v>43166</v>
      </c>
      <c r="AC268" s="29">
        <v>43166</v>
      </c>
      <c r="AD268" s="29"/>
      <c r="AE268" s="29"/>
      <c r="AF268" s="288" t="s">
        <v>490</v>
      </c>
      <c r="AG268" s="213" t="s">
        <v>98</v>
      </c>
      <c r="AH268" s="519">
        <v>176.91</v>
      </c>
      <c r="AI268" s="144"/>
      <c r="AJ268" s="143"/>
      <c r="AK268" s="143"/>
      <c r="AL268" s="143"/>
      <c r="AM268" s="143"/>
      <c r="AN268" s="143"/>
      <c r="AO268" s="143"/>
      <c r="AP268" s="143"/>
      <c r="AQ268" s="143"/>
      <c r="AR268" s="143"/>
    </row>
    <row r="269" spans="1:44" ht="25.5" customHeight="1" x14ac:dyDescent="0.25">
      <c r="A269" s="86"/>
      <c r="B269" s="352">
        <v>2</v>
      </c>
      <c r="C269" s="80">
        <v>5</v>
      </c>
      <c r="D269" s="382" t="s">
        <v>86</v>
      </c>
      <c r="E269" s="65"/>
      <c r="F269" s="86"/>
      <c r="G269" s="42" t="s">
        <v>748</v>
      </c>
      <c r="H269" s="42" t="s">
        <v>749</v>
      </c>
      <c r="I269" s="42"/>
      <c r="J269" s="451"/>
      <c r="K269" s="22" t="s">
        <v>750</v>
      </c>
      <c r="L269" s="85"/>
      <c r="M269" s="25"/>
      <c r="N269" s="50">
        <v>5</v>
      </c>
      <c r="O269" s="22"/>
      <c r="P269" s="81">
        <v>946.21</v>
      </c>
      <c r="Q269" s="28">
        <f t="shared" si="20"/>
        <v>4731.05</v>
      </c>
      <c r="R269" s="180"/>
      <c r="S269" s="28">
        <v>5121.78</v>
      </c>
      <c r="T269" s="28"/>
      <c r="U269" s="133">
        <f t="shared" si="21"/>
        <v>-390.72999999999956</v>
      </c>
      <c r="V269" s="22" t="s">
        <v>751</v>
      </c>
      <c r="W269" s="215" t="s">
        <v>752</v>
      </c>
      <c r="X269" s="86"/>
      <c r="Y269" s="86"/>
      <c r="Z269" s="29">
        <v>43178</v>
      </c>
      <c r="AA269" s="173"/>
      <c r="AB269" s="29">
        <v>43189</v>
      </c>
      <c r="AC269" s="29">
        <v>43333</v>
      </c>
      <c r="AD269" s="29"/>
      <c r="AE269" s="29"/>
      <c r="AF269" s="22" t="s">
        <v>753</v>
      </c>
      <c r="AG269" s="213" t="s">
        <v>98</v>
      </c>
      <c r="AH269" s="519">
        <v>5032.6499999999996</v>
      </c>
      <c r="AI269" s="21"/>
      <c r="AJ269" s="143"/>
      <c r="AK269" s="143"/>
      <c r="AL269" s="143"/>
      <c r="AM269" s="143"/>
      <c r="AN269" s="143"/>
      <c r="AO269" s="143"/>
      <c r="AP269" s="143"/>
      <c r="AQ269" s="143"/>
      <c r="AR269" s="143"/>
    </row>
    <row r="270" spans="1:44" ht="38.25" customHeight="1" x14ac:dyDescent="0.25">
      <c r="A270" s="22"/>
      <c r="B270" s="352">
        <v>2</v>
      </c>
      <c r="C270" s="80">
        <v>5</v>
      </c>
      <c r="D270" s="382" t="s">
        <v>86</v>
      </c>
      <c r="E270" s="65"/>
      <c r="F270" s="22"/>
      <c r="G270" s="42" t="s">
        <v>754</v>
      </c>
      <c r="H270" s="42" t="s">
        <v>755</v>
      </c>
      <c r="I270" s="42"/>
      <c r="J270" s="86"/>
      <c r="K270" s="22" t="s">
        <v>756</v>
      </c>
      <c r="L270" s="85"/>
      <c r="M270" s="25"/>
      <c r="N270" s="50">
        <v>3</v>
      </c>
      <c r="O270" s="22"/>
      <c r="P270" s="81">
        <v>152.65299999999999</v>
      </c>
      <c r="Q270" s="28">
        <f t="shared" si="20"/>
        <v>457.95899999999995</v>
      </c>
      <c r="R270" s="35"/>
      <c r="S270" s="35">
        <v>461.58</v>
      </c>
      <c r="T270" s="35"/>
      <c r="U270" s="133">
        <f t="shared" si="21"/>
        <v>-3.6210000000000377</v>
      </c>
      <c r="V270" s="22" t="s">
        <v>757</v>
      </c>
      <c r="W270" s="35" t="s">
        <v>758</v>
      </c>
      <c r="X270" s="22"/>
      <c r="Y270" s="22"/>
      <c r="Z270" s="29">
        <v>43167</v>
      </c>
      <c r="AA270" s="29"/>
      <c r="AB270" s="29">
        <v>43174</v>
      </c>
      <c r="AC270" s="29">
        <v>43188</v>
      </c>
      <c r="AD270" s="29"/>
      <c r="AE270" s="29"/>
      <c r="AF270" s="22" t="s">
        <v>540</v>
      </c>
      <c r="AG270" s="213" t="s">
        <v>98</v>
      </c>
      <c r="AH270" s="519">
        <v>461.58</v>
      </c>
      <c r="AI270" s="144"/>
      <c r="AJ270" s="143"/>
      <c r="AK270" s="143"/>
      <c r="AL270" s="143"/>
      <c r="AM270" s="143"/>
      <c r="AN270" s="143"/>
      <c r="AO270" s="143"/>
      <c r="AP270" s="143"/>
      <c r="AQ270" s="143"/>
      <c r="AR270" s="143"/>
    </row>
    <row r="271" spans="1:44" ht="27.6" customHeight="1" x14ac:dyDescent="0.25">
      <c r="A271" s="86"/>
      <c r="B271" s="352">
        <v>2</v>
      </c>
      <c r="C271" s="80">
        <v>5</v>
      </c>
      <c r="D271" s="382" t="s">
        <v>86</v>
      </c>
      <c r="E271" s="65"/>
      <c r="F271" s="86"/>
      <c r="G271" s="42" t="s">
        <v>759</v>
      </c>
      <c r="H271" s="42" t="s">
        <v>760</v>
      </c>
      <c r="I271" s="42"/>
      <c r="J271" s="86"/>
      <c r="K271" s="22" t="s">
        <v>761</v>
      </c>
      <c r="L271" s="85" t="s">
        <v>762</v>
      </c>
      <c r="M271" s="25"/>
      <c r="N271" s="50">
        <v>1</v>
      </c>
      <c r="O271" s="22"/>
      <c r="P271" s="81">
        <v>3568.09</v>
      </c>
      <c r="Q271" s="28">
        <f t="shared" ref="Q271:Q292" si="22">N271*P271</f>
        <v>3568.09</v>
      </c>
      <c r="R271" s="180"/>
      <c r="S271" s="35">
        <v>1864.34</v>
      </c>
      <c r="T271" s="35"/>
      <c r="U271" s="133">
        <f t="shared" ref="U271:U282" si="23">Q271-S271</f>
        <v>1703.7500000000002</v>
      </c>
      <c r="V271" s="22" t="s">
        <v>763</v>
      </c>
      <c r="W271" s="22" t="s">
        <v>764</v>
      </c>
      <c r="X271" s="86"/>
      <c r="Y271" s="86"/>
      <c r="Z271" s="29">
        <v>43215</v>
      </c>
      <c r="AA271" s="173"/>
      <c r="AB271" s="29">
        <v>43238</v>
      </c>
      <c r="AC271" s="29">
        <v>43230</v>
      </c>
      <c r="AD271" s="29"/>
      <c r="AE271" s="29"/>
      <c r="AF271" s="22" t="s">
        <v>529</v>
      </c>
      <c r="AG271" s="213" t="s">
        <v>98</v>
      </c>
      <c r="AH271" s="516">
        <v>1864.34</v>
      </c>
      <c r="AI271" s="144"/>
      <c r="AJ271" s="143"/>
      <c r="AK271" s="143"/>
      <c r="AL271" s="143"/>
      <c r="AM271" s="143"/>
      <c r="AN271" s="143"/>
      <c r="AO271" s="143"/>
      <c r="AP271" s="143"/>
      <c r="AQ271" s="143"/>
      <c r="AR271" s="143"/>
    </row>
    <row r="272" spans="1:44" ht="47.4" customHeight="1" x14ac:dyDescent="0.25">
      <c r="A272" s="86"/>
      <c r="B272" s="352">
        <v>2</v>
      </c>
      <c r="C272" s="80">
        <v>5</v>
      </c>
      <c r="D272" s="382" t="s">
        <v>86</v>
      </c>
      <c r="E272" s="65"/>
      <c r="F272" s="86"/>
      <c r="G272" s="42" t="s">
        <v>765</v>
      </c>
      <c r="H272" s="42" t="s">
        <v>760</v>
      </c>
      <c r="I272" s="42"/>
      <c r="J272" s="86"/>
      <c r="K272" s="22" t="s">
        <v>766</v>
      </c>
      <c r="L272" s="85" t="s">
        <v>762</v>
      </c>
      <c r="M272" s="25"/>
      <c r="N272" s="50">
        <v>1</v>
      </c>
      <c r="O272" s="22"/>
      <c r="P272" s="81">
        <v>1000</v>
      </c>
      <c r="Q272" s="28">
        <f t="shared" si="22"/>
        <v>1000</v>
      </c>
      <c r="R272" s="180"/>
      <c r="S272" s="35">
        <v>373.45</v>
      </c>
      <c r="T272" s="35"/>
      <c r="U272" s="133">
        <f t="shared" si="23"/>
        <v>626.54999999999995</v>
      </c>
      <c r="V272" s="22" t="s">
        <v>763</v>
      </c>
      <c r="W272" s="22" t="s">
        <v>764</v>
      </c>
      <c r="X272" s="86"/>
      <c r="Y272" s="86"/>
      <c r="Z272" s="29">
        <v>43215</v>
      </c>
      <c r="AA272" s="173"/>
      <c r="AB272" s="29">
        <v>43238</v>
      </c>
      <c r="AC272" s="29">
        <v>43230</v>
      </c>
      <c r="AD272" s="29"/>
      <c r="AE272" s="29"/>
      <c r="AF272" s="22" t="s">
        <v>529</v>
      </c>
      <c r="AG272" s="213" t="s">
        <v>98</v>
      </c>
      <c r="AH272" s="519">
        <v>373.45</v>
      </c>
      <c r="AI272" s="144"/>
      <c r="AJ272" s="143"/>
      <c r="AK272" s="143"/>
      <c r="AL272" s="143"/>
      <c r="AM272" s="143"/>
      <c r="AN272" s="143"/>
      <c r="AO272" s="143"/>
      <c r="AP272" s="143"/>
      <c r="AQ272" s="143"/>
      <c r="AR272" s="143"/>
    </row>
    <row r="273" spans="1:44" ht="42" customHeight="1" x14ac:dyDescent="0.25">
      <c r="A273" s="22"/>
      <c r="B273" s="352">
        <v>2</v>
      </c>
      <c r="C273" s="80">
        <v>5</v>
      </c>
      <c r="D273" s="382" t="s">
        <v>86</v>
      </c>
      <c r="E273" s="65"/>
      <c r="F273" s="22"/>
      <c r="G273" s="42" t="s">
        <v>767</v>
      </c>
      <c r="H273" s="42" t="s">
        <v>768</v>
      </c>
      <c r="I273" s="42"/>
      <c r="J273" s="86"/>
      <c r="K273" s="22" t="s">
        <v>769</v>
      </c>
      <c r="L273" s="85" t="s">
        <v>762</v>
      </c>
      <c r="M273" s="25"/>
      <c r="N273" s="50">
        <v>1</v>
      </c>
      <c r="O273" s="22"/>
      <c r="P273" s="81">
        <v>1000</v>
      </c>
      <c r="Q273" s="28">
        <f t="shared" si="22"/>
        <v>1000</v>
      </c>
      <c r="R273" s="35"/>
      <c r="S273" s="35">
        <v>425.39</v>
      </c>
      <c r="T273" s="35"/>
      <c r="U273" s="133">
        <f t="shared" si="23"/>
        <v>574.61</v>
      </c>
      <c r="V273" s="22" t="s">
        <v>763</v>
      </c>
      <c r="W273" s="22" t="s">
        <v>764</v>
      </c>
      <c r="X273" s="22"/>
      <c r="Y273" s="22"/>
      <c r="Z273" s="29">
        <v>43215</v>
      </c>
      <c r="AA273" s="29"/>
      <c r="AB273" s="29">
        <v>43238</v>
      </c>
      <c r="AC273" s="29">
        <v>43230</v>
      </c>
      <c r="AD273" s="29"/>
      <c r="AE273" s="29"/>
      <c r="AF273" s="22" t="s">
        <v>529</v>
      </c>
      <c r="AG273" s="213" t="s">
        <v>98</v>
      </c>
      <c r="AH273" s="519">
        <v>425.39</v>
      </c>
      <c r="AI273" s="144"/>
      <c r="AJ273" s="143"/>
      <c r="AK273" s="143"/>
      <c r="AL273" s="143"/>
      <c r="AM273" s="143"/>
      <c r="AN273" s="143"/>
      <c r="AO273" s="143"/>
      <c r="AP273" s="143"/>
      <c r="AQ273" s="143"/>
      <c r="AR273" s="143"/>
    </row>
    <row r="274" spans="1:44" ht="30" customHeight="1" x14ac:dyDescent="0.25">
      <c r="A274" s="22"/>
      <c r="B274" s="352">
        <v>2</v>
      </c>
      <c r="C274" s="80">
        <v>5</v>
      </c>
      <c r="D274" s="382" t="s">
        <v>86</v>
      </c>
      <c r="E274" s="65"/>
      <c r="F274" s="22"/>
      <c r="G274" s="42" t="s">
        <v>770</v>
      </c>
      <c r="H274" s="42" t="s">
        <v>760</v>
      </c>
      <c r="I274" s="42"/>
      <c r="J274" s="86"/>
      <c r="K274" s="22" t="s">
        <v>771</v>
      </c>
      <c r="L274" s="85" t="s">
        <v>762</v>
      </c>
      <c r="M274" s="25"/>
      <c r="N274" s="50">
        <v>1</v>
      </c>
      <c r="O274" s="22"/>
      <c r="P274" s="81">
        <v>2000</v>
      </c>
      <c r="Q274" s="28">
        <f t="shared" si="22"/>
        <v>2000</v>
      </c>
      <c r="R274" s="35"/>
      <c r="S274" s="35">
        <v>194</v>
      </c>
      <c r="T274" s="35"/>
      <c r="U274" s="133">
        <f t="shared" si="23"/>
        <v>1806</v>
      </c>
      <c r="V274" s="22" t="s">
        <v>763</v>
      </c>
      <c r="W274" s="22" t="s">
        <v>764</v>
      </c>
      <c r="X274" s="22"/>
      <c r="Y274" s="22"/>
      <c r="Z274" s="29">
        <v>43215</v>
      </c>
      <c r="AA274" s="29"/>
      <c r="AB274" s="29">
        <v>43238</v>
      </c>
      <c r="AC274" s="29">
        <v>43230</v>
      </c>
      <c r="AD274" s="29"/>
      <c r="AE274" s="29"/>
      <c r="AF274" s="22" t="s">
        <v>529</v>
      </c>
      <c r="AG274" s="213" t="s">
        <v>98</v>
      </c>
      <c r="AH274" s="519">
        <v>194</v>
      </c>
      <c r="AI274" s="144"/>
      <c r="AJ274" s="143"/>
      <c r="AK274" s="143"/>
      <c r="AL274" s="143"/>
      <c r="AM274" s="143"/>
      <c r="AN274" s="143"/>
      <c r="AO274" s="143"/>
      <c r="AP274" s="143"/>
      <c r="AQ274" s="143"/>
      <c r="AR274" s="143"/>
    </row>
    <row r="275" spans="1:44" ht="39" customHeight="1" x14ac:dyDescent="0.25">
      <c r="A275" s="22"/>
      <c r="B275" s="352">
        <v>2</v>
      </c>
      <c r="C275" s="80">
        <v>5</v>
      </c>
      <c r="D275" s="382" t="s">
        <v>86</v>
      </c>
      <c r="E275" s="65"/>
      <c r="F275" s="22"/>
      <c r="G275" s="42" t="s">
        <v>772</v>
      </c>
      <c r="H275" s="42" t="s">
        <v>760</v>
      </c>
      <c r="I275" s="42"/>
      <c r="J275" s="86"/>
      <c r="K275" s="22" t="s">
        <v>773</v>
      </c>
      <c r="L275" s="85" t="s">
        <v>762</v>
      </c>
      <c r="M275" s="25"/>
      <c r="N275" s="50">
        <v>1</v>
      </c>
      <c r="O275" s="22"/>
      <c r="P275" s="81">
        <v>750</v>
      </c>
      <c r="Q275" s="28">
        <f t="shared" si="22"/>
        <v>750</v>
      </c>
      <c r="R275" s="35"/>
      <c r="S275" s="35">
        <v>727.5</v>
      </c>
      <c r="T275" s="35"/>
      <c r="U275" s="133">
        <f t="shared" si="23"/>
        <v>22.5</v>
      </c>
      <c r="V275" s="22" t="s">
        <v>763</v>
      </c>
      <c r="W275" s="22" t="s">
        <v>764</v>
      </c>
      <c r="X275" s="22"/>
      <c r="Y275" s="22"/>
      <c r="Z275" s="29">
        <v>43215</v>
      </c>
      <c r="AA275" s="29"/>
      <c r="AB275" s="29">
        <v>43238</v>
      </c>
      <c r="AC275" s="29">
        <v>43230</v>
      </c>
      <c r="AD275" s="29"/>
      <c r="AE275" s="29"/>
      <c r="AF275" s="22" t="s">
        <v>529</v>
      </c>
      <c r="AG275" s="213" t="s">
        <v>98</v>
      </c>
      <c r="AH275" s="519">
        <v>727.5</v>
      </c>
      <c r="AI275" s="144"/>
      <c r="AJ275" s="143"/>
      <c r="AK275" s="143"/>
      <c r="AL275" s="143"/>
      <c r="AM275" s="143"/>
      <c r="AN275" s="143"/>
      <c r="AO275" s="143"/>
      <c r="AP275" s="143"/>
      <c r="AQ275" s="143"/>
      <c r="AR275" s="143"/>
    </row>
    <row r="276" spans="1:44" ht="34.5" customHeight="1" x14ac:dyDescent="0.25">
      <c r="A276" s="22"/>
      <c r="B276" s="352">
        <v>2</v>
      </c>
      <c r="C276" s="80">
        <v>5</v>
      </c>
      <c r="D276" s="382" t="s">
        <v>86</v>
      </c>
      <c r="E276" s="65"/>
      <c r="F276" s="22"/>
      <c r="G276" s="42" t="s">
        <v>774</v>
      </c>
      <c r="H276" s="42" t="s">
        <v>760</v>
      </c>
      <c r="I276" s="42"/>
      <c r="J276" s="86"/>
      <c r="K276" s="22" t="s">
        <v>775</v>
      </c>
      <c r="L276" s="85" t="s">
        <v>762</v>
      </c>
      <c r="M276" s="25"/>
      <c r="N276" s="50">
        <v>4</v>
      </c>
      <c r="O276" s="22"/>
      <c r="P276" s="81">
        <v>630</v>
      </c>
      <c r="Q276" s="28">
        <f t="shared" si="22"/>
        <v>2520</v>
      </c>
      <c r="R276" s="35"/>
      <c r="S276" s="35">
        <v>2444.4</v>
      </c>
      <c r="T276" s="35"/>
      <c r="U276" s="133">
        <f t="shared" si="23"/>
        <v>75.599999999999909</v>
      </c>
      <c r="V276" s="22" t="s">
        <v>763</v>
      </c>
      <c r="W276" s="22" t="s">
        <v>764</v>
      </c>
      <c r="X276" s="22"/>
      <c r="Y276" s="22"/>
      <c r="Z276" s="29">
        <v>43215</v>
      </c>
      <c r="AA276" s="29"/>
      <c r="AB276" s="29">
        <v>43238</v>
      </c>
      <c r="AC276" s="29">
        <v>43230</v>
      </c>
      <c r="AD276" s="29"/>
      <c r="AE276" s="29"/>
      <c r="AF276" s="22" t="s">
        <v>529</v>
      </c>
      <c r="AG276" s="213" t="s">
        <v>98</v>
      </c>
      <c r="AH276" s="519">
        <v>2444.4</v>
      </c>
      <c r="AI276" s="144"/>
      <c r="AJ276" s="143"/>
      <c r="AK276" s="143"/>
      <c r="AL276" s="143"/>
      <c r="AM276" s="143"/>
      <c r="AN276" s="143"/>
      <c r="AO276" s="143"/>
      <c r="AP276" s="143"/>
      <c r="AQ276" s="143"/>
      <c r="AR276" s="143"/>
    </row>
    <row r="277" spans="1:44" ht="36" customHeight="1" x14ac:dyDescent="0.25">
      <c r="A277" s="22"/>
      <c r="B277" s="352">
        <v>2</v>
      </c>
      <c r="C277" s="80">
        <v>5</v>
      </c>
      <c r="D277" s="382" t="s">
        <v>86</v>
      </c>
      <c r="E277" s="65"/>
      <c r="F277" s="22"/>
      <c r="G277" s="42" t="s">
        <v>776</v>
      </c>
      <c r="H277" s="42" t="s">
        <v>760</v>
      </c>
      <c r="I277" s="42"/>
      <c r="J277" s="86"/>
      <c r="K277" s="22" t="s">
        <v>777</v>
      </c>
      <c r="L277" s="85" t="s">
        <v>762</v>
      </c>
      <c r="M277" s="25"/>
      <c r="N277" s="50">
        <v>1</v>
      </c>
      <c r="O277" s="22"/>
      <c r="P277" s="81">
        <v>708</v>
      </c>
      <c r="Q277" s="28">
        <f t="shared" si="22"/>
        <v>708</v>
      </c>
      <c r="R277" s="35"/>
      <c r="S277" s="35">
        <v>686.76</v>
      </c>
      <c r="T277" s="35"/>
      <c r="U277" s="133">
        <f t="shared" si="23"/>
        <v>21.240000000000009</v>
      </c>
      <c r="V277" s="22" t="s">
        <v>763</v>
      </c>
      <c r="W277" s="22" t="s">
        <v>764</v>
      </c>
      <c r="X277" s="22"/>
      <c r="Y277" s="22"/>
      <c r="Z277" s="29">
        <v>43215</v>
      </c>
      <c r="AA277" s="29"/>
      <c r="AB277" s="29">
        <v>43238</v>
      </c>
      <c r="AC277" s="29">
        <v>43230</v>
      </c>
      <c r="AD277" s="29"/>
      <c r="AE277" s="29"/>
      <c r="AF277" s="22" t="s">
        <v>529</v>
      </c>
      <c r="AG277" s="213" t="s">
        <v>98</v>
      </c>
      <c r="AH277" s="519">
        <v>686.76</v>
      </c>
      <c r="AI277" s="144"/>
      <c r="AJ277" s="143"/>
      <c r="AK277" s="143"/>
      <c r="AL277" s="143"/>
      <c r="AM277" s="143"/>
      <c r="AN277" s="143"/>
      <c r="AO277" s="143"/>
      <c r="AP277" s="143"/>
      <c r="AQ277" s="143"/>
      <c r="AR277" s="143"/>
    </row>
    <row r="278" spans="1:44" ht="22.5" customHeight="1" x14ac:dyDescent="0.25">
      <c r="A278" s="22"/>
      <c r="B278" s="352">
        <v>2</v>
      </c>
      <c r="C278" s="80">
        <v>5</v>
      </c>
      <c r="D278" s="382" t="s">
        <v>86</v>
      </c>
      <c r="E278" s="65"/>
      <c r="F278" s="22"/>
      <c r="G278" s="42" t="s">
        <v>778</v>
      </c>
      <c r="H278" s="42" t="s">
        <v>760</v>
      </c>
      <c r="I278" s="42"/>
      <c r="J278" s="86"/>
      <c r="K278" s="22" t="s">
        <v>779</v>
      </c>
      <c r="L278" s="85" t="s">
        <v>762</v>
      </c>
      <c r="M278" s="25"/>
      <c r="N278" s="50">
        <v>1</v>
      </c>
      <c r="O278" s="22"/>
      <c r="P278" s="81">
        <v>417</v>
      </c>
      <c r="Q278" s="28">
        <f t="shared" si="22"/>
        <v>417</v>
      </c>
      <c r="R278" s="35"/>
      <c r="S278" s="35">
        <v>375.3</v>
      </c>
      <c r="T278" s="35"/>
      <c r="U278" s="133">
        <f t="shared" si="23"/>
        <v>41.699999999999989</v>
      </c>
      <c r="V278" s="22" t="s">
        <v>763</v>
      </c>
      <c r="W278" s="22" t="s">
        <v>764</v>
      </c>
      <c r="X278" s="22"/>
      <c r="Y278" s="22"/>
      <c r="Z278" s="29">
        <v>43215</v>
      </c>
      <c r="AA278" s="29"/>
      <c r="AB278" s="29">
        <v>43238</v>
      </c>
      <c r="AC278" s="29">
        <v>43230</v>
      </c>
      <c r="AD278" s="29"/>
      <c r="AE278" s="29"/>
      <c r="AF278" s="22" t="s">
        <v>529</v>
      </c>
      <c r="AG278" s="213" t="s">
        <v>98</v>
      </c>
      <c r="AH278" s="519">
        <v>375.3</v>
      </c>
      <c r="AI278" s="144"/>
      <c r="AJ278" s="143"/>
      <c r="AK278" s="143"/>
      <c r="AL278" s="143"/>
      <c r="AM278" s="143"/>
      <c r="AN278" s="143"/>
      <c r="AO278" s="143"/>
      <c r="AP278" s="143"/>
      <c r="AQ278" s="143"/>
      <c r="AR278" s="143"/>
    </row>
    <row r="279" spans="1:44" ht="32.4" customHeight="1" x14ac:dyDescent="0.25">
      <c r="A279" s="169"/>
      <c r="B279" s="352">
        <v>2</v>
      </c>
      <c r="C279" s="80">
        <v>5</v>
      </c>
      <c r="D279" s="382" t="s">
        <v>86</v>
      </c>
      <c r="E279" s="65"/>
      <c r="F279" s="22"/>
      <c r="G279" s="42" t="s">
        <v>780</v>
      </c>
      <c r="H279" s="42" t="s">
        <v>760</v>
      </c>
      <c r="I279" s="42"/>
      <c r="J279" s="86"/>
      <c r="K279" s="22" t="s">
        <v>781</v>
      </c>
      <c r="L279" s="85" t="s">
        <v>762</v>
      </c>
      <c r="M279" s="25"/>
      <c r="N279" s="50">
        <v>1</v>
      </c>
      <c r="O279" s="22"/>
      <c r="P279" s="81">
        <v>2800</v>
      </c>
      <c r="Q279" s="28">
        <f t="shared" si="22"/>
        <v>2800</v>
      </c>
      <c r="R279" s="35"/>
      <c r="S279" s="35">
        <v>2520</v>
      </c>
      <c r="T279" s="35"/>
      <c r="U279" s="133">
        <f t="shared" si="23"/>
        <v>280</v>
      </c>
      <c r="V279" s="22" t="s">
        <v>763</v>
      </c>
      <c r="W279" s="22" t="s">
        <v>764</v>
      </c>
      <c r="X279" s="22"/>
      <c r="Y279" s="22"/>
      <c r="Z279" s="29">
        <v>43215</v>
      </c>
      <c r="AA279" s="29"/>
      <c r="AB279" s="29">
        <v>43238</v>
      </c>
      <c r="AC279" s="29">
        <v>43230</v>
      </c>
      <c r="AD279" s="29"/>
      <c r="AE279" s="29"/>
      <c r="AF279" s="22" t="s">
        <v>529</v>
      </c>
      <c r="AG279" s="213" t="s">
        <v>98</v>
      </c>
      <c r="AH279" s="519">
        <v>2520</v>
      </c>
      <c r="AI279" s="144"/>
      <c r="AJ279" s="143"/>
      <c r="AK279" s="143"/>
      <c r="AL279" s="143"/>
      <c r="AM279" s="143"/>
      <c r="AN279" s="143"/>
      <c r="AO279" s="143"/>
      <c r="AP279" s="143"/>
      <c r="AQ279" s="143"/>
      <c r="AR279" s="143"/>
    </row>
    <row r="280" spans="1:44" ht="42.6" customHeight="1" x14ac:dyDescent="0.25">
      <c r="A280" s="22"/>
      <c r="B280" s="352">
        <v>2</v>
      </c>
      <c r="C280" s="80">
        <v>5</v>
      </c>
      <c r="D280" s="382" t="s">
        <v>86</v>
      </c>
      <c r="E280" s="65"/>
      <c r="F280" s="22"/>
      <c r="G280" s="42" t="s">
        <v>782</v>
      </c>
      <c r="H280" s="42" t="s">
        <v>760</v>
      </c>
      <c r="I280" s="42"/>
      <c r="J280" s="86"/>
      <c r="K280" s="22" t="s">
        <v>783</v>
      </c>
      <c r="L280" s="85" t="s">
        <v>762</v>
      </c>
      <c r="M280" s="25"/>
      <c r="N280" s="50">
        <v>1</v>
      </c>
      <c r="O280" s="22"/>
      <c r="P280" s="81">
        <v>250</v>
      </c>
      <c r="Q280" s="28">
        <f t="shared" si="22"/>
        <v>250</v>
      </c>
      <c r="R280" s="35"/>
      <c r="S280" s="35">
        <v>225</v>
      </c>
      <c r="T280" s="35"/>
      <c r="U280" s="133">
        <f t="shared" si="23"/>
        <v>25</v>
      </c>
      <c r="V280" s="22" t="s">
        <v>763</v>
      </c>
      <c r="W280" s="22" t="s">
        <v>764</v>
      </c>
      <c r="X280" s="22"/>
      <c r="Y280" s="22"/>
      <c r="Z280" s="29">
        <v>43215</v>
      </c>
      <c r="AA280" s="29"/>
      <c r="AB280" s="29">
        <v>43238</v>
      </c>
      <c r="AC280" s="29">
        <v>43230</v>
      </c>
      <c r="AD280" s="29"/>
      <c r="AE280" s="29"/>
      <c r="AF280" s="22" t="s">
        <v>529</v>
      </c>
      <c r="AG280" s="213" t="s">
        <v>98</v>
      </c>
      <c r="AH280" s="519">
        <v>225</v>
      </c>
      <c r="AI280" s="144"/>
      <c r="AJ280" s="143"/>
      <c r="AK280" s="143"/>
      <c r="AL280" s="143"/>
      <c r="AM280" s="143"/>
      <c r="AN280" s="143"/>
      <c r="AO280" s="143"/>
      <c r="AP280" s="143"/>
      <c r="AQ280" s="143"/>
      <c r="AR280" s="143"/>
    </row>
    <row r="281" spans="1:44" ht="56.4" customHeight="1" x14ac:dyDescent="0.25">
      <c r="A281" s="22"/>
      <c r="B281" s="352">
        <v>2</v>
      </c>
      <c r="C281" s="80">
        <v>5</v>
      </c>
      <c r="D281" s="382" t="s">
        <v>86</v>
      </c>
      <c r="E281" s="65"/>
      <c r="F281" s="22"/>
      <c r="G281" s="42" t="s">
        <v>784</v>
      </c>
      <c r="H281" s="42" t="s">
        <v>785</v>
      </c>
      <c r="I281" s="42"/>
      <c r="J281" s="86"/>
      <c r="K281" s="22" t="s">
        <v>786</v>
      </c>
      <c r="L281" s="85" t="s">
        <v>762</v>
      </c>
      <c r="M281" s="25"/>
      <c r="N281" s="50">
        <v>8</v>
      </c>
      <c r="O281" s="22"/>
      <c r="P281" s="81">
        <v>352</v>
      </c>
      <c r="Q281" s="28">
        <f t="shared" si="22"/>
        <v>2816</v>
      </c>
      <c r="R281" s="35"/>
      <c r="S281" s="35">
        <v>2534.4</v>
      </c>
      <c r="T281" s="35"/>
      <c r="U281" s="133">
        <f t="shared" si="23"/>
        <v>281.59999999999991</v>
      </c>
      <c r="V281" s="22" t="s">
        <v>763</v>
      </c>
      <c r="W281" s="22" t="s">
        <v>764</v>
      </c>
      <c r="X281" s="22"/>
      <c r="Y281" s="22"/>
      <c r="Z281" s="29">
        <v>43215</v>
      </c>
      <c r="AA281" s="29"/>
      <c r="AB281" s="29">
        <v>43238</v>
      </c>
      <c r="AC281" s="29">
        <v>43230</v>
      </c>
      <c r="AD281" s="29"/>
      <c r="AE281" s="29"/>
      <c r="AF281" s="22" t="s">
        <v>529</v>
      </c>
      <c r="AG281" s="213" t="s">
        <v>98</v>
      </c>
      <c r="AH281" s="519">
        <v>2534.4</v>
      </c>
      <c r="AI281" s="144"/>
      <c r="AJ281" s="143"/>
      <c r="AK281" s="143"/>
      <c r="AL281" s="143"/>
      <c r="AM281" s="143"/>
      <c r="AN281" s="143"/>
      <c r="AO281" s="143"/>
      <c r="AP281" s="143"/>
      <c r="AQ281" s="143"/>
      <c r="AR281" s="143"/>
    </row>
    <row r="282" spans="1:44" ht="45.9" customHeight="1" x14ac:dyDescent="0.25">
      <c r="A282" s="22"/>
      <c r="B282" s="352">
        <v>2</v>
      </c>
      <c r="C282" s="80">
        <v>5</v>
      </c>
      <c r="D282" s="382" t="s">
        <v>86</v>
      </c>
      <c r="E282" s="65"/>
      <c r="F282" s="22"/>
      <c r="G282" s="42" t="s">
        <v>787</v>
      </c>
      <c r="H282" s="42" t="s">
        <v>785</v>
      </c>
      <c r="I282" s="42"/>
      <c r="J282" s="86"/>
      <c r="K282" s="22" t="s">
        <v>788</v>
      </c>
      <c r="L282" s="85" t="s">
        <v>762</v>
      </c>
      <c r="M282" s="25"/>
      <c r="N282" s="50">
        <v>1</v>
      </c>
      <c r="O282" s="22"/>
      <c r="P282" s="81">
        <v>895</v>
      </c>
      <c r="Q282" s="28">
        <f t="shared" si="22"/>
        <v>895</v>
      </c>
      <c r="R282" s="35"/>
      <c r="S282" s="35">
        <v>805.5</v>
      </c>
      <c r="T282" s="35"/>
      <c r="U282" s="133">
        <f t="shared" si="23"/>
        <v>89.5</v>
      </c>
      <c r="V282" s="22" t="s">
        <v>763</v>
      </c>
      <c r="W282" s="22" t="s">
        <v>764</v>
      </c>
      <c r="X282" s="22"/>
      <c r="Y282" s="22"/>
      <c r="Z282" s="29">
        <v>43215</v>
      </c>
      <c r="AA282" s="29"/>
      <c r="AB282" s="29">
        <v>43238</v>
      </c>
      <c r="AC282" s="29">
        <v>43230</v>
      </c>
      <c r="AD282" s="29"/>
      <c r="AE282" s="29"/>
      <c r="AF282" s="22" t="s">
        <v>529</v>
      </c>
      <c r="AG282" s="213" t="s">
        <v>98</v>
      </c>
      <c r="AH282" s="519">
        <v>805.5</v>
      </c>
      <c r="AI282" s="144"/>
      <c r="AJ282" s="143"/>
      <c r="AK282" s="143"/>
      <c r="AL282" s="143"/>
      <c r="AM282" s="143"/>
      <c r="AN282" s="143"/>
      <c r="AO282" s="143"/>
      <c r="AP282" s="143"/>
      <c r="AQ282" s="143"/>
      <c r="AR282" s="143"/>
    </row>
    <row r="283" spans="1:44" ht="12.75" customHeight="1" x14ac:dyDescent="0.25">
      <c r="A283" s="22"/>
      <c r="B283" s="352">
        <v>2</v>
      </c>
      <c r="C283" s="80">
        <v>5</v>
      </c>
      <c r="D283" s="382" t="s">
        <v>86</v>
      </c>
      <c r="E283" s="65"/>
      <c r="F283" s="22"/>
      <c r="G283" s="42" t="s">
        <v>789</v>
      </c>
      <c r="H283" s="42"/>
      <c r="I283" s="42"/>
      <c r="J283" s="86"/>
      <c r="K283" s="22" t="s">
        <v>790</v>
      </c>
      <c r="L283" s="85" t="s">
        <v>762</v>
      </c>
      <c r="M283" s="25"/>
      <c r="N283" s="50">
        <v>1</v>
      </c>
      <c r="O283" s="22"/>
      <c r="P283" s="81">
        <v>-934.74</v>
      </c>
      <c r="Q283" s="28">
        <f t="shared" si="22"/>
        <v>-934.74</v>
      </c>
      <c r="R283" s="35"/>
      <c r="S283" s="35">
        <v>0</v>
      </c>
      <c r="T283" s="35"/>
      <c r="U283" s="133"/>
      <c r="V283" s="22" t="s">
        <v>763</v>
      </c>
      <c r="W283" s="22" t="s">
        <v>764</v>
      </c>
      <c r="X283" s="22"/>
      <c r="Y283" s="22"/>
      <c r="Z283" s="29">
        <v>43215</v>
      </c>
      <c r="AA283" s="29"/>
      <c r="AB283" s="29">
        <v>43238</v>
      </c>
      <c r="AC283" s="29">
        <v>43230</v>
      </c>
      <c r="AD283" s="29"/>
      <c r="AE283" s="29"/>
      <c r="AF283" s="22" t="s">
        <v>529</v>
      </c>
      <c r="AG283" s="213" t="s">
        <v>98</v>
      </c>
      <c r="AH283" s="519">
        <v>0</v>
      </c>
      <c r="AI283" s="144"/>
      <c r="AJ283" s="143"/>
      <c r="AK283" s="143"/>
      <c r="AL283" s="143"/>
      <c r="AM283" s="143"/>
      <c r="AN283" s="143"/>
      <c r="AO283" s="143"/>
      <c r="AP283" s="143"/>
      <c r="AQ283" s="143"/>
      <c r="AR283" s="143"/>
    </row>
    <row r="284" spans="1:44" ht="12.75" customHeight="1" x14ac:dyDescent="0.25">
      <c r="A284" s="22"/>
      <c r="B284" s="352">
        <v>2</v>
      </c>
      <c r="C284" s="80">
        <v>5</v>
      </c>
      <c r="D284" s="382" t="s">
        <v>86</v>
      </c>
      <c r="E284" s="65"/>
      <c r="F284" s="22"/>
      <c r="G284" s="42" t="s">
        <v>789</v>
      </c>
      <c r="H284" s="42"/>
      <c r="I284" s="42"/>
      <c r="J284" s="86"/>
      <c r="K284" s="22" t="s">
        <v>438</v>
      </c>
      <c r="L284" s="85" t="s">
        <v>762</v>
      </c>
      <c r="M284" s="25"/>
      <c r="N284" s="50">
        <v>1</v>
      </c>
      <c r="O284" s="22"/>
      <c r="P284" s="81">
        <v>300</v>
      </c>
      <c r="Q284" s="28">
        <f t="shared" si="22"/>
        <v>300</v>
      </c>
      <c r="R284" s="35"/>
      <c r="S284" s="35">
        <v>300</v>
      </c>
      <c r="T284" s="35"/>
      <c r="U284" s="133"/>
      <c r="V284" s="22" t="s">
        <v>763</v>
      </c>
      <c r="W284" s="22" t="s">
        <v>764</v>
      </c>
      <c r="X284" s="22"/>
      <c r="Y284" s="22"/>
      <c r="Z284" s="29">
        <v>43215</v>
      </c>
      <c r="AA284" s="29"/>
      <c r="AB284" s="29">
        <v>43238</v>
      </c>
      <c r="AC284" s="29">
        <v>43230</v>
      </c>
      <c r="AD284" s="29"/>
      <c r="AE284" s="29"/>
      <c r="AF284" s="22"/>
      <c r="AG284" s="213" t="s">
        <v>98</v>
      </c>
      <c r="AH284" s="519">
        <v>300</v>
      </c>
      <c r="AI284" s="144"/>
      <c r="AJ284" s="143"/>
      <c r="AK284" s="143"/>
      <c r="AL284" s="143"/>
      <c r="AM284" s="143"/>
      <c r="AN284" s="143"/>
      <c r="AO284" s="143"/>
      <c r="AP284" s="143"/>
      <c r="AQ284" s="143"/>
      <c r="AR284" s="143"/>
    </row>
    <row r="285" spans="1:44" ht="12.75" customHeight="1" x14ac:dyDescent="0.25">
      <c r="A285" s="22"/>
      <c r="B285" s="352">
        <v>2</v>
      </c>
      <c r="C285" s="80">
        <v>5</v>
      </c>
      <c r="D285" s="382" t="s">
        <v>86</v>
      </c>
      <c r="E285" s="65"/>
      <c r="F285" s="22"/>
      <c r="G285" s="42" t="s">
        <v>791</v>
      </c>
      <c r="H285" s="42" t="s">
        <v>792</v>
      </c>
      <c r="I285" s="42"/>
      <c r="J285" s="22"/>
      <c r="K285" s="22" t="s">
        <v>793</v>
      </c>
      <c r="L285" s="25"/>
      <c r="M285" s="25"/>
      <c r="N285" s="50">
        <v>5</v>
      </c>
      <c r="O285" s="22"/>
      <c r="P285" s="81">
        <v>15120</v>
      </c>
      <c r="Q285" s="28">
        <f t="shared" si="22"/>
        <v>75600</v>
      </c>
      <c r="R285" s="35"/>
      <c r="S285" s="35">
        <v>75600</v>
      </c>
      <c r="T285" s="35"/>
      <c r="U285" s="133">
        <f t="shared" ref="U285:U292" si="24">Q285-S285</f>
        <v>0</v>
      </c>
      <c r="V285" s="22" t="s">
        <v>794</v>
      </c>
      <c r="W285" s="22" t="s">
        <v>795</v>
      </c>
      <c r="X285" s="22"/>
      <c r="Y285" s="22"/>
      <c r="Z285" s="29">
        <v>43189</v>
      </c>
      <c r="AA285" s="29"/>
      <c r="AB285" s="29">
        <v>43297</v>
      </c>
      <c r="AC285" s="29">
        <v>43304</v>
      </c>
      <c r="AD285" s="29"/>
      <c r="AE285" s="29"/>
      <c r="AF285" s="48" t="s">
        <v>643</v>
      </c>
      <c r="AG285" s="213" t="s">
        <v>98</v>
      </c>
      <c r="AH285" s="519">
        <v>75600</v>
      </c>
      <c r="AI285" s="144"/>
      <c r="AJ285" s="143"/>
      <c r="AK285" s="143"/>
      <c r="AL285" s="143"/>
      <c r="AM285" s="143"/>
      <c r="AN285" s="143"/>
      <c r="AO285" s="143"/>
      <c r="AP285" s="143"/>
      <c r="AQ285" s="143"/>
      <c r="AR285" s="143"/>
    </row>
    <row r="286" spans="1:44" ht="12.75" customHeight="1" x14ac:dyDescent="0.25">
      <c r="A286" s="22"/>
      <c r="B286" s="352">
        <v>2</v>
      </c>
      <c r="C286" s="80">
        <v>5</v>
      </c>
      <c r="D286" s="382" t="s">
        <v>86</v>
      </c>
      <c r="E286" s="65"/>
      <c r="F286" s="22"/>
      <c r="G286" s="42" t="s">
        <v>796</v>
      </c>
      <c r="H286" s="42" t="s">
        <v>792</v>
      </c>
      <c r="I286" s="42"/>
      <c r="J286" s="22"/>
      <c r="K286" s="22" t="s">
        <v>797</v>
      </c>
      <c r="L286" s="25"/>
      <c r="M286" s="25"/>
      <c r="N286" s="50">
        <v>10</v>
      </c>
      <c r="O286" s="22"/>
      <c r="P286" s="81">
        <v>595</v>
      </c>
      <c r="Q286" s="28">
        <f t="shared" si="22"/>
        <v>5950</v>
      </c>
      <c r="R286" s="35"/>
      <c r="S286" s="35">
        <v>5950</v>
      </c>
      <c r="T286" s="35"/>
      <c r="U286" s="133">
        <f t="shared" si="24"/>
        <v>0</v>
      </c>
      <c r="V286" s="22" t="s">
        <v>794</v>
      </c>
      <c r="W286" s="22" t="s">
        <v>795</v>
      </c>
      <c r="X286" s="22"/>
      <c r="Y286" s="22"/>
      <c r="Z286" s="29">
        <v>43189</v>
      </c>
      <c r="AA286" s="29"/>
      <c r="AB286" s="29">
        <v>43297</v>
      </c>
      <c r="AC286" s="29">
        <v>43304</v>
      </c>
      <c r="AD286" s="29"/>
      <c r="AE286" s="29"/>
      <c r="AF286" s="48" t="s">
        <v>643</v>
      </c>
      <c r="AG286" s="213" t="s">
        <v>98</v>
      </c>
      <c r="AH286" s="519">
        <v>5950</v>
      </c>
      <c r="AI286" s="144"/>
      <c r="AJ286" s="143"/>
      <c r="AK286" s="143"/>
      <c r="AL286" s="143"/>
      <c r="AM286" s="143"/>
      <c r="AN286" s="143"/>
      <c r="AO286" s="143"/>
      <c r="AP286" s="143"/>
      <c r="AQ286" s="143"/>
      <c r="AR286" s="143"/>
    </row>
    <row r="287" spans="1:44" ht="12.75" customHeight="1" x14ac:dyDescent="0.25">
      <c r="A287" s="22"/>
      <c r="B287" s="352">
        <v>2</v>
      </c>
      <c r="C287" s="80">
        <v>5</v>
      </c>
      <c r="D287" s="382" t="s">
        <v>86</v>
      </c>
      <c r="E287" s="65"/>
      <c r="F287" s="22"/>
      <c r="G287" s="42" t="s">
        <v>798</v>
      </c>
      <c r="H287" s="42" t="s">
        <v>792</v>
      </c>
      <c r="I287" s="42"/>
      <c r="J287" s="22"/>
      <c r="K287" s="22" t="s">
        <v>799</v>
      </c>
      <c r="L287" s="25"/>
      <c r="M287" s="25"/>
      <c r="N287" s="50">
        <v>12</v>
      </c>
      <c r="O287" s="22"/>
      <c r="P287" s="81">
        <v>595</v>
      </c>
      <c r="Q287" s="28">
        <f t="shared" si="22"/>
        <v>7140</v>
      </c>
      <c r="R287" s="35"/>
      <c r="S287" s="35">
        <v>7140</v>
      </c>
      <c r="T287" s="35"/>
      <c r="U287" s="133">
        <f t="shared" si="24"/>
        <v>0</v>
      </c>
      <c r="V287" s="22" t="s">
        <v>794</v>
      </c>
      <c r="W287" s="22" t="s">
        <v>795</v>
      </c>
      <c r="X287" s="22"/>
      <c r="Y287" s="22"/>
      <c r="Z287" s="29">
        <v>43189</v>
      </c>
      <c r="AA287" s="29"/>
      <c r="AB287" s="29">
        <v>43297</v>
      </c>
      <c r="AC287" s="29">
        <v>43304</v>
      </c>
      <c r="AD287" s="29"/>
      <c r="AE287" s="29"/>
      <c r="AF287" s="48" t="s">
        <v>643</v>
      </c>
      <c r="AG287" s="213" t="s">
        <v>98</v>
      </c>
      <c r="AH287" s="519">
        <v>7140</v>
      </c>
      <c r="AI287" s="144"/>
      <c r="AJ287" s="143"/>
      <c r="AK287" s="143"/>
      <c r="AL287" s="143"/>
      <c r="AM287" s="143"/>
      <c r="AN287" s="143"/>
      <c r="AO287" s="143"/>
      <c r="AP287" s="143"/>
      <c r="AQ287" s="143"/>
      <c r="AR287" s="143"/>
    </row>
    <row r="288" spans="1:44" ht="12.75" customHeight="1" x14ac:dyDescent="0.25">
      <c r="A288" s="22"/>
      <c r="B288" s="352">
        <v>2</v>
      </c>
      <c r="C288" s="80">
        <v>5</v>
      </c>
      <c r="D288" s="382" t="s">
        <v>86</v>
      </c>
      <c r="E288" s="65"/>
      <c r="F288" s="22"/>
      <c r="G288" s="42" t="s">
        <v>800</v>
      </c>
      <c r="H288" s="42" t="s">
        <v>792</v>
      </c>
      <c r="I288" s="42"/>
      <c r="J288" s="22"/>
      <c r="K288" s="22" t="s">
        <v>801</v>
      </c>
      <c r="L288" s="25"/>
      <c r="M288" s="25"/>
      <c r="N288" s="50">
        <v>3</v>
      </c>
      <c r="O288" s="22"/>
      <c r="P288" s="81">
        <v>1495</v>
      </c>
      <c r="Q288" s="28">
        <f t="shared" si="22"/>
        <v>4485</v>
      </c>
      <c r="R288" s="35"/>
      <c r="S288" s="35">
        <v>4485</v>
      </c>
      <c r="T288" s="35"/>
      <c r="U288" s="133">
        <f t="shared" si="24"/>
        <v>0</v>
      </c>
      <c r="V288" s="22" t="s">
        <v>794</v>
      </c>
      <c r="W288" s="22" t="s">
        <v>795</v>
      </c>
      <c r="X288" s="22"/>
      <c r="Y288" s="22"/>
      <c r="Z288" s="29">
        <v>43189</v>
      </c>
      <c r="AA288" s="29"/>
      <c r="AB288" s="29">
        <v>43297</v>
      </c>
      <c r="AC288" s="29">
        <v>43304</v>
      </c>
      <c r="AD288" s="29"/>
      <c r="AE288" s="29"/>
      <c r="AF288" s="48" t="s">
        <v>643</v>
      </c>
      <c r="AG288" s="213" t="s">
        <v>98</v>
      </c>
      <c r="AH288" s="519">
        <v>4485</v>
      </c>
      <c r="AI288" s="144"/>
      <c r="AJ288" s="143"/>
      <c r="AK288" s="143"/>
      <c r="AL288" s="143"/>
      <c r="AM288" s="143"/>
      <c r="AN288" s="143"/>
      <c r="AO288" s="143"/>
      <c r="AP288" s="143"/>
      <c r="AQ288" s="143"/>
      <c r="AR288" s="143"/>
    </row>
    <row r="289" spans="1:44" ht="12.75" customHeight="1" x14ac:dyDescent="0.25">
      <c r="A289" s="22"/>
      <c r="B289" s="352">
        <v>2</v>
      </c>
      <c r="C289" s="80">
        <v>5</v>
      </c>
      <c r="D289" s="382" t="s">
        <v>86</v>
      </c>
      <c r="E289" s="65"/>
      <c r="F289" s="22"/>
      <c r="G289" s="42" t="s">
        <v>802</v>
      </c>
      <c r="H289" s="42" t="s">
        <v>792</v>
      </c>
      <c r="I289" s="42"/>
      <c r="J289" s="22"/>
      <c r="K289" s="22" t="s">
        <v>803</v>
      </c>
      <c r="L289" s="25"/>
      <c r="M289" s="25"/>
      <c r="N289" s="50">
        <v>3</v>
      </c>
      <c r="O289" s="22"/>
      <c r="P289" s="81">
        <v>595</v>
      </c>
      <c r="Q289" s="28">
        <f t="shared" si="22"/>
        <v>1785</v>
      </c>
      <c r="R289" s="35"/>
      <c r="S289" s="35">
        <v>1785</v>
      </c>
      <c r="T289" s="35"/>
      <c r="U289" s="133">
        <f t="shared" si="24"/>
        <v>0</v>
      </c>
      <c r="V289" s="22" t="s">
        <v>794</v>
      </c>
      <c r="W289" s="22" t="s">
        <v>795</v>
      </c>
      <c r="X289" s="22"/>
      <c r="Y289" s="22"/>
      <c r="Z289" s="29">
        <v>43189</v>
      </c>
      <c r="AA289" s="29"/>
      <c r="AB289" s="29">
        <v>43297</v>
      </c>
      <c r="AC289" s="29">
        <v>43304</v>
      </c>
      <c r="AD289" s="29"/>
      <c r="AE289" s="29"/>
      <c r="AF289" s="48" t="s">
        <v>643</v>
      </c>
      <c r="AG289" s="213" t="s">
        <v>98</v>
      </c>
      <c r="AH289" s="519">
        <v>1785</v>
      </c>
      <c r="AI289" s="144"/>
      <c r="AJ289" s="143"/>
      <c r="AK289" s="143"/>
      <c r="AL289" s="143"/>
      <c r="AM289" s="143"/>
      <c r="AN289" s="143"/>
      <c r="AO289" s="143"/>
      <c r="AP289" s="143"/>
      <c r="AQ289" s="143"/>
      <c r="AR289" s="143"/>
    </row>
    <row r="290" spans="1:44" ht="12.75" customHeight="1" x14ac:dyDescent="0.25">
      <c r="A290" s="22"/>
      <c r="B290" s="352">
        <v>2</v>
      </c>
      <c r="C290" s="80">
        <v>5</v>
      </c>
      <c r="D290" s="382" t="s">
        <v>86</v>
      </c>
      <c r="E290" s="65"/>
      <c r="F290" s="22"/>
      <c r="G290" s="42" t="s">
        <v>804</v>
      </c>
      <c r="H290" s="42" t="s">
        <v>792</v>
      </c>
      <c r="I290" s="42"/>
      <c r="J290" s="22"/>
      <c r="K290" s="22" t="s">
        <v>805</v>
      </c>
      <c r="L290" s="25"/>
      <c r="M290" s="25"/>
      <c r="N290" s="50">
        <v>3</v>
      </c>
      <c r="O290" s="22"/>
      <c r="P290" s="81">
        <v>3595</v>
      </c>
      <c r="Q290" s="28">
        <f t="shared" si="22"/>
        <v>10785</v>
      </c>
      <c r="R290" s="35"/>
      <c r="S290" s="35">
        <v>11229.15</v>
      </c>
      <c r="T290" s="35"/>
      <c r="U290" s="133">
        <f t="shared" si="24"/>
        <v>-444.14999999999964</v>
      </c>
      <c r="V290" s="22" t="s">
        <v>794</v>
      </c>
      <c r="W290" s="22" t="s">
        <v>795</v>
      </c>
      <c r="X290" s="22"/>
      <c r="Y290" s="22"/>
      <c r="Z290" s="29">
        <v>43189</v>
      </c>
      <c r="AA290" s="29"/>
      <c r="AB290" s="29">
        <v>43297</v>
      </c>
      <c r="AC290" s="29">
        <v>43276</v>
      </c>
      <c r="AD290" s="29"/>
      <c r="AE290" s="29"/>
      <c r="AF290" s="48" t="s">
        <v>643</v>
      </c>
      <c r="AG290" s="213" t="s">
        <v>98</v>
      </c>
      <c r="AH290" s="519">
        <v>11229.15</v>
      </c>
      <c r="AI290" s="144"/>
      <c r="AJ290" s="143"/>
      <c r="AK290" s="143"/>
      <c r="AL290" s="143"/>
      <c r="AM290" s="143"/>
      <c r="AN290" s="143"/>
      <c r="AO290" s="143"/>
      <c r="AP290" s="143"/>
      <c r="AQ290" s="143"/>
      <c r="AR290" s="143"/>
    </row>
    <row r="291" spans="1:44" ht="12.75" customHeight="1" x14ac:dyDescent="0.25">
      <c r="A291" s="22"/>
      <c r="B291" s="352">
        <v>2</v>
      </c>
      <c r="C291" s="80">
        <v>5</v>
      </c>
      <c r="D291" s="382" t="s">
        <v>86</v>
      </c>
      <c r="E291" s="65"/>
      <c r="F291" s="22"/>
      <c r="G291" s="42" t="s">
        <v>806</v>
      </c>
      <c r="H291" s="42" t="s">
        <v>792</v>
      </c>
      <c r="I291" s="42"/>
      <c r="J291" s="22"/>
      <c r="K291" s="22" t="s">
        <v>807</v>
      </c>
      <c r="L291" s="25"/>
      <c r="M291" s="25"/>
      <c r="N291" s="50">
        <v>1</v>
      </c>
      <c r="O291" s="22"/>
      <c r="P291" s="81">
        <v>13882.129999999888</v>
      </c>
      <c r="Q291" s="28">
        <f t="shared" si="22"/>
        <v>13882.129999999888</v>
      </c>
      <c r="R291" s="35"/>
      <c r="S291" s="35">
        <v>4200</v>
      </c>
      <c r="T291" s="35"/>
      <c r="U291" s="133">
        <f t="shared" si="24"/>
        <v>9682.1299999998882</v>
      </c>
      <c r="V291" s="22" t="s">
        <v>794</v>
      </c>
      <c r="W291" s="22" t="s">
        <v>795</v>
      </c>
      <c r="X291" s="22"/>
      <c r="Y291" s="22"/>
      <c r="Z291" s="29">
        <v>43189</v>
      </c>
      <c r="AA291" s="29"/>
      <c r="AB291" s="29">
        <v>43297</v>
      </c>
      <c r="AC291" s="29">
        <v>43276</v>
      </c>
      <c r="AD291" s="29"/>
      <c r="AE291" s="29"/>
      <c r="AF291" s="48"/>
      <c r="AG291" s="213" t="s">
        <v>98</v>
      </c>
      <c r="AH291" s="519">
        <f>4200+700</f>
        <v>4900</v>
      </c>
      <c r="AI291" s="144"/>
      <c r="AJ291" s="143"/>
      <c r="AK291" s="143"/>
      <c r="AL291" s="143"/>
      <c r="AM291" s="143"/>
      <c r="AN291" s="143"/>
      <c r="AO291" s="143"/>
      <c r="AP291" s="143"/>
      <c r="AQ291" s="143"/>
      <c r="AR291" s="143"/>
    </row>
    <row r="292" spans="1:44" ht="31.65" customHeight="1" x14ac:dyDescent="0.25">
      <c r="A292" s="22"/>
      <c r="B292" s="352">
        <v>2</v>
      </c>
      <c r="C292" s="80">
        <v>5</v>
      </c>
      <c r="D292" s="382" t="s">
        <v>86</v>
      </c>
      <c r="E292" s="65"/>
      <c r="F292" s="22"/>
      <c r="G292" s="42" t="s">
        <v>808</v>
      </c>
      <c r="H292" s="42" t="s">
        <v>792</v>
      </c>
      <c r="I292" s="42"/>
      <c r="J292" s="22"/>
      <c r="K292" s="22" t="s">
        <v>809</v>
      </c>
      <c r="L292" s="25"/>
      <c r="M292" s="25"/>
      <c r="N292" s="50">
        <v>10</v>
      </c>
      <c r="O292" s="22"/>
      <c r="P292" s="81">
        <v>5350</v>
      </c>
      <c r="Q292" s="28">
        <f t="shared" si="22"/>
        <v>53500</v>
      </c>
      <c r="R292" s="35"/>
      <c r="S292" s="35">
        <v>34066.5</v>
      </c>
      <c r="T292" s="35"/>
      <c r="U292" s="133">
        <f t="shared" si="24"/>
        <v>19433.5</v>
      </c>
      <c r="V292" s="22" t="s">
        <v>794</v>
      </c>
      <c r="W292" s="22" t="s">
        <v>795</v>
      </c>
      <c r="X292" s="22"/>
      <c r="Y292" s="22"/>
      <c r="Z292" s="29">
        <v>43189</v>
      </c>
      <c r="AA292" s="29"/>
      <c r="AB292" s="29">
        <v>43297</v>
      </c>
      <c r="AC292" s="29">
        <v>43276</v>
      </c>
      <c r="AD292" s="29"/>
      <c r="AE292" s="29"/>
      <c r="AF292" s="48" t="s">
        <v>643</v>
      </c>
      <c r="AG292" s="213" t="s">
        <v>98</v>
      </c>
      <c r="AH292" s="519">
        <v>34066.5</v>
      </c>
      <c r="AI292" s="144"/>
      <c r="AJ292" s="143"/>
      <c r="AK292" s="143"/>
      <c r="AL292" s="143"/>
      <c r="AM292" s="143"/>
      <c r="AN292" s="143"/>
      <c r="AO292" s="143"/>
      <c r="AP292" s="143"/>
      <c r="AQ292" s="143"/>
      <c r="AR292" s="143"/>
    </row>
    <row r="293" spans="1:44" ht="92.4" x14ac:dyDescent="0.25">
      <c r="A293" s="22" t="s">
        <v>810</v>
      </c>
      <c r="B293" s="352">
        <v>3</v>
      </c>
      <c r="C293" s="289">
        <v>3</v>
      </c>
      <c r="D293" s="382" t="s">
        <v>86</v>
      </c>
      <c r="E293" s="65"/>
      <c r="F293" s="22"/>
      <c r="G293" s="33" t="s">
        <v>811</v>
      </c>
      <c r="H293" s="33" t="s">
        <v>812</v>
      </c>
      <c r="I293" s="33"/>
      <c r="J293" s="22"/>
      <c r="K293" s="139" t="s">
        <v>813</v>
      </c>
      <c r="L293" s="25"/>
      <c r="M293" s="25"/>
      <c r="N293" s="68">
        <v>3</v>
      </c>
      <c r="O293" s="22"/>
      <c r="P293" s="291">
        <v>12250</v>
      </c>
      <c r="Q293" s="273">
        <f>N293*P293+195</f>
        <v>36945</v>
      </c>
      <c r="R293" s="35"/>
      <c r="S293" s="273">
        <v>36750</v>
      </c>
      <c r="T293" s="273"/>
      <c r="U293" s="273"/>
      <c r="V293" s="22" t="s">
        <v>814</v>
      </c>
      <c r="W293" s="22" t="s">
        <v>815</v>
      </c>
      <c r="X293" s="22"/>
      <c r="Y293" s="22"/>
      <c r="Z293" s="29">
        <v>43277</v>
      </c>
      <c r="AA293" s="29"/>
      <c r="AB293" s="29">
        <v>43430</v>
      </c>
      <c r="AC293" s="29"/>
      <c r="AD293" s="29"/>
      <c r="AE293" s="29"/>
      <c r="AF293" s="22"/>
      <c r="AG293" s="213" t="s">
        <v>98</v>
      </c>
      <c r="AH293" s="519">
        <v>36750</v>
      </c>
      <c r="AI293" s="144"/>
      <c r="AJ293" s="143"/>
      <c r="AK293" s="143"/>
      <c r="AL293" s="143"/>
      <c r="AM293" s="143"/>
      <c r="AN293" s="143"/>
      <c r="AO293" s="143"/>
      <c r="AP293" s="143"/>
      <c r="AQ293" s="143"/>
      <c r="AR293" s="143"/>
    </row>
    <row r="294" spans="1:44" x14ac:dyDescent="0.25">
      <c r="A294" s="22"/>
      <c r="B294" s="352">
        <v>3</v>
      </c>
      <c r="C294" s="289">
        <v>3</v>
      </c>
      <c r="D294" s="382" t="s">
        <v>86</v>
      </c>
      <c r="E294" s="65"/>
      <c r="F294" s="22"/>
      <c r="G294" s="33" t="s">
        <v>438</v>
      </c>
      <c r="H294" s="33" t="s">
        <v>812</v>
      </c>
      <c r="I294" s="33"/>
      <c r="J294" s="22"/>
      <c r="K294" s="139"/>
      <c r="L294" s="25"/>
      <c r="M294" s="25"/>
      <c r="N294" s="68"/>
      <c r="O294" s="22"/>
      <c r="P294" s="291">
        <v>195</v>
      </c>
      <c r="Q294" s="273"/>
      <c r="R294" s="35"/>
      <c r="S294" s="273">
        <v>195</v>
      </c>
      <c r="T294" s="273"/>
      <c r="U294" s="273"/>
      <c r="V294" s="22" t="s">
        <v>814</v>
      </c>
      <c r="W294" s="22" t="s">
        <v>815</v>
      </c>
      <c r="X294" s="22"/>
      <c r="Y294" s="22"/>
      <c r="Z294" s="29">
        <v>43277</v>
      </c>
      <c r="AA294" s="29"/>
      <c r="AB294" s="29">
        <v>43430</v>
      </c>
      <c r="AC294" s="29"/>
      <c r="AD294" s="29"/>
      <c r="AE294" s="29"/>
      <c r="AF294" s="22"/>
      <c r="AG294" s="213" t="s">
        <v>98</v>
      </c>
      <c r="AH294" s="519">
        <v>195</v>
      </c>
      <c r="AI294" s="144"/>
      <c r="AJ294" s="143"/>
      <c r="AK294" s="143"/>
      <c r="AL294" s="143"/>
      <c r="AM294" s="143"/>
      <c r="AN294" s="143"/>
      <c r="AO294" s="143"/>
      <c r="AP294" s="143"/>
      <c r="AQ294" s="143"/>
      <c r="AR294" s="143"/>
    </row>
    <row r="295" spans="1:44" ht="145.19999999999999" x14ac:dyDescent="0.25">
      <c r="A295" s="137" t="s">
        <v>816</v>
      </c>
      <c r="B295" s="352">
        <v>3</v>
      </c>
      <c r="C295" s="289">
        <v>3</v>
      </c>
      <c r="D295" s="382" t="s">
        <v>86</v>
      </c>
      <c r="E295" s="65"/>
      <c r="F295" s="22"/>
      <c r="G295" s="33" t="s">
        <v>817</v>
      </c>
      <c r="H295" s="33" t="s">
        <v>818</v>
      </c>
      <c r="I295" s="33"/>
      <c r="J295" s="22"/>
      <c r="K295" s="139">
        <v>5454</v>
      </c>
      <c r="L295" s="25"/>
      <c r="M295" s="25"/>
      <c r="N295" s="290">
        <v>1</v>
      </c>
      <c r="O295" s="22"/>
      <c r="P295" s="273">
        <v>31000</v>
      </c>
      <c r="Q295" s="273">
        <f>N295*P295</f>
        <v>31000</v>
      </c>
      <c r="R295" s="35"/>
      <c r="S295" s="273">
        <v>31000</v>
      </c>
      <c r="T295" s="273"/>
      <c r="U295" s="273">
        <f>Q295-S295</f>
        <v>0</v>
      </c>
      <c r="V295" s="22" t="s">
        <v>819</v>
      </c>
      <c r="W295" s="22" t="s">
        <v>820</v>
      </c>
      <c r="X295" s="22"/>
      <c r="Y295" s="22"/>
      <c r="Z295" s="29">
        <v>43270</v>
      </c>
      <c r="AA295" s="29"/>
      <c r="AB295" s="29">
        <v>43371</v>
      </c>
      <c r="AC295" s="29">
        <v>43368</v>
      </c>
      <c r="AD295" s="29"/>
      <c r="AE295" s="29"/>
      <c r="AF295" s="22" t="s">
        <v>821</v>
      </c>
      <c r="AG295" s="213" t="s">
        <v>98</v>
      </c>
      <c r="AH295" s="519">
        <v>31000</v>
      </c>
      <c r="AI295" s="144"/>
      <c r="AJ295" s="143"/>
      <c r="AK295" s="143"/>
      <c r="AL295" s="143"/>
      <c r="AM295" s="143"/>
      <c r="AN295" s="143"/>
      <c r="AO295" s="143"/>
      <c r="AP295" s="143"/>
      <c r="AQ295" s="143"/>
      <c r="AR295" s="143"/>
    </row>
    <row r="296" spans="1:44" ht="25.5" customHeight="1" x14ac:dyDescent="0.25">
      <c r="A296" s="137"/>
      <c r="B296" s="352">
        <v>3</v>
      </c>
      <c r="C296" s="289">
        <v>3</v>
      </c>
      <c r="D296" s="382" t="s">
        <v>86</v>
      </c>
      <c r="E296" s="65"/>
      <c r="F296" s="22"/>
      <c r="G296" s="33" t="s">
        <v>438</v>
      </c>
      <c r="H296" s="33" t="s">
        <v>818</v>
      </c>
      <c r="I296" s="33"/>
      <c r="J296" s="22"/>
      <c r="K296" s="139"/>
      <c r="L296" s="25"/>
      <c r="M296" s="25"/>
      <c r="N296" s="290">
        <v>1</v>
      </c>
      <c r="O296" s="22"/>
      <c r="P296" s="273">
        <v>175</v>
      </c>
      <c r="Q296" s="273">
        <f>P296*N296</f>
        <v>175</v>
      </c>
      <c r="R296" s="35"/>
      <c r="S296" s="273">
        <v>175</v>
      </c>
      <c r="T296" s="273"/>
      <c r="U296" s="273"/>
      <c r="V296" s="22" t="s">
        <v>819</v>
      </c>
      <c r="W296" s="22" t="s">
        <v>820</v>
      </c>
      <c r="X296" s="22"/>
      <c r="Y296" s="22"/>
      <c r="Z296" s="29">
        <v>43270</v>
      </c>
      <c r="AA296" s="29"/>
      <c r="AB296" s="29">
        <v>43371</v>
      </c>
      <c r="AC296" s="29">
        <v>43368</v>
      </c>
      <c r="AD296" s="29"/>
      <c r="AE296" s="29"/>
      <c r="AF296" s="22" t="s">
        <v>821</v>
      </c>
      <c r="AG296" s="213" t="s">
        <v>98</v>
      </c>
      <c r="AH296" s="519">
        <v>29818</v>
      </c>
      <c r="AI296" s="144"/>
      <c r="AJ296" s="143"/>
      <c r="AK296" s="143"/>
      <c r="AL296" s="143"/>
      <c r="AM296" s="143"/>
      <c r="AN296" s="143"/>
      <c r="AO296" s="143"/>
      <c r="AP296" s="143"/>
      <c r="AQ296" s="143"/>
      <c r="AR296" s="143"/>
    </row>
    <row r="297" spans="1:44" ht="145.19999999999999" x14ac:dyDescent="0.25">
      <c r="A297" s="42" t="s">
        <v>822</v>
      </c>
      <c r="B297" s="352">
        <v>3</v>
      </c>
      <c r="C297" s="289">
        <v>3</v>
      </c>
      <c r="D297" s="382" t="s">
        <v>86</v>
      </c>
      <c r="E297" s="65"/>
      <c r="F297" s="22"/>
      <c r="G297" s="33" t="s">
        <v>817</v>
      </c>
      <c r="H297" s="33" t="s">
        <v>818</v>
      </c>
      <c r="I297" s="33"/>
      <c r="J297" s="22"/>
      <c r="K297" s="139">
        <v>5453</v>
      </c>
      <c r="L297" s="25"/>
      <c r="M297" s="25"/>
      <c r="N297" s="290">
        <v>1</v>
      </c>
      <c r="O297" s="22"/>
      <c r="P297" s="291">
        <v>29818</v>
      </c>
      <c r="Q297" s="273">
        <f>N297*P297</f>
        <v>29818</v>
      </c>
      <c r="R297" s="35"/>
      <c r="S297" s="273">
        <v>29818</v>
      </c>
      <c r="T297" s="273"/>
      <c r="U297" s="273">
        <f>Q297-S297</f>
        <v>0</v>
      </c>
      <c r="V297" s="22" t="s">
        <v>819</v>
      </c>
      <c r="W297" s="22" t="s">
        <v>820</v>
      </c>
      <c r="X297" s="22"/>
      <c r="Y297" s="22"/>
      <c r="Z297" s="29">
        <v>43270</v>
      </c>
      <c r="AA297" s="29"/>
      <c r="AB297" s="29">
        <v>43371</v>
      </c>
      <c r="AC297" s="29">
        <v>43368</v>
      </c>
      <c r="AD297" s="29"/>
      <c r="AE297" s="29"/>
      <c r="AF297" s="22" t="s">
        <v>821</v>
      </c>
      <c r="AG297" s="213" t="s">
        <v>98</v>
      </c>
      <c r="AH297" s="519">
        <v>350</v>
      </c>
      <c r="AI297" s="144"/>
      <c r="AJ297" s="143"/>
      <c r="AK297" s="143"/>
      <c r="AL297" s="143"/>
      <c r="AM297" s="143"/>
      <c r="AN297" s="143"/>
      <c r="AO297" s="143"/>
      <c r="AP297" s="143"/>
      <c r="AQ297" s="143"/>
      <c r="AR297" s="143"/>
    </row>
    <row r="298" spans="1:44" ht="25.5" customHeight="1" x14ac:dyDescent="0.25">
      <c r="A298" s="42"/>
      <c r="B298" s="352">
        <v>3</v>
      </c>
      <c r="C298" s="289">
        <v>3</v>
      </c>
      <c r="D298" s="382" t="s">
        <v>86</v>
      </c>
      <c r="E298" s="65"/>
      <c r="F298" s="22"/>
      <c r="G298" s="33" t="s">
        <v>438</v>
      </c>
      <c r="H298" s="33" t="s">
        <v>818</v>
      </c>
      <c r="I298" s="33"/>
      <c r="J298" s="22"/>
      <c r="K298" s="139"/>
      <c r="L298" s="25"/>
      <c r="M298" s="25"/>
      <c r="N298" s="290">
        <v>1</v>
      </c>
      <c r="O298" s="22"/>
      <c r="P298" s="291">
        <v>175</v>
      </c>
      <c r="Q298" s="273">
        <f>P298*N298</f>
        <v>175</v>
      </c>
      <c r="R298" s="35"/>
      <c r="S298" s="273">
        <v>175</v>
      </c>
      <c r="T298" s="273"/>
      <c r="U298" s="273"/>
      <c r="V298" s="22" t="s">
        <v>819</v>
      </c>
      <c r="W298" s="22" t="s">
        <v>820</v>
      </c>
      <c r="X298" s="22"/>
      <c r="Y298" s="22"/>
      <c r="Z298" s="29">
        <v>43270</v>
      </c>
      <c r="AA298" s="29"/>
      <c r="AB298" s="29">
        <v>43371</v>
      </c>
      <c r="AC298" s="29">
        <v>43368</v>
      </c>
      <c r="AD298" s="29"/>
      <c r="AE298" s="29"/>
      <c r="AF298" s="22" t="s">
        <v>821</v>
      </c>
      <c r="AG298" s="213" t="s">
        <v>98</v>
      </c>
      <c r="AH298" s="519">
        <v>0</v>
      </c>
      <c r="AI298" s="144"/>
      <c r="AJ298" s="143"/>
      <c r="AK298" s="143"/>
      <c r="AL298" s="143"/>
      <c r="AM298" s="143"/>
      <c r="AN298" s="143"/>
      <c r="AO298" s="143"/>
      <c r="AP298" s="143"/>
      <c r="AQ298" s="143"/>
      <c r="AR298" s="143"/>
    </row>
    <row r="299" spans="1:44" ht="58.5" customHeight="1" x14ac:dyDescent="0.25">
      <c r="A299" s="42" t="s">
        <v>823</v>
      </c>
      <c r="B299" s="352">
        <v>3</v>
      </c>
      <c r="C299" s="289">
        <v>3</v>
      </c>
      <c r="D299" s="382" t="s">
        <v>86</v>
      </c>
      <c r="E299" s="65"/>
      <c r="F299" s="22"/>
      <c r="G299" s="33" t="s">
        <v>824</v>
      </c>
      <c r="H299" s="33" t="s">
        <v>825</v>
      </c>
      <c r="I299" s="33"/>
      <c r="J299" s="22"/>
      <c r="K299" s="139" t="s">
        <v>826</v>
      </c>
      <c r="L299" s="25"/>
      <c r="M299" s="25"/>
      <c r="N299" s="68">
        <v>1</v>
      </c>
      <c r="O299" s="22"/>
      <c r="P299" s="291">
        <v>378.75</v>
      </c>
      <c r="Q299" s="273">
        <f>N299*P299</f>
        <v>378.75</v>
      </c>
      <c r="R299" s="35"/>
      <c r="S299" s="273">
        <v>378.75</v>
      </c>
      <c r="T299" s="273"/>
      <c r="U299" s="273">
        <f>Q299-S299</f>
        <v>0</v>
      </c>
      <c r="V299" s="22" t="s">
        <v>827</v>
      </c>
      <c r="W299" s="22" t="s">
        <v>828</v>
      </c>
      <c r="X299" s="22"/>
      <c r="Y299" s="22"/>
      <c r="Z299" s="29">
        <v>43259</v>
      </c>
      <c r="AA299" s="29"/>
      <c r="AB299" s="29">
        <v>43264</v>
      </c>
      <c r="AC299" s="29">
        <v>43266</v>
      </c>
      <c r="AD299" s="29"/>
      <c r="AE299" s="29"/>
      <c r="AF299" s="22" t="s">
        <v>821</v>
      </c>
      <c r="AG299" s="213" t="s">
        <v>98</v>
      </c>
      <c r="AH299" s="519">
        <v>378.75</v>
      </c>
      <c r="AI299" s="144"/>
      <c r="AJ299" s="143"/>
      <c r="AK299" s="143"/>
      <c r="AL299" s="143"/>
      <c r="AM299" s="143"/>
      <c r="AN299" s="143"/>
      <c r="AO299" s="143"/>
      <c r="AP299" s="143"/>
      <c r="AQ299" s="143"/>
      <c r="AR299" s="143"/>
    </row>
    <row r="300" spans="1:44" ht="12.75" customHeight="1" x14ac:dyDescent="0.25">
      <c r="A300" s="22"/>
      <c r="B300" s="352">
        <v>3</v>
      </c>
      <c r="C300" s="289">
        <v>3</v>
      </c>
      <c r="D300" s="382" t="s">
        <v>86</v>
      </c>
      <c r="E300" s="65"/>
      <c r="F300" s="22"/>
      <c r="G300" s="68" t="s">
        <v>829</v>
      </c>
      <c r="H300" s="22" t="s">
        <v>699</v>
      </c>
      <c r="I300" s="22"/>
      <c r="J300" s="22"/>
      <c r="K300" s="25">
        <v>922414</v>
      </c>
      <c r="L300" s="25"/>
      <c r="M300" s="25"/>
      <c r="N300" s="22">
        <v>5</v>
      </c>
      <c r="O300" s="22"/>
      <c r="P300" s="273">
        <v>45.66</v>
      </c>
      <c r="Q300" s="273">
        <f>P300*N300</f>
        <v>228.29999999999998</v>
      </c>
      <c r="R300" s="35"/>
      <c r="S300" s="273">
        <v>228.3</v>
      </c>
      <c r="T300" s="273"/>
      <c r="U300" s="273">
        <f>Q300-S300</f>
        <v>0</v>
      </c>
      <c r="V300" s="22" t="s">
        <v>830</v>
      </c>
      <c r="W300" s="22" t="s">
        <v>831</v>
      </c>
      <c r="X300" s="22"/>
      <c r="Y300" s="22"/>
      <c r="Z300" s="29">
        <v>43258</v>
      </c>
      <c r="AA300" s="29"/>
      <c r="AB300" s="29">
        <v>43264</v>
      </c>
      <c r="AC300" s="29">
        <v>43270</v>
      </c>
      <c r="AD300" s="29"/>
      <c r="AE300" s="29"/>
      <c r="AF300" s="22" t="s">
        <v>821</v>
      </c>
      <c r="AG300" s="213" t="s">
        <v>98</v>
      </c>
      <c r="AH300" s="519">
        <v>228.3</v>
      </c>
      <c r="AI300" s="510"/>
      <c r="AJ300" s="143"/>
      <c r="AK300" s="143"/>
      <c r="AL300" s="143"/>
      <c r="AM300" s="143"/>
      <c r="AN300" s="143"/>
      <c r="AO300" s="143"/>
      <c r="AP300" s="143"/>
      <c r="AQ300" s="143"/>
      <c r="AR300" s="143"/>
    </row>
    <row r="301" spans="1:44" ht="12.75" customHeight="1" x14ac:dyDescent="0.25">
      <c r="A301" s="22"/>
      <c r="B301" s="352">
        <v>3</v>
      </c>
      <c r="C301" s="289">
        <v>3</v>
      </c>
      <c r="D301" s="382" t="s">
        <v>86</v>
      </c>
      <c r="E301" s="65"/>
      <c r="F301" s="22"/>
      <c r="G301" s="22" t="s">
        <v>832</v>
      </c>
      <c r="H301" s="22" t="s">
        <v>699</v>
      </c>
      <c r="I301" s="22"/>
      <c r="J301" s="22"/>
      <c r="K301" s="25" t="s">
        <v>833</v>
      </c>
      <c r="L301" s="25"/>
      <c r="M301" s="25"/>
      <c r="N301" s="22">
        <v>5</v>
      </c>
      <c r="O301" s="22"/>
      <c r="P301" s="273">
        <v>23.61</v>
      </c>
      <c r="Q301" s="273">
        <f>P301*N301</f>
        <v>118.05</v>
      </c>
      <c r="R301" s="35"/>
      <c r="S301" s="273">
        <v>118.05</v>
      </c>
      <c r="T301" s="273"/>
      <c r="U301" s="273">
        <f>Q301-S301</f>
        <v>0</v>
      </c>
      <c r="V301" s="22" t="s">
        <v>830</v>
      </c>
      <c r="W301" s="22" t="s">
        <v>831</v>
      </c>
      <c r="X301" s="22"/>
      <c r="Y301" s="22"/>
      <c r="Z301" s="29">
        <v>43258</v>
      </c>
      <c r="AA301" s="29"/>
      <c r="AB301" s="29">
        <v>43264</v>
      </c>
      <c r="AC301" s="29">
        <v>43294</v>
      </c>
      <c r="AD301" s="29"/>
      <c r="AE301" s="29"/>
      <c r="AF301" s="22" t="s">
        <v>821</v>
      </c>
      <c r="AG301" s="213" t="s">
        <v>98</v>
      </c>
      <c r="AH301" s="519">
        <v>118.05</v>
      </c>
      <c r="AI301" s="511"/>
      <c r="AJ301" s="143"/>
      <c r="AK301" s="143"/>
      <c r="AL301" s="143"/>
      <c r="AM301" s="143"/>
      <c r="AN301" s="143"/>
      <c r="AO301" s="143"/>
      <c r="AP301" s="143"/>
      <c r="AQ301" s="143"/>
      <c r="AR301" s="143"/>
    </row>
    <row r="302" spans="1:44" ht="12.75" customHeight="1" x14ac:dyDescent="0.25">
      <c r="A302" s="22"/>
      <c r="B302" s="352">
        <v>3</v>
      </c>
      <c r="C302" s="289">
        <v>3</v>
      </c>
      <c r="D302" s="382" t="s">
        <v>86</v>
      </c>
      <c r="E302" s="65"/>
      <c r="F302" s="22"/>
      <c r="G302" s="22" t="s">
        <v>834</v>
      </c>
      <c r="H302" s="22" t="s">
        <v>699</v>
      </c>
      <c r="I302" s="22"/>
      <c r="J302" s="22"/>
      <c r="K302" s="25"/>
      <c r="L302" s="25"/>
      <c r="M302" s="25"/>
      <c r="N302" s="22">
        <v>1</v>
      </c>
      <c r="O302" s="22"/>
      <c r="P302" s="273">
        <v>50</v>
      </c>
      <c r="Q302" s="273">
        <f>P302*N302</f>
        <v>50</v>
      </c>
      <c r="R302" s="35"/>
      <c r="S302" s="273">
        <v>50</v>
      </c>
      <c r="T302" s="273"/>
      <c r="U302" s="273">
        <f>Q302-S302</f>
        <v>0</v>
      </c>
      <c r="V302" s="22" t="s">
        <v>830</v>
      </c>
      <c r="W302" s="22" t="s">
        <v>831</v>
      </c>
      <c r="X302" s="22"/>
      <c r="Y302" s="22"/>
      <c r="Z302" s="29">
        <v>43258</v>
      </c>
      <c r="AA302" s="29"/>
      <c r="AB302" s="29">
        <v>43264</v>
      </c>
      <c r="AC302" s="29">
        <v>43294</v>
      </c>
      <c r="AD302" s="29"/>
      <c r="AE302" s="29"/>
      <c r="AF302" s="22" t="s">
        <v>821</v>
      </c>
      <c r="AG302" s="213" t="s">
        <v>98</v>
      </c>
      <c r="AH302" s="519">
        <v>50</v>
      </c>
      <c r="AI302" s="510"/>
      <c r="AJ302" s="143"/>
      <c r="AK302" s="143"/>
      <c r="AL302" s="143"/>
      <c r="AM302" s="143"/>
      <c r="AN302" s="143"/>
      <c r="AO302" s="143"/>
      <c r="AP302" s="143"/>
      <c r="AQ302" s="143"/>
      <c r="AR302" s="143"/>
    </row>
    <row r="303" spans="1:44" ht="46.5" customHeight="1" x14ac:dyDescent="0.25">
      <c r="A303" s="22"/>
      <c r="B303" s="352">
        <v>3</v>
      </c>
      <c r="C303" s="49">
        <v>3</v>
      </c>
      <c r="D303" s="382" t="s">
        <v>86</v>
      </c>
      <c r="E303" s="65"/>
      <c r="F303" s="22"/>
      <c r="G303" s="22" t="s">
        <v>835</v>
      </c>
      <c r="H303" s="22" t="s">
        <v>825</v>
      </c>
      <c r="I303" s="22"/>
      <c r="J303" s="22"/>
      <c r="K303" s="25" t="s">
        <v>693</v>
      </c>
      <c r="L303" s="25"/>
      <c r="M303" s="25"/>
      <c r="N303" s="22">
        <v>2</v>
      </c>
      <c r="O303" s="22"/>
      <c r="P303" s="273">
        <v>358.53</v>
      </c>
      <c r="Q303" s="273">
        <f>N303*P303</f>
        <v>717.06</v>
      </c>
      <c r="R303" s="35"/>
      <c r="S303" s="273">
        <v>717.06</v>
      </c>
      <c r="T303" s="273"/>
      <c r="U303" s="273">
        <f>Q303-S303</f>
        <v>0</v>
      </c>
      <c r="V303" s="22" t="s">
        <v>827</v>
      </c>
      <c r="W303" s="22" t="s">
        <v>828</v>
      </c>
      <c r="X303" s="22"/>
      <c r="Y303" s="22"/>
      <c r="Z303" s="29">
        <v>43259</v>
      </c>
      <c r="AA303" s="29"/>
      <c r="AB303" s="29">
        <v>43264</v>
      </c>
      <c r="AC303" s="29">
        <v>43266</v>
      </c>
      <c r="AD303" s="29"/>
      <c r="AE303" s="29"/>
      <c r="AF303" s="22" t="s">
        <v>821</v>
      </c>
      <c r="AG303" s="213" t="s">
        <v>98</v>
      </c>
      <c r="AH303" s="519">
        <v>717.06</v>
      </c>
      <c r="AI303" s="510"/>
      <c r="AJ303" s="143"/>
      <c r="AK303" s="143"/>
      <c r="AL303" s="143"/>
      <c r="AM303" s="143"/>
      <c r="AN303" s="143"/>
      <c r="AO303" s="143"/>
      <c r="AP303" s="143"/>
      <c r="AQ303" s="143"/>
      <c r="AR303" s="143"/>
    </row>
    <row r="304" spans="1:44" ht="22.5" customHeight="1" x14ac:dyDescent="0.25">
      <c r="A304" s="22"/>
      <c r="B304" s="352">
        <v>3</v>
      </c>
      <c r="C304" s="293">
        <v>3</v>
      </c>
      <c r="D304" s="382" t="s">
        <v>86</v>
      </c>
      <c r="E304" s="65"/>
      <c r="F304" s="22"/>
      <c r="G304" s="21" t="s">
        <v>438</v>
      </c>
      <c r="H304" s="56" t="s">
        <v>825</v>
      </c>
      <c r="I304" s="56"/>
      <c r="J304" s="22"/>
      <c r="L304" s="25"/>
      <c r="M304" s="228"/>
      <c r="N304" s="56">
        <v>1</v>
      </c>
      <c r="O304" s="22"/>
      <c r="P304" s="294">
        <v>30</v>
      </c>
      <c r="Q304" s="294"/>
      <c r="R304" s="35"/>
      <c r="S304" s="294">
        <v>30</v>
      </c>
      <c r="T304" s="294"/>
      <c r="U304" s="273"/>
      <c r="V304" s="22" t="s">
        <v>827</v>
      </c>
      <c r="W304" s="22" t="s">
        <v>828</v>
      </c>
      <c r="X304" s="22"/>
      <c r="Y304" s="22"/>
      <c r="Z304" s="29">
        <v>43259</v>
      </c>
      <c r="AA304" s="29">
        <v>43264</v>
      </c>
      <c r="AB304" s="29">
        <v>43264</v>
      </c>
      <c r="AC304" s="29">
        <v>43266</v>
      </c>
      <c r="AD304" s="29"/>
      <c r="AE304" s="29"/>
      <c r="AF304" s="22"/>
      <c r="AG304" s="213" t="s">
        <v>98</v>
      </c>
      <c r="AH304" s="519">
        <v>30</v>
      </c>
      <c r="AI304" s="510"/>
      <c r="AJ304" s="143"/>
      <c r="AK304" s="143"/>
      <c r="AL304" s="143"/>
      <c r="AM304" s="143"/>
      <c r="AN304" s="143"/>
      <c r="AO304" s="143"/>
      <c r="AP304" s="143"/>
      <c r="AQ304" s="143"/>
      <c r="AR304" s="143"/>
    </row>
    <row r="305" spans="1:157" ht="12.75" customHeight="1" x14ac:dyDescent="0.25">
      <c r="A305" s="22"/>
      <c r="B305" s="352">
        <v>3</v>
      </c>
      <c r="C305" s="289">
        <v>3</v>
      </c>
      <c r="D305" s="382" t="s">
        <v>86</v>
      </c>
      <c r="E305" s="65"/>
      <c r="F305" s="22"/>
      <c r="G305" s="22" t="s">
        <v>836</v>
      </c>
      <c r="H305" s="22" t="s">
        <v>837</v>
      </c>
      <c r="I305" s="22"/>
      <c r="J305" s="22"/>
      <c r="K305" s="25">
        <v>273397</v>
      </c>
      <c r="L305" s="25"/>
      <c r="M305" s="25"/>
      <c r="N305" s="22">
        <v>1500</v>
      </c>
      <c r="O305" s="22"/>
      <c r="P305" s="273">
        <v>2.9</v>
      </c>
      <c r="Q305" s="273">
        <f>P305*N305</f>
        <v>4350</v>
      </c>
      <c r="R305" s="35"/>
      <c r="S305" s="273">
        <v>3000</v>
      </c>
      <c r="T305" s="273"/>
      <c r="U305" s="273">
        <f>Q305-S305</f>
        <v>1350</v>
      </c>
      <c r="V305" s="22" t="s">
        <v>838</v>
      </c>
      <c r="W305" s="22" t="s">
        <v>839</v>
      </c>
      <c r="X305" s="22"/>
      <c r="Y305" s="22"/>
      <c r="Z305" s="29">
        <v>43269</v>
      </c>
      <c r="AA305" s="29"/>
      <c r="AB305" s="29">
        <v>43304</v>
      </c>
      <c r="AC305" s="29">
        <v>43361</v>
      </c>
      <c r="AD305" s="29"/>
      <c r="AE305" s="29"/>
      <c r="AF305" s="86" t="s">
        <v>821</v>
      </c>
      <c r="AG305" s="213" t="s">
        <v>98</v>
      </c>
      <c r="AH305" s="519">
        <v>3000</v>
      </c>
      <c r="AI305" s="511"/>
      <c r="AJ305" s="143"/>
      <c r="AK305" s="143"/>
      <c r="AL305" s="143"/>
      <c r="AM305" s="143"/>
      <c r="AN305" s="143"/>
      <c r="AO305" s="143"/>
      <c r="AP305" s="143"/>
      <c r="AQ305" s="143"/>
      <c r="AR305" s="143"/>
    </row>
    <row r="306" spans="1:157" ht="12.75" customHeight="1" x14ac:dyDescent="0.25">
      <c r="A306" s="22"/>
      <c r="B306" s="352">
        <v>3</v>
      </c>
      <c r="C306" s="289">
        <v>3</v>
      </c>
      <c r="D306" s="382" t="s">
        <v>86</v>
      </c>
      <c r="E306" s="65"/>
      <c r="F306" s="22"/>
      <c r="G306" s="22" t="s">
        <v>840</v>
      </c>
      <c r="H306" s="22" t="s">
        <v>837</v>
      </c>
      <c r="I306" s="22"/>
      <c r="J306" s="22"/>
      <c r="K306" s="25">
        <v>584614</v>
      </c>
      <c r="L306" s="25"/>
      <c r="M306" s="25"/>
      <c r="N306" s="22">
        <v>150</v>
      </c>
      <c r="O306" s="22"/>
      <c r="P306" s="273">
        <v>9.17</v>
      </c>
      <c r="Q306" s="273">
        <f>P306*N306</f>
        <v>1375.5</v>
      </c>
      <c r="R306" s="35"/>
      <c r="S306" s="273">
        <v>1375.5</v>
      </c>
      <c r="T306" s="273"/>
      <c r="U306" s="273">
        <f>Q306-S306</f>
        <v>0</v>
      </c>
      <c r="V306" s="22" t="s">
        <v>838</v>
      </c>
      <c r="W306" s="22" t="s">
        <v>839</v>
      </c>
      <c r="X306" s="22"/>
      <c r="Y306" s="22"/>
      <c r="Z306" s="29">
        <v>43269</v>
      </c>
      <c r="AA306" s="29"/>
      <c r="AB306" s="29">
        <v>43304</v>
      </c>
      <c r="AC306" s="29">
        <v>43304</v>
      </c>
      <c r="AD306" s="29"/>
      <c r="AE306" s="29"/>
      <c r="AF306" s="22" t="s">
        <v>821</v>
      </c>
      <c r="AG306" s="213" t="s">
        <v>98</v>
      </c>
      <c r="AH306" s="519">
        <v>1375.5</v>
      </c>
      <c r="AI306" s="511"/>
      <c r="AJ306" s="143"/>
      <c r="AK306" s="143"/>
      <c r="AL306" s="143"/>
      <c r="AM306" s="143"/>
      <c r="AN306" s="143"/>
      <c r="AO306" s="143"/>
      <c r="AP306" s="143"/>
      <c r="AQ306" s="143"/>
      <c r="AR306" s="143"/>
    </row>
    <row r="307" spans="1:157" ht="12.75" customHeight="1" x14ac:dyDescent="0.25">
      <c r="A307" s="22"/>
      <c r="B307" s="352">
        <v>3</v>
      </c>
      <c r="C307" s="289">
        <v>3</v>
      </c>
      <c r="D307" s="382" t="s">
        <v>86</v>
      </c>
      <c r="E307" s="65"/>
      <c r="F307" s="22"/>
      <c r="G307" s="22" t="s">
        <v>841</v>
      </c>
      <c r="H307" s="22" t="s">
        <v>837</v>
      </c>
      <c r="I307" s="22"/>
      <c r="J307" s="22"/>
      <c r="K307" s="25">
        <v>378066</v>
      </c>
      <c r="L307" s="25"/>
      <c r="M307" s="25"/>
      <c r="N307" s="22">
        <v>20</v>
      </c>
      <c r="O307" s="22"/>
      <c r="P307" s="273">
        <v>1.4</v>
      </c>
      <c r="Q307" s="273">
        <f>P307*N307</f>
        <v>28</v>
      </c>
      <c r="R307" s="35"/>
      <c r="S307" s="273">
        <v>28</v>
      </c>
      <c r="T307" s="273"/>
      <c r="U307" s="273">
        <f>Q307-S307</f>
        <v>0</v>
      </c>
      <c r="V307" s="22" t="s">
        <v>838</v>
      </c>
      <c r="W307" s="22" t="s">
        <v>839</v>
      </c>
      <c r="X307" s="22"/>
      <c r="Y307" s="22"/>
      <c r="Z307" s="29">
        <v>43269</v>
      </c>
      <c r="AA307" s="29"/>
      <c r="AB307" s="29">
        <v>43304</v>
      </c>
      <c r="AC307" s="29">
        <v>43304</v>
      </c>
      <c r="AD307" s="29"/>
      <c r="AE307" s="29"/>
      <c r="AF307" s="22" t="s">
        <v>821</v>
      </c>
      <c r="AG307" s="213" t="s">
        <v>98</v>
      </c>
      <c r="AH307" s="519">
        <v>28</v>
      </c>
      <c r="AI307" s="511"/>
      <c r="AJ307" s="143"/>
      <c r="AK307" s="143"/>
      <c r="AL307" s="143"/>
      <c r="AM307" s="143"/>
      <c r="AN307" s="143"/>
      <c r="AO307" s="143"/>
      <c r="AP307" s="143"/>
      <c r="AQ307" s="143"/>
      <c r="AR307" s="143"/>
    </row>
    <row r="308" spans="1:157" ht="12.75" customHeight="1" x14ac:dyDescent="0.25">
      <c r="A308" s="22"/>
      <c r="B308" s="352">
        <v>3</v>
      </c>
      <c r="C308" s="289">
        <v>3</v>
      </c>
      <c r="D308" s="382" t="s">
        <v>86</v>
      </c>
      <c r="E308" s="65"/>
      <c r="F308" s="22"/>
      <c r="G308" s="22" t="s">
        <v>842</v>
      </c>
      <c r="H308" s="22" t="s">
        <v>837</v>
      </c>
      <c r="I308" s="22"/>
      <c r="J308" s="22"/>
      <c r="K308" s="25">
        <v>491002</v>
      </c>
      <c r="L308" s="25"/>
      <c r="M308" s="25"/>
      <c r="N308" s="22">
        <v>25</v>
      </c>
      <c r="O308" s="22"/>
      <c r="P308" s="273">
        <v>2.81</v>
      </c>
      <c r="Q308" s="273">
        <f>P308*N308</f>
        <v>70.25</v>
      </c>
      <c r="R308" s="35"/>
      <c r="S308" s="273">
        <v>70.25</v>
      </c>
      <c r="T308" s="273"/>
      <c r="U308" s="273">
        <f>Q308-S308</f>
        <v>0</v>
      </c>
      <c r="V308" s="22" t="s">
        <v>838</v>
      </c>
      <c r="W308" s="22" t="s">
        <v>839</v>
      </c>
      <c r="X308" s="22"/>
      <c r="Y308" s="22"/>
      <c r="Z308" s="29">
        <v>43269</v>
      </c>
      <c r="AA308" s="29"/>
      <c r="AB308" s="29">
        <v>43304</v>
      </c>
      <c r="AC308" s="29">
        <v>43304</v>
      </c>
      <c r="AD308" s="29"/>
      <c r="AE308" s="29"/>
      <c r="AF308" s="22" t="s">
        <v>821</v>
      </c>
      <c r="AG308" s="213" t="s">
        <v>98</v>
      </c>
      <c r="AH308" s="519">
        <v>70.25</v>
      </c>
      <c r="AI308" s="511"/>
      <c r="AJ308" s="143"/>
      <c r="AK308" s="143"/>
      <c r="AL308" s="143"/>
      <c r="AM308" s="143"/>
      <c r="AN308" s="143"/>
      <c r="AO308" s="143"/>
      <c r="AP308" s="143"/>
      <c r="AQ308" s="143"/>
      <c r="AR308" s="143"/>
    </row>
    <row r="309" spans="1:157" ht="12.75" customHeight="1" x14ac:dyDescent="0.25">
      <c r="A309" s="22"/>
      <c r="B309" s="355">
        <v>3</v>
      </c>
      <c r="C309" s="305">
        <v>3</v>
      </c>
      <c r="D309" s="546" t="s">
        <v>86</v>
      </c>
      <c r="E309" s="67"/>
      <c r="F309" s="38"/>
      <c r="G309" s="38" t="s">
        <v>438</v>
      </c>
      <c r="H309" s="38" t="s">
        <v>837</v>
      </c>
      <c r="I309" s="38"/>
      <c r="J309" s="38"/>
      <c r="K309" s="39"/>
      <c r="L309" s="39"/>
      <c r="M309" s="39"/>
      <c r="N309" s="38">
        <v>1</v>
      </c>
      <c r="O309" s="38"/>
      <c r="P309" s="310">
        <v>194.36</v>
      </c>
      <c r="Q309" s="310">
        <f>P309*N309</f>
        <v>194.36</v>
      </c>
      <c r="R309" s="35"/>
      <c r="S309" s="310">
        <v>194.36</v>
      </c>
      <c r="T309" s="310"/>
      <c r="U309" s="310">
        <f t="shared" ref="U309:U310" si="25">Q309-S309</f>
        <v>0</v>
      </c>
      <c r="V309" s="38" t="s">
        <v>838</v>
      </c>
      <c r="W309" s="38" t="s">
        <v>839</v>
      </c>
      <c r="X309" s="22"/>
      <c r="Y309" s="22"/>
      <c r="Z309" s="41">
        <v>43269</v>
      </c>
      <c r="AA309" s="29"/>
      <c r="AB309" s="41">
        <v>43304</v>
      </c>
      <c r="AC309" s="41">
        <v>43304</v>
      </c>
      <c r="AD309" s="29"/>
      <c r="AE309" s="29"/>
      <c r="AF309" s="22" t="s">
        <v>821</v>
      </c>
      <c r="AG309" s="571" t="s">
        <v>98</v>
      </c>
      <c r="AH309" s="521">
        <v>194.36</v>
      </c>
      <c r="AI309" s="572"/>
      <c r="AJ309" s="504"/>
      <c r="AK309" s="504"/>
      <c r="AL309" s="504"/>
      <c r="AM309" s="504"/>
      <c r="AN309" s="504"/>
      <c r="AO309" s="504"/>
      <c r="AP309" s="504"/>
      <c r="AQ309" s="504"/>
      <c r="AR309" s="504"/>
    </row>
    <row r="310" spans="1:157" ht="12.75" customHeight="1" x14ac:dyDescent="0.25">
      <c r="A310" s="246"/>
      <c r="B310" s="352">
        <v>4</v>
      </c>
      <c r="C310" s="166">
        <v>3</v>
      </c>
      <c r="D310" s="561" t="s">
        <v>86</v>
      </c>
      <c r="E310" s="65"/>
      <c r="F310" s="65"/>
      <c r="G310" s="65" t="s">
        <v>843</v>
      </c>
      <c r="H310" s="65" t="s">
        <v>844</v>
      </c>
      <c r="I310" s="65"/>
      <c r="J310" s="65"/>
      <c r="K310" s="65"/>
      <c r="L310" s="65"/>
      <c r="M310" s="65"/>
      <c r="N310" s="25">
        <v>1</v>
      </c>
      <c r="O310" s="65"/>
      <c r="P310" s="273"/>
      <c r="Q310" s="273">
        <v>2950</v>
      </c>
      <c r="R310" s="564"/>
      <c r="S310" s="273">
        <v>2950</v>
      </c>
      <c r="T310" s="273"/>
      <c r="U310" s="273">
        <f t="shared" si="25"/>
        <v>0</v>
      </c>
      <c r="V310" s="65" t="s">
        <v>845</v>
      </c>
      <c r="W310" s="65" t="s">
        <v>846</v>
      </c>
      <c r="X310" s="274"/>
      <c r="Y310" s="563"/>
      <c r="Z310" s="29">
        <v>43258</v>
      </c>
      <c r="AA310" s="564"/>
      <c r="AB310" s="29">
        <v>43259</v>
      </c>
      <c r="AC310" s="29">
        <v>43259</v>
      </c>
      <c r="AD310" s="274"/>
      <c r="AE310" s="65"/>
      <c r="AF310" s="563"/>
      <c r="AG310" s="65" t="s">
        <v>98</v>
      </c>
      <c r="AH310" s="143">
        <v>2950</v>
      </c>
      <c r="AI310" s="65"/>
      <c r="AJ310" s="143"/>
      <c r="AK310" s="143"/>
      <c r="AL310" s="143"/>
      <c r="AM310" s="143"/>
      <c r="AN310" s="143"/>
      <c r="AO310" s="143"/>
      <c r="AP310" s="143"/>
      <c r="AQ310" s="143"/>
      <c r="AR310" s="143"/>
      <c r="AS310" s="177"/>
      <c r="AT310" s="177"/>
      <c r="AU310" s="177"/>
      <c r="AV310" s="177"/>
      <c r="AW310" s="177"/>
      <c r="AX310" s="177"/>
      <c r="AY310" s="177"/>
      <c r="AZ310" s="177"/>
      <c r="BA310" s="177"/>
      <c r="BB310" s="177"/>
      <c r="BC310" s="177"/>
      <c r="BD310" s="177"/>
      <c r="BE310" s="177"/>
      <c r="BF310" s="177"/>
      <c r="BG310" s="177"/>
      <c r="BH310" s="177"/>
      <c r="BI310" s="177"/>
      <c r="BJ310" s="177"/>
      <c r="BK310" s="177"/>
      <c r="BL310" s="177"/>
      <c r="BM310" s="177"/>
      <c r="BN310" s="177"/>
      <c r="BO310" s="177"/>
      <c r="BP310" s="177"/>
      <c r="BQ310" s="177"/>
      <c r="BR310" s="177"/>
      <c r="BS310" s="177"/>
      <c r="BT310" s="177"/>
      <c r="BU310" s="177"/>
      <c r="BV310" s="177"/>
      <c r="BW310" s="177"/>
      <c r="BX310" s="177"/>
      <c r="BY310" s="177"/>
      <c r="BZ310" s="177"/>
      <c r="CA310" s="177"/>
      <c r="CB310" s="177"/>
      <c r="CC310" s="177"/>
      <c r="CD310" s="177"/>
      <c r="CE310" s="177"/>
      <c r="CF310" s="177"/>
      <c r="CG310" s="177"/>
      <c r="CH310" s="177"/>
      <c r="CI310" s="177"/>
      <c r="CJ310" s="177"/>
      <c r="CK310" s="177"/>
      <c r="CL310" s="177"/>
      <c r="CM310" s="177"/>
      <c r="CN310" s="177"/>
      <c r="CO310" s="177"/>
      <c r="CP310" s="177"/>
      <c r="CQ310" s="177"/>
      <c r="CR310" s="177"/>
      <c r="CS310" s="177"/>
      <c r="CT310" s="177"/>
      <c r="CU310" s="177"/>
      <c r="CV310" s="177"/>
      <c r="CW310" s="177"/>
      <c r="CX310" s="177"/>
      <c r="CY310" s="177"/>
      <c r="CZ310" s="177"/>
      <c r="DA310" s="177"/>
      <c r="DB310" s="177"/>
      <c r="DC310" s="177"/>
      <c r="DD310" s="177"/>
      <c r="DE310" s="177"/>
      <c r="DF310" s="177"/>
      <c r="DG310" s="177"/>
      <c r="DH310" s="177"/>
      <c r="DI310" s="177"/>
      <c r="DJ310" s="177"/>
      <c r="DK310" s="177"/>
      <c r="DL310" s="177"/>
      <c r="DM310" s="177"/>
      <c r="DN310" s="177"/>
      <c r="DO310" s="177"/>
      <c r="DP310" s="177"/>
      <c r="DQ310" s="177"/>
      <c r="DR310" s="177"/>
      <c r="DS310" s="177"/>
      <c r="DT310" s="177"/>
      <c r="DU310" s="177"/>
      <c r="DV310" s="177"/>
      <c r="DW310" s="177"/>
      <c r="DX310" s="177"/>
      <c r="DY310" s="177"/>
      <c r="DZ310" s="177"/>
      <c r="EA310" s="177"/>
      <c r="EB310" s="177"/>
      <c r="EC310" s="177"/>
      <c r="ED310" s="177"/>
      <c r="EE310" s="177"/>
      <c r="EF310" s="177"/>
      <c r="EG310" s="177"/>
      <c r="EH310" s="177"/>
      <c r="EI310" s="177"/>
      <c r="EJ310" s="177"/>
      <c r="EK310" s="177"/>
      <c r="EL310" s="177"/>
      <c r="EM310" s="177"/>
      <c r="EN310" s="177"/>
      <c r="EO310" s="177"/>
      <c r="EP310" s="177"/>
      <c r="EQ310" s="177"/>
      <c r="ER310" s="177"/>
      <c r="ES310" s="177"/>
      <c r="ET310" s="177"/>
      <c r="EU310" s="177"/>
      <c r="EV310" s="177"/>
      <c r="EW310" s="177"/>
      <c r="EX310" s="177"/>
      <c r="EY310" s="177"/>
      <c r="EZ310" s="177"/>
      <c r="FA310" s="177"/>
    </row>
    <row r="311" spans="1:157" ht="12.75" customHeight="1" x14ac:dyDescent="0.25">
      <c r="A311" s="22"/>
      <c r="B311" s="353">
        <v>3</v>
      </c>
      <c r="C311" s="573">
        <v>4</v>
      </c>
      <c r="D311" s="382" t="s">
        <v>86</v>
      </c>
      <c r="E311" s="226"/>
      <c r="F311" s="226"/>
      <c r="G311" s="226" t="s">
        <v>847</v>
      </c>
      <c r="H311" s="226"/>
      <c r="I311" s="226"/>
      <c r="J311" s="226"/>
      <c r="K311" s="226"/>
      <c r="L311" s="226"/>
      <c r="M311" s="226"/>
      <c r="N311" s="228">
        <v>1</v>
      </c>
      <c r="O311" s="226"/>
      <c r="P311" s="294">
        <v>-61056.95</v>
      </c>
      <c r="Q311" s="294">
        <f>N311*P311</f>
        <v>-61056.95</v>
      </c>
      <c r="R311" s="65"/>
      <c r="S311" s="294"/>
      <c r="T311" s="294"/>
      <c r="U311" s="294"/>
      <c r="V311" s="226"/>
      <c r="W311" s="226"/>
      <c r="X311" s="65"/>
      <c r="Y311" s="65"/>
      <c r="Z311" s="232"/>
      <c r="AA311" s="65"/>
      <c r="AB311" s="232"/>
      <c r="AC311" s="232"/>
      <c r="AD311" s="65"/>
      <c r="AE311" s="65"/>
      <c r="AF311" s="65"/>
      <c r="AG311" s="226"/>
      <c r="AH311" s="522"/>
      <c r="AI311" s="574"/>
      <c r="AJ311" s="505"/>
      <c r="AK311" s="505"/>
      <c r="AL311" s="505"/>
      <c r="AM311" s="505"/>
      <c r="AN311" s="505"/>
      <c r="AO311" s="505"/>
      <c r="AP311" s="505"/>
      <c r="AQ311" s="505"/>
      <c r="AR311" s="505"/>
      <c r="AS311" s="177"/>
      <c r="AT311" s="177"/>
      <c r="AU311" s="177"/>
      <c r="AV311" s="177"/>
      <c r="AW311" s="177"/>
      <c r="AX311" s="177"/>
      <c r="AY311" s="177"/>
      <c r="AZ311" s="177"/>
      <c r="BA311" s="177"/>
      <c r="BB311" s="177"/>
      <c r="BC311" s="177"/>
      <c r="BD311" s="177"/>
      <c r="BE311" s="177"/>
      <c r="BF311" s="177"/>
      <c r="BG311" s="177"/>
      <c r="BH311" s="177"/>
      <c r="BI311" s="177"/>
      <c r="BJ311" s="177"/>
      <c r="BK311" s="177"/>
      <c r="BL311" s="177"/>
      <c r="BM311" s="177"/>
      <c r="BN311" s="177"/>
      <c r="BO311" s="177"/>
      <c r="BP311" s="177"/>
      <c r="BQ311" s="177"/>
      <c r="BR311" s="177"/>
      <c r="BS311" s="177"/>
      <c r="BT311" s="177"/>
      <c r="BU311" s="177"/>
      <c r="BV311" s="177"/>
      <c r="BW311" s="177"/>
      <c r="BX311" s="177"/>
      <c r="BY311" s="177"/>
      <c r="BZ311" s="177"/>
      <c r="CA311" s="177"/>
      <c r="CB311" s="177"/>
      <c r="CC311" s="177"/>
      <c r="CD311" s="177"/>
      <c r="CE311" s="177"/>
      <c r="CF311" s="177"/>
      <c r="CG311" s="177"/>
      <c r="CH311" s="177"/>
      <c r="CI311" s="177"/>
      <c r="CJ311" s="177"/>
      <c r="CK311" s="177"/>
      <c r="CL311" s="177"/>
      <c r="CM311" s="177"/>
      <c r="CN311" s="177"/>
      <c r="CO311" s="177"/>
      <c r="CP311" s="177"/>
      <c r="CQ311" s="177"/>
      <c r="CR311" s="177"/>
      <c r="CS311" s="177"/>
      <c r="CT311" s="177"/>
      <c r="CU311" s="177"/>
      <c r="CV311" s="177"/>
      <c r="CW311" s="177"/>
      <c r="CX311" s="177"/>
      <c r="CY311" s="177"/>
      <c r="CZ311" s="177"/>
      <c r="DA311" s="177"/>
      <c r="DB311" s="177"/>
      <c r="DC311" s="177"/>
      <c r="DD311" s="177"/>
      <c r="DE311" s="177"/>
      <c r="DF311" s="177"/>
      <c r="DG311" s="177"/>
      <c r="DH311" s="177"/>
      <c r="DI311" s="177"/>
      <c r="DJ311" s="177"/>
      <c r="DK311" s="177"/>
      <c r="DL311" s="177"/>
      <c r="DM311" s="177"/>
      <c r="DN311" s="177"/>
      <c r="DO311" s="177"/>
      <c r="DP311" s="177"/>
      <c r="DQ311" s="177"/>
      <c r="DR311" s="177"/>
      <c r="DS311" s="177"/>
      <c r="DT311" s="177"/>
      <c r="DU311" s="177"/>
      <c r="DV311" s="177"/>
      <c r="DW311" s="177"/>
      <c r="DX311" s="177"/>
      <c r="DY311" s="177"/>
      <c r="DZ311" s="177"/>
      <c r="EA311" s="177"/>
      <c r="EB311" s="177"/>
      <c r="EC311" s="177"/>
      <c r="ED311" s="177"/>
      <c r="EE311" s="177"/>
      <c r="EF311" s="177"/>
      <c r="EG311" s="177"/>
      <c r="EH311" s="177"/>
      <c r="EI311" s="177"/>
      <c r="EJ311" s="177"/>
      <c r="EK311" s="177"/>
      <c r="EL311" s="177"/>
      <c r="EM311" s="177"/>
      <c r="EN311" s="177"/>
      <c r="EO311" s="177"/>
      <c r="EP311" s="177"/>
      <c r="EQ311" s="177"/>
      <c r="ER311" s="177"/>
      <c r="ES311" s="177"/>
      <c r="ET311" s="177"/>
      <c r="EU311" s="177"/>
      <c r="EV311" s="177"/>
      <c r="EW311" s="177"/>
      <c r="EX311" s="177"/>
      <c r="EY311" s="177"/>
      <c r="EZ311" s="177"/>
      <c r="FA311" s="177"/>
    </row>
    <row r="312" spans="1:157" ht="63.75" customHeight="1" x14ac:dyDescent="0.25">
      <c r="A312" s="22" t="s">
        <v>848</v>
      </c>
      <c r="B312" s="352">
        <v>3</v>
      </c>
      <c r="C312" s="303">
        <v>4</v>
      </c>
      <c r="D312" s="382" t="s">
        <v>86</v>
      </c>
      <c r="E312" s="65"/>
      <c r="F312" s="22"/>
      <c r="G312" s="33" t="s">
        <v>849</v>
      </c>
      <c r="H312" s="33" t="s">
        <v>88</v>
      </c>
      <c r="I312" s="33"/>
      <c r="J312" s="22"/>
      <c r="K312" s="139" t="s">
        <v>850</v>
      </c>
      <c r="L312" s="25"/>
      <c r="M312" s="25"/>
      <c r="N312" s="290">
        <v>2</v>
      </c>
      <c r="O312" s="22"/>
      <c r="P312" s="291">
        <v>1939.905</v>
      </c>
      <c r="Q312" s="273">
        <f>P312*N312</f>
        <v>3879.81</v>
      </c>
      <c r="R312" s="35"/>
      <c r="S312" s="273">
        <v>4296.1000000000004</v>
      </c>
      <c r="T312" s="273"/>
      <c r="U312" s="273">
        <f>Q312-S312</f>
        <v>-416.29000000000042</v>
      </c>
      <c r="V312" s="22" t="s">
        <v>851</v>
      </c>
      <c r="W312" s="22" t="s">
        <v>852</v>
      </c>
      <c r="X312" s="22"/>
      <c r="Y312" s="22"/>
      <c r="Z312" s="29">
        <v>43321</v>
      </c>
      <c r="AA312" s="29"/>
      <c r="AB312" s="29">
        <v>43336</v>
      </c>
      <c r="AC312" s="29">
        <v>43362</v>
      </c>
      <c r="AD312" s="29"/>
      <c r="AE312" s="29"/>
      <c r="AF312" s="22" t="s">
        <v>853</v>
      </c>
      <c r="AG312" s="65" t="s">
        <v>98</v>
      </c>
      <c r="AH312" s="519">
        <v>4296.1000000000004</v>
      </c>
      <c r="AI312" s="144"/>
      <c r="AJ312" s="143"/>
      <c r="AK312" s="143"/>
      <c r="AL312" s="143"/>
      <c r="AM312" s="143"/>
      <c r="AN312" s="143"/>
      <c r="AO312" s="143"/>
      <c r="AP312" s="143"/>
      <c r="AQ312" s="143"/>
      <c r="AR312" s="143"/>
    </row>
    <row r="313" spans="1:157" ht="69" customHeight="1" x14ac:dyDescent="0.25">
      <c r="A313" s="141" t="s">
        <v>848</v>
      </c>
      <c r="B313" s="352">
        <v>3</v>
      </c>
      <c r="C313" s="303">
        <v>4</v>
      </c>
      <c r="D313" s="382" t="s">
        <v>86</v>
      </c>
      <c r="E313" s="65"/>
      <c r="F313" s="22"/>
      <c r="G313" s="33" t="s">
        <v>854</v>
      </c>
      <c r="H313" s="33" t="s">
        <v>88</v>
      </c>
      <c r="I313" s="33"/>
      <c r="J313" s="22"/>
      <c r="K313" s="139" t="s">
        <v>855</v>
      </c>
      <c r="L313" s="25"/>
      <c r="M313" s="25"/>
      <c r="N313" s="290">
        <v>2</v>
      </c>
      <c r="O313" s="291"/>
      <c r="P313" s="291"/>
      <c r="Q313" s="273"/>
      <c r="R313" s="35"/>
      <c r="S313" s="273">
        <v>70.180000000000007</v>
      </c>
      <c r="T313" s="273"/>
      <c r="U313" s="273"/>
      <c r="V313" s="28" t="s">
        <v>851</v>
      </c>
      <c r="W313" s="22" t="s">
        <v>852</v>
      </c>
      <c r="X313" s="22"/>
      <c r="Y313" s="22"/>
      <c r="Z313" s="29">
        <v>43321</v>
      </c>
      <c r="AA313" s="29"/>
      <c r="AB313" s="29">
        <v>43336</v>
      </c>
      <c r="AC313" s="29">
        <v>43362</v>
      </c>
      <c r="AD313" s="29"/>
      <c r="AE313" s="29"/>
      <c r="AF313" s="22" t="s">
        <v>856</v>
      </c>
      <c r="AG313" s="65" t="s">
        <v>98</v>
      </c>
      <c r="AH313" s="519">
        <v>0</v>
      </c>
      <c r="AI313" s="144"/>
      <c r="AJ313" s="143"/>
      <c r="AK313" s="143"/>
      <c r="AL313" s="143"/>
      <c r="AM313" s="143"/>
      <c r="AN313" s="143"/>
      <c r="AO313" s="143"/>
      <c r="AP313" s="143"/>
      <c r="AQ313" s="143"/>
      <c r="AR313" s="143"/>
    </row>
    <row r="314" spans="1:157" ht="51.6" customHeight="1" x14ac:dyDescent="0.25">
      <c r="A314" s="142" t="s">
        <v>857</v>
      </c>
      <c r="B314" s="352">
        <v>3</v>
      </c>
      <c r="C314" s="303">
        <v>4</v>
      </c>
      <c r="D314" s="382" t="s">
        <v>86</v>
      </c>
      <c r="E314" s="65"/>
      <c r="F314" s="22"/>
      <c r="G314" s="33" t="s">
        <v>218</v>
      </c>
      <c r="H314" s="33" t="s">
        <v>219</v>
      </c>
      <c r="I314" s="33"/>
      <c r="J314" s="22"/>
      <c r="K314" s="139" t="s">
        <v>858</v>
      </c>
      <c r="L314" s="25"/>
      <c r="M314" s="25"/>
      <c r="N314" s="290">
        <v>1</v>
      </c>
      <c r="O314" s="22"/>
      <c r="P314" s="273">
        <v>15000</v>
      </c>
      <c r="Q314" s="273">
        <v>0</v>
      </c>
      <c r="R314" s="35"/>
      <c r="S314" s="273">
        <v>15000</v>
      </c>
      <c r="T314" s="273"/>
      <c r="U314" s="273"/>
      <c r="V314" s="22" t="s">
        <v>859</v>
      </c>
      <c r="W314" s="65" t="s">
        <v>860</v>
      </c>
      <c r="X314" s="22"/>
      <c r="Y314" s="22"/>
      <c r="Z314" s="29">
        <v>43287</v>
      </c>
      <c r="AA314" s="29"/>
      <c r="AB314" s="29">
        <v>43312</v>
      </c>
      <c r="AC314" s="29">
        <v>43321</v>
      </c>
      <c r="AD314" s="29"/>
      <c r="AE314" s="29"/>
      <c r="AF314" s="22" t="s">
        <v>861</v>
      </c>
      <c r="AG314" s="29" t="s">
        <v>98</v>
      </c>
      <c r="AH314" s="519">
        <v>15000</v>
      </c>
      <c r="AI314" s="312"/>
      <c r="AJ314" s="143"/>
      <c r="AK314" s="143"/>
      <c r="AL314" s="143"/>
      <c r="AM314" s="143"/>
      <c r="AN314" s="143"/>
      <c r="AO314" s="143"/>
      <c r="AP314" s="143"/>
      <c r="AQ314" s="143"/>
      <c r="AR314" s="143"/>
    </row>
    <row r="315" spans="1:157" ht="51.6" customHeight="1" x14ac:dyDescent="0.25">
      <c r="A315" s="142" t="s">
        <v>857</v>
      </c>
      <c r="B315" s="352">
        <v>3</v>
      </c>
      <c r="C315" s="303">
        <v>4</v>
      </c>
      <c r="D315" s="382" t="s">
        <v>86</v>
      </c>
      <c r="E315" s="65"/>
      <c r="F315" s="22"/>
      <c r="G315" s="22" t="s">
        <v>862</v>
      </c>
      <c r="H315" s="33" t="s">
        <v>219</v>
      </c>
      <c r="I315" s="33"/>
      <c r="J315" s="22"/>
      <c r="K315" s="22" t="s">
        <v>863</v>
      </c>
      <c r="L315" s="25"/>
      <c r="M315" s="25"/>
      <c r="N315" s="290">
        <v>2</v>
      </c>
      <c r="O315" s="22"/>
      <c r="P315" s="291">
        <v>2250</v>
      </c>
      <c r="Q315" s="273">
        <v>0</v>
      </c>
      <c r="R315" s="35"/>
      <c r="S315" s="273">
        <v>4500</v>
      </c>
      <c r="T315" s="273"/>
      <c r="U315" s="273"/>
      <c r="V315" s="22" t="s">
        <v>859</v>
      </c>
      <c r="W315" s="65" t="s">
        <v>860</v>
      </c>
      <c r="X315" s="22"/>
      <c r="Y315" s="22"/>
      <c r="Z315" s="29">
        <v>43287</v>
      </c>
      <c r="AA315" s="29"/>
      <c r="AB315" s="29">
        <v>43312</v>
      </c>
      <c r="AC315" s="29">
        <v>43321</v>
      </c>
      <c r="AD315" s="29"/>
      <c r="AE315" s="29"/>
      <c r="AF315" s="22" t="s">
        <v>864</v>
      </c>
      <c r="AG315" s="29" t="s">
        <v>98</v>
      </c>
      <c r="AH315" s="519">
        <v>2250</v>
      </c>
      <c r="AI315" s="312"/>
      <c r="AJ315" s="143"/>
      <c r="AK315" s="143"/>
      <c r="AL315" s="143"/>
      <c r="AM315" s="143"/>
      <c r="AN315" s="143"/>
      <c r="AO315" s="143"/>
      <c r="AP315" s="143"/>
      <c r="AQ315" s="143"/>
      <c r="AR315" s="143"/>
    </row>
    <row r="316" spans="1:157" ht="51.6" customHeight="1" x14ac:dyDescent="0.25">
      <c r="A316" s="142" t="s">
        <v>857</v>
      </c>
      <c r="B316" s="352">
        <v>3</v>
      </c>
      <c r="C316" s="303">
        <v>4</v>
      </c>
      <c r="D316" s="382" t="s">
        <v>86</v>
      </c>
      <c r="E316" s="65"/>
      <c r="F316" s="22"/>
      <c r="G316" s="33" t="s">
        <v>865</v>
      </c>
      <c r="H316" s="33" t="s">
        <v>219</v>
      </c>
      <c r="I316" s="33"/>
      <c r="J316" s="22"/>
      <c r="K316" s="139" t="s">
        <v>866</v>
      </c>
      <c r="L316" s="25"/>
      <c r="M316" s="25"/>
      <c r="N316" s="290">
        <v>2</v>
      </c>
      <c r="O316" s="22"/>
      <c r="P316" s="291">
        <v>2250</v>
      </c>
      <c r="Q316" s="273">
        <v>0</v>
      </c>
      <c r="R316" s="35"/>
      <c r="S316" s="273">
        <v>4500</v>
      </c>
      <c r="T316" s="273"/>
      <c r="U316" s="273"/>
      <c r="V316" s="22" t="s">
        <v>859</v>
      </c>
      <c r="W316" s="65" t="s">
        <v>860</v>
      </c>
      <c r="X316" s="22"/>
      <c r="Y316" s="22"/>
      <c r="Z316" s="29">
        <v>43287</v>
      </c>
      <c r="AA316" s="29"/>
      <c r="AB316" s="29">
        <v>43312</v>
      </c>
      <c r="AC316" s="29">
        <v>43321</v>
      </c>
      <c r="AD316" s="29"/>
      <c r="AE316" s="29"/>
      <c r="AF316" s="22" t="s">
        <v>864</v>
      </c>
      <c r="AG316" s="29" t="s">
        <v>98</v>
      </c>
      <c r="AH316" s="519">
        <v>2250</v>
      </c>
      <c r="AI316" s="312"/>
      <c r="AJ316" s="143"/>
      <c r="AK316" s="143"/>
      <c r="AL316" s="143"/>
      <c r="AM316" s="143"/>
      <c r="AN316" s="143"/>
      <c r="AO316" s="143"/>
      <c r="AP316" s="143"/>
      <c r="AQ316" s="143"/>
      <c r="AR316" s="143"/>
    </row>
    <row r="317" spans="1:157" ht="51.6" customHeight="1" x14ac:dyDescent="0.25">
      <c r="A317" s="142"/>
      <c r="B317" s="352">
        <v>3</v>
      </c>
      <c r="C317" s="303">
        <v>4</v>
      </c>
      <c r="D317" s="382" t="s">
        <v>86</v>
      </c>
      <c r="E317" s="65"/>
      <c r="F317" s="22"/>
      <c r="G317" s="33" t="s">
        <v>867</v>
      </c>
      <c r="H317" s="33" t="s">
        <v>868</v>
      </c>
      <c r="I317" s="33"/>
      <c r="J317" s="22"/>
      <c r="K317" s="139" t="s">
        <v>863</v>
      </c>
      <c r="L317" s="25"/>
      <c r="M317" s="25"/>
      <c r="N317" s="290">
        <v>1</v>
      </c>
      <c r="O317" s="22"/>
      <c r="P317" s="291"/>
      <c r="Q317" s="273"/>
      <c r="R317" s="35"/>
      <c r="S317" s="133">
        <v>-2250</v>
      </c>
      <c r="T317" s="133"/>
      <c r="U317" s="273"/>
      <c r="V317" s="22" t="s">
        <v>869</v>
      </c>
      <c r="W317" s="65" t="s">
        <v>860</v>
      </c>
      <c r="X317" s="22"/>
      <c r="Y317" s="22"/>
      <c r="Z317" s="29">
        <v>43312</v>
      </c>
      <c r="AA317" s="29"/>
      <c r="AB317" s="29">
        <v>43312</v>
      </c>
      <c r="AC317" s="29">
        <v>43321</v>
      </c>
      <c r="AD317" s="29"/>
      <c r="AE317" s="29"/>
      <c r="AF317" s="22"/>
      <c r="AG317" s="29" t="s">
        <v>98</v>
      </c>
      <c r="AH317" s="519">
        <v>4875</v>
      </c>
      <c r="AI317" s="312"/>
      <c r="AJ317" s="143"/>
      <c r="AK317" s="143"/>
      <c r="AL317" s="143"/>
      <c r="AM317" s="143"/>
      <c r="AN317" s="143"/>
      <c r="AO317" s="143"/>
      <c r="AP317" s="143"/>
      <c r="AQ317" s="143"/>
      <c r="AR317" s="143"/>
    </row>
    <row r="318" spans="1:157" ht="51.6" customHeight="1" x14ac:dyDescent="0.25">
      <c r="A318" s="142"/>
      <c r="B318" s="352">
        <v>3</v>
      </c>
      <c r="C318" s="303">
        <v>4</v>
      </c>
      <c r="D318" s="382" t="s">
        <v>86</v>
      </c>
      <c r="E318" s="65"/>
      <c r="F318" s="22"/>
      <c r="G318" s="33" t="s">
        <v>870</v>
      </c>
      <c r="H318" s="33" t="s">
        <v>868</v>
      </c>
      <c r="I318" s="33"/>
      <c r="J318" s="22"/>
      <c r="K318" s="139" t="s">
        <v>871</v>
      </c>
      <c r="L318" s="25"/>
      <c r="M318" s="25"/>
      <c r="N318" s="290">
        <v>1</v>
      </c>
      <c r="O318" s="22"/>
      <c r="P318" s="291"/>
      <c r="Q318" s="273"/>
      <c r="R318" s="35"/>
      <c r="S318" s="133">
        <v>-2250</v>
      </c>
      <c r="T318" s="133"/>
      <c r="U318" s="273"/>
      <c r="V318" s="22" t="s">
        <v>869</v>
      </c>
      <c r="W318" s="65" t="s">
        <v>860</v>
      </c>
      <c r="X318" s="22"/>
      <c r="Y318" s="22"/>
      <c r="Z318" s="29">
        <v>43312</v>
      </c>
      <c r="AA318" s="29"/>
      <c r="AB318" s="29">
        <v>43312</v>
      </c>
      <c r="AC318" s="29">
        <v>43321</v>
      </c>
      <c r="AD318" s="29"/>
      <c r="AE318" s="29"/>
      <c r="AF318" s="22"/>
      <c r="AG318" s="29" t="s">
        <v>98</v>
      </c>
      <c r="AH318" s="519">
        <v>0</v>
      </c>
      <c r="AI318" s="312"/>
      <c r="AJ318" s="143"/>
      <c r="AK318" s="143"/>
      <c r="AL318" s="143"/>
      <c r="AM318" s="143"/>
      <c r="AN318" s="143"/>
      <c r="AO318" s="143"/>
      <c r="AP318" s="143"/>
      <c r="AQ318" s="143"/>
      <c r="AR318" s="143"/>
    </row>
    <row r="319" spans="1:157" ht="51.6" customHeight="1" x14ac:dyDescent="0.25">
      <c r="A319" s="142"/>
      <c r="B319" s="352">
        <v>3</v>
      </c>
      <c r="C319" s="303">
        <v>4</v>
      </c>
      <c r="D319" s="382" t="s">
        <v>86</v>
      </c>
      <c r="E319" s="65"/>
      <c r="F319" s="22"/>
      <c r="G319" s="33" t="s">
        <v>872</v>
      </c>
      <c r="H319" s="33" t="s">
        <v>868</v>
      </c>
      <c r="I319" s="33"/>
      <c r="J319" s="22"/>
      <c r="K319" s="139" t="s">
        <v>873</v>
      </c>
      <c r="L319" s="25"/>
      <c r="M319" s="25"/>
      <c r="N319" s="290">
        <v>1</v>
      </c>
      <c r="O319" s="22"/>
      <c r="P319" s="291"/>
      <c r="Q319" s="273"/>
      <c r="R319" s="35"/>
      <c r="S319" s="133">
        <v>-1125</v>
      </c>
      <c r="T319" s="133"/>
      <c r="U319" s="273"/>
      <c r="V319" s="22" t="s">
        <v>869</v>
      </c>
      <c r="W319" s="65" t="s">
        <v>860</v>
      </c>
      <c r="X319" s="22"/>
      <c r="Y319" s="22"/>
      <c r="Z319" s="29">
        <v>43312</v>
      </c>
      <c r="AA319" s="29"/>
      <c r="AB319" s="29">
        <v>43312</v>
      </c>
      <c r="AC319" s="29">
        <v>43321</v>
      </c>
      <c r="AD319" s="29"/>
      <c r="AE319" s="29"/>
      <c r="AF319" s="22"/>
      <c r="AG319" s="29" t="s">
        <v>98</v>
      </c>
      <c r="AH319" s="519">
        <v>0</v>
      </c>
      <c r="AI319" s="312"/>
      <c r="AJ319" s="143"/>
      <c r="AK319" s="143"/>
      <c r="AL319" s="143"/>
      <c r="AM319" s="143"/>
      <c r="AN319" s="143"/>
      <c r="AO319" s="143"/>
      <c r="AP319" s="143"/>
      <c r="AQ319" s="143"/>
      <c r="AR319" s="143"/>
    </row>
    <row r="320" spans="1:157" ht="45.9" customHeight="1" x14ac:dyDescent="0.25">
      <c r="A320" s="142"/>
      <c r="B320" s="352">
        <v>3</v>
      </c>
      <c r="C320" s="303">
        <v>4</v>
      </c>
      <c r="D320" s="382" t="s">
        <v>86</v>
      </c>
      <c r="E320" s="65"/>
      <c r="F320" s="22"/>
      <c r="G320" s="33" t="s">
        <v>872</v>
      </c>
      <c r="H320" s="33" t="s">
        <v>219</v>
      </c>
      <c r="I320" s="33"/>
      <c r="J320" s="22"/>
      <c r="K320" s="139" t="s">
        <v>873</v>
      </c>
      <c r="L320" s="25"/>
      <c r="M320" s="25"/>
      <c r="N320" s="290">
        <v>1</v>
      </c>
      <c r="O320" s="22"/>
      <c r="P320" s="291"/>
      <c r="Q320" s="273"/>
      <c r="R320" s="35"/>
      <c r="S320" s="273">
        <v>5667</v>
      </c>
      <c r="T320" s="273"/>
      <c r="U320" s="273"/>
      <c r="V320" s="22" t="s">
        <v>874</v>
      </c>
      <c r="W320" s="65" t="s">
        <v>875</v>
      </c>
      <c r="X320" s="22"/>
      <c r="Y320" s="22"/>
      <c r="Z320" s="29">
        <v>43287</v>
      </c>
      <c r="AA320" s="29"/>
      <c r="AB320" s="29">
        <v>43312</v>
      </c>
      <c r="AC320" s="29">
        <v>43321</v>
      </c>
      <c r="AD320" s="29"/>
      <c r="AE320" s="29"/>
      <c r="AF320" s="22"/>
      <c r="AG320" s="29" t="s">
        <v>98</v>
      </c>
      <c r="AH320" s="519">
        <v>11335.01</v>
      </c>
      <c r="AI320" s="312"/>
      <c r="AJ320" s="143"/>
      <c r="AK320" s="143"/>
      <c r="AL320" s="143"/>
      <c r="AM320" s="143"/>
      <c r="AN320" s="143"/>
      <c r="AO320" s="143"/>
      <c r="AP320" s="143"/>
      <c r="AQ320" s="143"/>
      <c r="AR320" s="143"/>
    </row>
    <row r="321" spans="1:44" ht="51.9" customHeight="1" x14ac:dyDescent="0.25">
      <c r="A321" s="142"/>
      <c r="B321" s="352">
        <v>3</v>
      </c>
      <c r="C321" s="303">
        <v>4</v>
      </c>
      <c r="D321" s="382" t="s">
        <v>86</v>
      </c>
      <c r="E321" s="65"/>
      <c r="F321" s="22"/>
      <c r="G321" s="21" t="s">
        <v>876</v>
      </c>
      <c r="H321" s="33" t="s">
        <v>868</v>
      </c>
      <c r="I321" s="33"/>
      <c r="J321" s="22"/>
      <c r="K321" s="33" t="s">
        <v>877</v>
      </c>
      <c r="L321" s="25"/>
      <c r="M321" s="25"/>
      <c r="N321" s="290">
        <v>1</v>
      </c>
      <c r="O321" s="22"/>
      <c r="P321" s="291"/>
      <c r="Q321" s="273"/>
      <c r="R321" s="35"/>
      <c r="S321" s="133">
        <v>-11335.01</v>
      </c>
      <c r="T321" s="133"/>
      <c r="U321" s="273"/>
      <c r="V321" s="22" t="s">
        <v>878</v>
      </c>
      <c r="W321" s="65" t="s">
        <v>875</v>
      </c>
      <c r="X321" s="22"/>
      <c r="Y321" s="22"/>
      <c r="Z321" s="29">
        <v>43308</v>
      </c>
      <c r="AA321" s="29"/>
      <c r="AB321" s="29">
        <v>43312</v>
      </c>
      <c r="AC321" s="29">
        <v>43321</v>
      </c>
      <c r="AD321" s="29"/>
      <c r="AE321" s="29"/>
      <c r="AF321" s="22"/>
      <c r="AG321" s="29" t="s">
        <v>98</v>
      </c>
      <c r="AH321" s="519">
        <v>2833.5</v>
      </c>
      <c r="AI321" s="312"/>
      <c r="AJ321" s="143"/>
      <c r="AK321" s="143"/>
      <c r="AL321" s="143"/>
      <c r="AM321" s="143"/>
      <c r="AN321" s="143"/>
      <c r="AO321" s="143"/>
      <c r="AP321" s="143"/>
      <c r="AQ321" s="143"/>
      <c r="AR321" s="143"/>
    </row>
    <row r="322" spans="1:44" ht="45.9" customHeight="1" x14ac:dyDescent="0.25">
      <c r="A322" s="142"/>
      <c r="B322" s="355">
        <v>3</v>
      </c>
      <c r="C322" s="304">
        <v>4</v>
      </c>
      <c r="D322" s="546" t="s">
        <v>86</v>
      </c>
      <c r="E322" s="67"/>
      <c r="F322" s="38"/>
      <c r="G322" s="306" t="s">
        <v>879</v>
      </c>
      <c r="H322" s="306" t="s">
        <v>868</v>
      </c>
      <c r="I322" s="306"/>
      <c r="J322" s="38"/>
      <c r="K322" s="307" t="s">
        <v>873</v>
      </c>
      <c r="L322" s="39"/>
      <c r="M322" s="39"/>
      <c r="N322" s="308">
        <v>1</v>
      </c>
      <c r="O322" s="38"/>
      <c r="P322" s="309"/>
      <c r="Q322" s="310"/>
      <c r="R322" s="35"/>
      <c r="S322" s="565">
        <v>-2833.5</v>
      </c>
      <c r="T322" s="565"/>
      <c r="U322" s="310"/>
      <c r="V322" s="38" t="s">
        <v>878</v>
      </c>
      <c r="W322" s="67" t="s">
        <v>875</v>
      </c>
      <c r="X322" s="22"/>
      <c r="Y322" s="22"/>
      <c r="Z322" s="41">
        <v>43308</v>
      </c>
      <c r="AA322" s="29"/>
      <c r="AB322" s="41">
        <v>43312</v>
      </c>
      <c r="AC322" s="41">
        <v>43321</v>
      </c>
      <c r="AD322" s="29"/>
      <c r="AE322" s="29"/>
      <c r="AF322" s="22"/>
      <c r="AG322" s="41" t="s">
        <v>98</v>
      </c>
      <c r="AH322" s="521">
        <v>0</v>
      </c>
      <c r="AI322" s="566"/>
      <c r="AJ322" s="504"/>
      <c r="AK322" s="504"/>
      <c r="AL322" s="504"/>
      <c r="AM322" s="504"/>
      <c r="AN322" s="504"/>
      <c r="AO322" s="504"/>
      <c r="AP322" s="504"/>
      <c r="AQ322" s="504"/>
      <c r="AR322" s="504"/>
    </row>
    <row r="323" spans="1:44" s="177" customFormat="1" ht="25.5" customHeight="1" x14ac:dyDescent="0.25">
      <c r="A323" s="562" t="s">
        <v>857</v>
      </c>
      <c r="B323" s="356">
        <v>3</v>
      </c>
      <c r="C323" s="166">
        <v>4</v>
      </c>
      <c r="D323" s="561" t="s">
        <v>86</v>
      </c>
      <c r="E323" s="65"/>
      <c r="F323" s="65"/>
      <c r="G323" s="65" t="s">
        <v>880</v>
      </c>
      <c r="H323" s="65" t="s">
        <v>219</v>
      </c>
      <c r="I323" s="65"/>
      <c r="J323" s="65"/>
      <c r="K323" s="65" t="s">
        <v>881</v>
      </c>
      <c r="L323" s="65"/>
      <c r="M323" s="65"/>
      <c r="N323" s="65">
        <v>2</v>
      </c>
      <c r="O323" s="65"/>
      <c r="P323" s="273">
        <v>3000</v>
      </c>
      <c r="Q323" s="273">
        <f>N323*P323</f>
        <v>6000</v>
      </c>
      <c r="R323" s="564"/>
      <c r="S323" s="273">
        <v>1250</v>
      </c>
      <c r="T323" s="273"/>
      <c r="U323" s="273"/>
      <c r="V323" s="65" t="s">
        <v>882</v>
      </c>
      <c r="W323" s="65" t="s">
        <v>883</v>
      </c>
      <c r="X323" s="274"/>
      <c r="Y323" s="563"/>
      <c r="Z323" s="29">
        <v>43265</v>
      </c>
      <c r="AA323" s="564"/>
      <c r="AB323" s="29">
        <v>43266</v>
      </c>
      <c r="AC323" s="29">
        <v>43291</v>
      </c>
      <c r="AD323" s="274"/>
      <c r="AE323" s="65"/>
      <c r="AF323" s="563" t="s">
        <v>884</v>
      </c>
      <c r="AG323" s="65" t="s">
        <v>98</v>
      </c>
      <c r="AH323" s="143">
        <v>11625</v>
      </c>
      <c r="AI323" s="65"/>
      <c r="AJ323" s="143"/>
      <c r="AK323" s="143"/>
      <c r="AL323" s="143"/>
      <c r="AM323" s="143"/>
      <c r="AN323" s="143"/>
      <c r="AO323" s="143"/>
      <c r="AP323" s="143"/>
      <c r="AQ323" s="143"/>
      <c r="AR323" s="143"/>
    </row>
    <row r="324" spans="1:44" s="177" customFormat="1" ht="25.5" customHeight="1" x14ac:dyDescent="0.25">
      <c r="A324" s="562"/>
      <c r="B324" s="356">
        <v>3</v>
      </c>
      <c r="C324" s="166">
        <v>4</v>
      </c>
      <c r="D324" s="561" t="s">
        <v>86</v>
      </c>
      <c r="E324" s="65"/>
      <c r="F324" s="65"/>
      <c r="G324" s="65" t="s">
        <v>885</v>
      </c>
      <c r="H324" s="65" t="s">
        <v>219</v>
      </c>
      <c r="I324" s="65"/>
      <c r="J324" s="65"/>
      <c r="K324" s="65" t="s">
        <v>886</v>
      </c>
      <c r="L324" s="65"/>
      <c r="M324" s="65"/>
      <c r="N324" s="65">
        <v>2</v>
      </c>
      <c r="O324" s="65"/>
      <c r="P324" s="273">
        <v>2833.5</v>
      </c>
      <c r="Q324" s="273">
        <f>N324*P324</f>
        <v>5667</v>
      </c>
      <c r="R324" s="564"/>
      <c r="S324" s="273">
        <v>1250</v>
      </c>
      <c r="T324" s="273"/>
      <c r="U324" s="273"/>
      <c r="V324" s="65" t="s">
        <v>882</v>
      </c>
      <c r="W324" s="65" t="s">
        <v>883</v>
      </c>
      <c r="X324" s="274"/>
      <c r="Y324" s="563"/>
      <c r="Z324" s="29">
        <v>43265</v>
      </c>
      <c r="AA324" s="564"/>
      <c r="AB324" s="29">
        <v>43266</v>
      </c>
      <c r="AC324" s="29">
        <v>43291</v>
      </c>
      <c r="AD324" s="274"/>
      <c r="AE324" s="65"/>
      <c r="AF324" s="563" t="s">
        <v>884</v>
      </c>
      <c r="AG324" s="65" t="s">
        <v>98</v>
      </c>
      <c r="AH324" s="143">
        <v>0</v>
      </c>
      <c r="AI324" s="65"/>
      <c r="AJ324" s="143"/>
      <c r="AK324" s="143"/>
      <c r="AL324" s="143"/>
      <c r="AM324" s="143"/>
      <c r="AN324" s="143"/>
      <c r="AO324" s="143"/>
      <c r="AP324" s="143"/>
      <c r="AQ324" s="143"/>
      <c r="AR324" s="143"/>
    </row>
    <row r="325" spans="1:44" s="177" customFormat="1" ht="25.5" customHeight="1" x14ac:dyDescent="0.25">
      <c r="A325" s="562"/>
      <c r="B325" s="356">
        <v>3</v>
      </c>
      <c r="C325" s="166">
        <v>4</v>
      </c>
      <c r="D325" s="561" t="s">
        <v>86</v>
      </c>
      <c r="E325" s="65"/>
      <c r="F325" s="65"/>
      <c r="G325" s="65" t="s">
        <v>863</v>
      </c>
      <c r="H325" s="65"/>
      <c r="I325" s="65"/>
      <c r="J325" s="65"/>
      <c r="K325" s="65" t="s">
        <v>881</v>
      </c>
      <c r="L325" s="65"/>
      <c r="M325" s="65"/>
      <c r="N325" s="65">
        <v>2</v>
      </c>
      <c r="O325" s="65"/>
      <c r="P325" s="273"/>
      <c r="Q325" s="273">
        <f>N325*P325</f>
        <v>0</v>
      </c>
      <c r="R325" s="564"/>
      <c r="S325" s="273">
        <v>1125</v>
      </c>
      <c r="T325" s="273"/>
      <c r="U325" s="273"/>
      <c r="V325" s="65" t="s">
        <v>882</v>
      </c>
      <c r="W325" s="65" t="s">
        <v>883</v>
      </c>
      <c r="X325" s="274"/>
      <c r="Y325" s="563"/>
      <c r="Z325" s="29">
        <v>43265</v>
      </c>
      <c r="AA325" s="564"/>
      <c r="AB325" s="29">
        <v>43266</v>
      </c>
      <c r="AC325" s="29">
        <v>43291</v>
      </c>
      <c r="AD325" s="274"/>
      <c r="AE325" s="65"/>
      <c r="AF325" s="563" t="s">
        <v>884</v>
      </c>
      <c r="AG325" s="65" t="s">
        <v>98</v>
      </c>
      <c r="AH325" s="143">
        <v>0</v>
      </c>
      <c r="AI325" s="65"/>
      <c r="AJ325" s="143"/>
      <c r="AK325" s="143"/>
      <c r="AL325" s="143"/>
      <c r="AM325" s="143"/>
      <c r="AN325" s="143"/>
      <c r="AO325" s="143"/>
      <c r="AP325" s="143"/>
      <c r="AQ325" s="143"/>
      <c r="AR325" s="143"/>
    </row>
    <row r="326" spans="1:44" s="177" customFormat="1" ht="25.5" customHeight="1" x14ac:dyDescent="0.25">
      <c r="A326" s="562"/>
      <c r="B326" s="356">
        <v>3</v>
      </c>
      <c r="C326" s="166">
        <v>4</v>
      </c>
      <c r="D326" s="561" t="s">
        <v>86</v>
      </c>
      <c r="E326" s="65"/>
      <c r="F326" s="65"/>
      <c r="G326" s="65" t="s">
        <v>887</v>
      </c>
      <c r="H326" s="65" t="s">
        <v>219</v>
      </c>
      <c r="I326" s="65"/>
      <c r="J326" s="65"/>
      <c r="K326" s="65" t="s">
        <v>881</v>
      </c>
      <c r="L326" s="65"/>
      <c r="M326" s="65"/>
      <c r="N326" s="65">
        <v>2</v>
      </c>
      <c r="O326" s="65"/>
      <c r="P326" s="273"/>
      <c r="Q326" s="273">
        <f>N326*P326</f>
        <v>0</v>
      </c>
      <c r="R326" s="564"/>
      <c r="S326" s="273">
        <v>8000</v>
      </c>
      <c r="T326" s="273"/>
      <c r="U326" s="273"/>
      <c r="V326" s="65" t="s">
        <v>882</v>
      </c>
      <c r="W326" s="65" t="s">
        <v>883</v>
      </c>
      <c r="X326" s="274"/>
      <c r="Y326" s="563"/>
      <c r="Z326" s="29">
        <v>43265</v>
      </c>
      <c r="AA326" s="564"/>
      <c r="AB326" s="29">
        <v>43266</v>
      </c>
      <c r="AC326" s="29">
        <v>43291</v>
      </c>
      <c r="AD326" s="274"/>
      <c r="AE326" s="65"/>
      <c r="AF326" s="563" t="s">
        <v>884</v>
      </c>
      <c r="AG326" s="65" t="s">
        <v>98</v>
      </c>
      <c r="AH326" s="143">
        <v>0</v>
      </c>
      <c r="AI326" s="65"/>
      <c r="AJ326" s="143"/>
      <c r="AK326" s="143"/>
      <c r="AL326" s="143"/>
      <c r="AM326" s="143"/>
      <c r="AN326" s="143"/>
      <c r="AO326" s="143"/>
      <c r="AP326" s="143"/>
      <c r="AQ326" s="143"/>
      <c r="AR326" s="143"/>
    </row>
    <row r="327" spans="1:44" ht="90" customHeight="1" x14ac:dyDescent="0.25">
      <c r="A327" s="142" t="s">
        <v>888</v>
      </c>
      <c r="B327" s="353">
        <v>3</v>
      </c>
      <c r="C327" s="567">
        <v>4</v>
      </c>
      <c r="D327" s="382" t="s">
        <v>86</v>
      </c>
      <c r="E327" s="226"/>
      <c r="F327" s="56"/>
      <c r="G327" s="456" t="s">
        <v>876</v>
      </c>
      <c r="H327" s="456" t="s">
        <v>219</v>
      </c>
      <c r="I327" s="456"/>
      <c r="J327" s="56"/>
      <c r="K327" s="554" t="s">
        <v>889</v>
      </c>
      <c r="L327" s="228"/>
      <c r="M327" s="228"/>
      <c r="N327" s="568">
        <v>1</v>
      </c>
      <c r="O327" s="56"/>
      <c r="P327" s="569">
        <v>46670.06</v>
      </c>
      <c r="Q327" s="294">
        <f>N327*P327</f>
        <v>46670.06</v>
      </c>
      <c r="R327" s="35"/>
      <c r="S327" s="294">
        <v>22670.02</v>
      </c>
      <c r="T327" s="294"/>
      <c r="U327" s="294">
        <f>Q327-S327</f>
        <v>24000.039999999997</v>
      </c>
      <c r="V327" s="231" t="s">
        <v>874</v>
      </c>
      <c r="W327" s="231" t="s">
        <v>875</v>
      </c>
      <c r="X327" s="22"/>
      <c r="Y327" s="22"/>
      <c r="Z327" s="232">
        <v>43287</v>
      </c>
      <c r="AA327" s="29">
        <v>43294</v>
      </c>
      <c r="AB327" s="232">
        <v>43312</v>
      </c>
      <c r="AC327" s="232">
        <v>43321</v>
      </c>
      <c r="AD327" s="29"/>
      <c r="AE327" s="29"/>
      <c r="AF327" s="22"/>
      <c r="AG327" s="232" t="s">
        <v>98</v>
      </c>
      <c r="AH327" s="522">
        <v>0</v>
      </c>
      <c r="AI327" s="570"/>
      <c r="AJ327" s="505"/>
      <c r="AK327" s="505"/>
      <c r="AL327" s="505"/>
      <c r="AM327" s="505"/>
      <c r="AN327" s="505"/>
      <c r="AO327" s="505"/>
      <c r="AP327" s="505"/>
      <c r="AQ327" s="505"/>
      <c r="AR327" s="505"/>
    </row>
    <row r="328" spans="1:44" ht="25.5" customHeight="1" x14ac:dyDescent="0.25">
      <c r="A328" s="142"/>
      <c r="B328" s="352">
        <v>3</v>
      </c>
      <c r="C328" s="303">
        <v>4</v>
      </c>
      <c r="D328" s="382" t="s">
        <v>86</v>
      </c>
      <c r="E328" s="65"/>
      <c r="F328" s="22"/>
      <c r="G328" s="33" t="s">
        <v>879</v>
      </c>
      <c r="H328" s="25" t="s">
        <v>219</v>
      </c>
      <c r="I328" s="33"/>
      <c r="J328" s="22"/>
      <c r="K328" s="139" t="s">
        <v>873</v>
      </c>
      <c r="L328" s="25"/>
      <c r="M328" s="25"/>
      <c r="N328" s="290">
        <v>1</v>
      </c>
      <c r="O328" s="22"/>
      <c r="P328" s="291"/>
      <c r="Q328" s="273"/>
      <c r="R328" s="35"/>
      <c r="S328" s="273">
        <v>0</v>
      </c>
      <c r="T328" s="273"/>
      <c r="U328" s="273"/>
      <c r="V328" s="35" t="s">
        <v>859</v>
      </c>
      <c r="W328" s="65" t="s">
        <v>860</v>
      </c>
      <c r="X328" s="22"/>
      <c r="Y328" s="22"/>
      <c r="Z328" s="178">
        <v>43287</v>
      </c>
      <c r="AA328" s="29"/>
      <c r="AB328" s="29">
        <v>43312</v>
      </c>
      <c r="AC328" s="29">
        <v>43321</v>
      </c>
      <c r="AD328" s="29"/>
      <c r="AE328" s="29"/>
      <c r="AF328" s="22"/>
      <c r="AG328" s="29" t="s">
        <v>98</v>
      </c>
      <c r="AH328" s="519">
        <v>0</v>
      </c>
      <c r="AI328" s="312"/>
      <c r="AJ328" s="143"/>
      <c r="AK328" s="143"/>
      <c r="AL328" s="143"/>
      <c r="AM328" s="143"/>
      <c r="AN328" s="143"/>
      <c r="AO328" s="143"/>
      <c r="AP328" s="143"/>
      <c r="AQ328" s="143"/>
      <c r="AR328" s="143"/>
    </row>
    <row r="329" spans="1:44" ht="26.4" x14ac:dyDescent="0.25">
      <c r="A329" s="141" t="s">
        <v>823</v>
      </c>
      <c r="B329" s="352">
        <v>3</v>
      </c>
      <c r="C329" s="303">
        <v>4</v>
      </c>
      <c r="D329" s="382" t="s">
        <v>86</v>
      </c>
      <c r="E329" s="65"/>
      <c r="F329" s="22"/>
      <c r="G329" s="33" t="s">
        <v>890</v>
      </c>
      <c r="H329" s="33" t="s">
        <v>88</v>
      </c>
      <c r="I329" s="33"/>
      <c r="J329" s="22"/>
      <c r="K329" s="139" t="s">
        <v>891</v>
      </c>
      <c r="L329" s="25"/>
      <c r="M329" s="25"/>
      <c r="N329" s="290">
        <v>1</v>
      </c>
      <c r="O329" s="22"/>
      <c r="P329" s="291">
        <v>2068.56</v>
      </c>
      <c r="Q329" s="273">
        <f>N329*P329</f>
        <v>2068.56</v>
      </c>
      <c r="R329" s="35"/>
      <c r="S329" s="273">
        <v>1082.8399999999999</v>
      </c>
      <c r="T329" s="273"/>
      <c r="U329" s="273">
        <f>Q329-S329</f>
        <v>985.72</v>
      </c>
      <c r="V329" s="22" t="s">
        <v>892</v>
      </c>
      <c r="W329" s="65" t="s">
        <v>893</v>
      </c>
      <c r="X329" s="22"/>
      <c r="Y329" s="22"/>
      <c r="Z329" s="29">
        <v>43318</v>
      </c>
      <c r="AA329" s="29"/>
      <c r="AB329" s="29">
        <v>43336</v>
      </c>
      <c r="AC329" s="29">
        <v>43340</v>
      </c>
      <c r="AD329" s="29"/>
      <c r="AE329" s="29"/>
      <c r="AF329" s="22" t="s">
        <v>894</v>
      </c>
      <c r="AG329" s="29" t="s">
        <v>98</v>
      </c>
      <c r="AH329" s="519">
        <v>1082.8399999999999</v>
      </c>
      <c r="AI329" s="144"/>
      <c r="AJ329" s="143"/>
      <c r="AK329" s="143"/>
      <c r="AL329" s="143"/>
      <c r="AM329" s="143"/>
      <c r="AN329" s="143"/>
      <c r="AO329" s="143"/>
      <c r="AP329" s="143"/>
      <c r="AQ329" s="143"/>
      <c r="AR329" s="143"/>
    </row>
    <row r="330" spans="1:44" ht="45" customHeight="1" x14ac:dyDescent="0.25">
      <c r="A330" s="141" t="s">
        <v>823</v>
      </c>
      <c r="B330" s="352">
        <v>3</v>
      </c>
      <c r="C330" s="303">
        <v>4</v>
      </c>
      <c r="D330" s="382" t="s">
        <v>86</v>
      </c>
      <c r="E330" s="65"/>
      <c r="F330" s="22"/>
      <c r="G330" s="33" t="s">
        <v>895</v>
      </c>
      <c r="H330" s="22" t="s">
        <v>88</v>
      </c>
      <c r="I330" s="22"/>
      <c r="J330" s="22"/>
      <c r="K330" s="139" t="s">
        <v>896</v>
      </c>
      <c r="L330" s="25"/>
      <c r="M330" s="25"/>
      <c r="N330" s="290">
        <v>1</v>
      </c>
      <c r="O330" s="22"/>
      <c r="P330" s="273">
        <v>379.98</v>
      </c>
      <c r="Q330" s="273">
        <f>N330*P330</f>
        <v>379.98</v>
      </c>
      <c r="R330" s="35"/>
      <c r="S330" s="273">
        <v>783</v>
      </c>
      <c r="T330" s="273"/>
      <c r="U330" s="273">
        <f>Q330-S330</f>
        <v>-403.02</v>
      </c>
      <c r="V330" s="22" t="s">
        <v>897</v>
      </c>
      <c r="W330" s="35" t="s">
        <v>898</v>
      </c>
      <c r="X330" s="22"/>
      <c r="Y330" s="22"/>
      <c r="Z330" s="29">
        <v>43271</v>
      </c>
      <c r="AA330" s="29"/>
      <c r="AB330" s="29">
        <v>43278</v>
      </c>
      <c r="AC330" s="29">
        <v>43273</v>
      </c>
      <c r="AD330" s="29"/>
      <c r="AE330" s="29"/>
      <c r="AF330" s="22" t="s">
        <v>899</v>
      </c>
      <c r="AG330" s="29" t="s">
        <v>98</v>
      </c>
      <c r="AH330" s="519">
        <v>783</v>
      </c>
      <c r="AI330" s="144"/>
      <c r="AJ330" s="143"/>
      <c r="AK330" s="143"/>
      <c r="AL330" s="143"/>
      <c r="AM330" s="143"/>
      <c r="AN330" s="143"/>
      <c r="AO330" s="143"/>
      <c r="AP330" s="143"/>
      <c r="AQ330" s="143"/>
      <c r="AR330" s="143"/>
    </row>
    <row r="331" spans="1:44" ht="45" customHeight="1" x14ac:dyDescent="0.25">
      <c r="A331" s="141"/>
      <c r="B331" s="352">
        <v>3</v>
      </c>
      <c r="C331" s="303">
        <v>4</v>
      </c>
      <c r="D331" s="382" t="s">
        <v>86</v>
      </c>
      <c r="E331" s="65"/>
      <c r="F331" s="22"/>
      <c r="G331" s="33" t="s">
        <v>895</v>
      </c>
      <c r="H331" s="22" t="s">
        <v>88</v>
      </c>
      <c r="I331" s="22"/>
      <c r="J331" s="22"/>
      <c r="K331" s="139" t="s">
        <v>900</v>
      </c>
      <c r="L331" s="25"/>
      <c r="M331" s="25"/>
      <c r="N331" s="290">
        <v>1</v>
      </c>
      <c r="O331" s="22"/>
      <c r="P331" s="291"/>
      <c r="Q331" s="273">
        <v>0</v>
      </c>
      <c r="R331" s="35"/>
      <c r="S331" s="273">
        <v>794.99</v>
      </c>
      <c r="T331" s="273"/>
      <c r="U331" s="273"/>
      <c r="V331" s="22" t="s">
        <v>901</v>
      </c>
      <c r="W331" s="35" t="s">
        <v>902</v>
      </c>
      <c r="X331" s="22"/>
      <c r="Y331" s="22"/>
      <c r="Z331" s="29">
        <v>43311</v>
      </c>
      <c r="AA331" s="29"/>
      <c r="AB331" s="29">
        <v>43318</v>
      </c>
      <c r="AC331" s="29">
        <v>43319</v>
      </c>
      <c r="AD331" s="29"/>
      <c r="AE331" s="29"/>
      <c r="AF331" s="22"/>
      <c r="AG331" s="29" t="s">
        <v>98</v>
      </c>
      <c r="AH331" s="519">
        <v>794.99</v>
      </c>
      <c r="AI331" s="144"/>
      <c r="AJ331" s="143"/>
      <c r="AK331" s="143"/>
      <c r="AL331" s="143"/>
      <c r="AM331" s="143"/>
      <c r="AN331" s="143"/>
      <c r="AO331" s="143"/>
      <c r="AP331" s="143"/>
      <c r="AQ331" s="143"/>
      <c r="AR331" s="143"/>
    </row>
    <row r="332" spans="1:44" ht="45" customHeight="1" x14ac:dyDescent="0.25">
      <c r="A332" s="141"/>
      <c r="B332" s="352">
        <v>3</v>
      </c>
      <c r="C332" s="303">
        <v>4</v>
      </c>
      <c r="D332" s="382" t="s">
        <v>86</v>
      </c>
      <c r="E332" s="65"/>
      <c r="F332" s="22"/>
      <c r="G332" s="33" t="s">
        <v>438</v>
      </c>
      <c r="H332" s="22" t="s">
        <v>88</v>
      </c>
      <c r="I332" s="22"/>
      <c r="J332" s="22"/>
      <c r="K332" s="139"/>
      <c r="L332" s="25"/>
      <c r="M332" s="25"/>
      <c r="N332" s="290">
        <v>1</v>
      </c>
      <c r="O332" s="22"/>
      <c r="P332" s="291"/>
      <c r="Q332" s="273"/>
      <c r="R332" s="35"/>
      <c r="S332" s="273">
        <v>33</v>
      </c>
      <c r="T332" s="273"/>
      <c r="U332" s="273"/>
      <c r="V332" s="22" t="s">
        <v>901</v>
      </c>
      <c r="W332" s="35" t="s">
        <v>902</v>
      </c>
      <c r="X332" s="22"/>
      <c r="Y332" s="22"/>
      <c r="Z332" s="29">
        <v>43311</v>
      </c>
      <c r="AA332" s="29"/>
      <c r="AB332" s="29">
        <v>43318</v>
      </c>
      <c r="AC332" s="29">
        <v>43319</v>
      </c>
      <c r="AD332" s="29"/>
      <c r="AE332" s="29"/>
      <c r="AF332" s="22"/>
      <c r="AG332" s="29" t="s">
        <v>98</v>
      </c>
      <c r="AH332" s="519">
        <v>0</v>
      </c>
      <c r="AI332" s="144"/>
      <c r="AJ332" s="143"/>
      <c r="AK332" s="143"/>
      <c r="AL332" s="143"/>
      <c r="AM332" s="143"/>
      <c r="AN332" s="143"/>
      <c r="AO332" s="143"/>
      <c r="AP332" s="143"/>
      <c r="AQ332" s="143"/>
      <c r="AR332" s="143"/>
    </row>
    <row r="333" spans="1:44" s="160" customFormat="1" x14ac:dyDescent="0.25">
      <c r="A333" s="530" t="s">
        <v>903</v>
      </c>
      <c r="B333" s="352">
        <v>3</v>
      </c>
      <c r="C333" s="303">
        <v>4</v>
      </c>
      <c r="D333" s="382" t="s">
        <v>86</v>
      </c>
      <c r="E333" s="65"/>
      <c r="F333" s="22"/>
      <c r="G333" s="33" t="s">
        <v>904</v>
      </c>
      <c r="H333" s="33" t="s">
        <v>88</v>
      </c>
      <c r="I333" s="33"/>
      <c r="J333" s="22"/>
      <c r="K333" s="139"/>
      <c r="L333" s="25"/>
      <c r="M333" s="25"/>
      <c r="N333" s="290">
        <v>2</v>
      </c>
      <c r="O333" s="22"/>
      <c r="P333" s="291">
        <f>199.98/2</f>
        <v>99.99</v>
      </c>
      <c r="Q333" s="273">
        <f>N333*P333</f>
        <v>199.98</v>
      </c>
      <c r="R333" s="475"/>
      <c r="S333" s="273"/>
      <c r="T333" s="273"/>
      <c r="U333" s="273"/>
      <c r="V333" s="22"/>
      <c r="W333" s="22"/>
      <c r="X333" s="22"/>
      <c r="Y333" s="22"/>
      <c r="Z333" s="29"/>
      <c r="AA333" s="29"/>
      <c r="AB333" s="29"/>
      <c r="AC333" s="29"/>
      <c r="AD333" s="29"/>
      <c r="AE333" s="29"/>
      <c r="AF333" s="86" t="s">
        <v>905</v>
      </c>
      <c r="AG333" s="29"/>
      <c r="AH333" s="519"/>
      <c r="AI333" s="144"/>
      <c r="AJ333" s="143"/>
      <c r="AK333" s="143"/>
      <c r="AL333" s="143"/>
      <c r="AM333" s="143"/>
      <c r="AN333" s="143"/>
      <c r="AO333" s="506"/>
      <c r="AP333" s="506"/>
      <c r="AQ333" s="506"/>
      <c r="AR333" s="506"/>
    </row>
    <row r="334" spans="1:44" s="160" customFormat="1" ht="12.6" customHeight="1" x14ac:dyDescent="0.25">
      <c r="A334" s="530" t="s">
        <v>903</v>
      </c>
      <c r="B334" s="352">
        <v>3</v>
      </c>
      <c r="C334" s="304">
        <v>4</v>
      </c>
      <c r="D334" s="382" t="s">
        <v>86</v>
      </c>
      <c r="E334" s="67"/>
      <c r="F334" s="22"/>
      <c r="G334" s="306" t="s">
        <v>438</v>
      </c>
      <c r="H334" s="306"/>
      <c r="I334" s="306"/>
      <c r="J334" s="38"/>
      <c r="K334" s="139"/>
      <c r="L334" s="39"/>
      <c r="M334" s="39"/>
      <c r="N334" s="308"/>
      <c r="O334" s="38"/>
      <c r="P334" s="309">
        <v>34.99</v>
      </c>
      <c r="Q334" s="273">
        <v>34.99</v>
      </c>
      <c r="R334" s="475"/>
      <c r="S334" s="310"/>
      <c r="T334" s="310"/>
      <c r="U334" s="310"/>
      <c r="V334" s="38"/>
      <c r="W334" s="38"/>
      <c r="X334" s="22"/>
      <c r="Y334" s="22"/>
      <c r="Z334" s="41"/>
      <c r="AA334" s="29"/>
      <c r="AB334" s="41"/>
      <c r="AC334" s="41"/>
      <c r="AD334" s="41"/>
      <c r="AE334" s="41"/>
      <c r="AF334" s="86"/>
      <c r="AG334" s="41"/>
      <c r="AH334" s="521"/>
      <c r="AI334" s="144"/>
      <c r="AJ334" s="143"/>
      <c r="AK334" s="143"/>
      <c r="AL334" s="143"/>
      <c r="AM334" s="143"/>
      <c r="AN334" s="143"/>
      <c r="AO334" s="506"/>
      <c r="AP334" s="506"/>
      <c r="AQ334" s="506"/>
      <c r="AR334" s="506"/>
    </row>
    <row r="335" spans="1:44" s="311" customFormat="1" ht="12.75" customHeight="1" x14ac:dyDescent="0.25">
      <c r="A335" s="141" t="s">
        <v>823</v>
      </c>
      <c r="B335" s="352">
        <v>3</v>
      </c>
      <c r="C335" s="304">
        <v>4</v>
      </c>
      <c r="D335" s="382" t="s">
        <v>86</v>
      </c>
      <c r="E335" s="67"/>
      <c r="F335" s="21"/>
      <c r="G335" s="306" t="s">
        <v>906</v>
      </c>
      <c r="H335" s="306" t="s">
        <v>151</v>
      </c>
      <c r="I335" s="306"/>
      <c r="J335" s="38"/>
      <c r="K335" s="307" t="s">
        <v>907</v>
      </c>
      <c r="L335" s="39"/>
      <c r="M335" s="39"/>
      <c r="N335" s="308">
        <v>6</v>
      </c>
      <c r="O335" s="38"/>
      <c r="P335" s="309">
        <v>799</v>
      </c>
      <c r="Q335" s="273">
        <f t="shared" ref="Q335:Q340" si="26">N335*P335</f>
        <v>4794</v>
      </c>
      <c r="R335" s="35"/>
      <c r="S335" s="310">
        <v>11400.48</v>
      </c>
      <c r="T335" s="310"/>
      <c r="U335" s="310">
        <f>Q335-S335</f>
        <v>-6606.48</v>
      </c>
      <c r="V335" s="38" t="s">
        <v>908</v>
      </c>
      <c r="W335" s="35" t="s">
        <v>909</v>
      </c>
      <c r="X335" s="144"/>
      <c r="Y335" s="22"/>
      <c r="Z335" s="41">
        <v>43305</v>
      </c>
      <c r="AA335" s="452"/>
      <c r="AB335" s="41">
        <v>43308</v>
      </c>
      <c r="AC335" s="41">
        <v>43308</v>
      </c>
      <c r="AD335" s="41"/>
      <c r="AE335" s="41"/>
      <c r="AF335" s="22" t="s">
        <v>894</v>
      </c>
      <c r="AG335" s="41" t="s">
        <v>98</v>
      </c>
      <c r="AH335" s="521">
        <v>11400.48</v>
      </c>
      <c r="AI335" s="144"/>
      <c r="AJ335" s="143"/>
      <c r="AK335" s="143"/>
      <c r="AL335" s="143"/>
      <c r="AM335" s="143"/>
      <c r="AN335" s="143"/>
      <c r="AO335" s="535"/>
      <c r="AP335" s="535"/>
      <c r="AQ335" s="535"/>
      <c r="AR335" s="535"/>
    </row>
    <row r="336" spans="1:44" s="311" customFormat="1" ht="12.75" customHeight="1" x14ac:dyDescent="0.25">
      <c r="A336" s="141" t="s">
        <v>823</v>
      </c>
      <c r="B336" s="352">
        <v>3</v>
      </c>
      <c r="C336" s="304">
        <v>4</v>
      </c>
      <c r="D336" s="382" t="s">
        <v>86</v>
      </c>
      <c r="E336" s="67"/>
      <c r="F336" s="21"/>
      <c r="G336" s="306" t="s">
        <v>910</v>
      </c>
      <c r="H336" s="306" t="s">
        <v>151</v>
      </c>
      <c r="I336" s="306"/>
      <c r="J336" s="38"/>
      <c r="K336" s="307" t="s">
        <v>911</v>
      </c>
      <c r="L336" s="39"/>
      <c r="M336" s="39"/>
      <c r="N336" s="308">
        <v>3</v>
      </c>
      <c r="O336" s="38"/>
      <c r="P336" s="309">
        <v>99</v>
      </c>
      <c r="Q336" s="273">
        <f t="shared" si="26"/>
        <v>297</v>
      </c>
      <c r="R336" s="35"/>
      <c r="S336" s="310">
        <v>277.35000000000002</v>
      </c>
      <c r="T336" s="310"/>
      <c r="U336" s="310">
        <f>Q336-S336</f>
        <v>19.649999999999977</v>
      </c>
      <c r="V336" s="38" t="s">
        <v>912</v>
      </c>
      <c r="W336" s="38" t="s">
        <v>913</v>
      </c>
      <c r="X336" s="144"/>
      <c r="Y336" s="22"/>
      <c r="Z336" s="41">
        <v>43313</v>
      </c>
      <c r="AA336" s="452"/>
      <c r="AB336" s="41">
        <v>43322</v>
      </c>
      <c r="AC336" s="41">
        <v>43410</v>
      </c>
      <c r="AD336" s="41"/>
      <c r="AE336" s="41"/>
      <c r="AF336" s="22"/>
      <c r="AG336" s="41" t="s">
        <v>914</v>
      </c>
      <c r="AH336" s="521"/>
      <c r="AI336" s="144"/>
      <c r="AJ336" s="143"/>
      <c r="AK336" s="143"/>
      <c r="AL336" s="143"/>
      <c r="AM336" s="143">
        <f>S336</f>
        <v>277.35000000000002</v>
      </c>
      <c r="AN336" s="143"/>
      <c r="AO336" s="535"/>
      <c r="AP336" s="535"/>
      <c r="AQ336" s="535"/>
      <c r="AR336" s="535"/>
    </row>
    <row r="337" spans="1:44" s="311" customFormat="1" ht="38.25" customHeight="1" x14ac:dyDescent="0.25">
      <c r="A337" s="141" t="s">
        <v>848</v>
      </c>
      <c r="B337" s="352">
        <v>3</v>
      </c>
      <c r="C337" s="305">
        <v>4</v>
      </c>
      <c r="D337" s="382" t="s">
        <v>86</v>
      </c>
      <c r="E337" s="67"/>
      <c r="F337" s="21"/>
      <c r="G337" s="306" t="s">
        <v>915</v>
      </c>
      <c r="H337" s="306" t="s">
        <v>116</v>
      </c>
      <c r="I337" s="306"/>
      <c r="J337" s="38"/>
      <c r="K337" s="306" t="s">
        <v>590</v>
      </c>
      <c r="L337" s="39"/>
      <c r="M337" s="39"/>
      <c r="N337" s="308">
        <v>1</v>
      </c>
      <c r="O337" s="38"/>
      <c r="P337" s="309">
        <v>1057.0899999999999</v>
      </c>
      <c r="Q337" s="273">
        <f t="shared" si="26"/>
        <v>1057.0899999999999</v>
      </c>
      <c r="R337" s="35"/>
      <c r="S337" s="310">
        <v>807.09</v>
      </c>
      <c r="T337" s="310"/>
      <c r="U337" s="310">
        <f>Q337-S337</f>
        <v>249.99999999999989</v>
      </c>
      <c r="V337" s="38" t="s">
        <v>916</v>
      </c>
      <c r="W337" s="38" t="s">
        <v>917</v>
      </c>
      <c r="X337" s="144"/>
      <c r="Y337" s="22"/>
      <c r="Z337" s="41">
        <v>43259</v>
      </c>
      <c r="AA337" s="452"/>
      <c r="AB337" s="41">
        <v>43265</v>
      </c>
      <c r="AC337" s="41">
        <v>43262</v>
      </c>
      <c r="AD337" s="41"/>
      <c r="AE337" s="41"/>
      <c r="AF337" s="22" t="s">
        <v>918</v>
      </c>
      <c r="AG337" s="29" t="s">
        <v>98</v>
      </c>
      <c r="AH337" s="521">
        <v>807.09</v>
      </c>
      <c r="AI337" s="144"/>
      <c r="AJ337" s="143"/>
      <c r="AK337" s="143"/>
      <c r="AL337" s="143"/>
      <c r="AM337" s="143"/>
      <c r="AN337" s="143"/>
      <c r="AO337" s="535"/>
      <c r="AP337" s="535"/>
      <c r="AQ337" s="535"/>
      <c r="AR337" s="535"/>
    </row>
    <row r="338" spans="1:44" s="311" customFormat="1" ht="21.75" customHeight="1" x14ac:dyDescent="0.25">
      <c r="A338" s="141" t="s">
        <v>848</v>
      </c>
      <c r="B338" s="352">
        <v>3</v>
      </c>
      <c r="C338" s="305">
        <v>4</v>
      </c>
      <c r="D338" s="382" t="s">
        <v>86</v>
      </c>
      <c r="E338" s="67"/>
      <c r="F338" s="21"/>
      <c r="G338" s="306" t="s">
        <v>919</v>
      </c>
      <c r="H338" s="306" t="s">
        <v>151</v>
      </c>
      <c r="I338" s="306"/>
      <c r="J338" s="38"/>
      <c r="K338" s="306" t="s">
        <v>920</v>
      </c>
      <c r="L338" s="39"/>
      <c r="M338" s="39"/>
      <c r="N338" s="308">
        <v>6</v>
      </c>
      <c r="O338" s="453"/>
      <c r="P338" s="309">
        <v>179</v>
      </c>
      <c r="Q338" s="273">
        <f t="shared" si="26"/>
        <v>1074</v>
      </c>
      <c r="R338" s="35"/>
      <c r="S338" s="310"/>
      <c r="T338" s="310"/>
      <c r="U338" s="310"/>
      <c r="V338" s="38"/>
      <c r="W338" s="38"/>
      <c r="X338" s="144"/>
      <c r="Y338" s="22"/>
      <c r="Z338" s="41"/>
      <c r="AA338" s="452"/>
      <c r="AB338" s="41"/>
      <c r="AC338" s="41"/>
      <c r="AD338" s="41"/>
      <c r="AE338" s="41"/>
      <c r="AF338" s="22" t="s">
        <v>921</v>
      </c>
      <c r="AG338" s="29" t="s">
        <v>98</v>
      </c>
      <c r="AH338" s="521"/>
      <c r="AI338" s="144"/>
      <c r="AJ338" s="143"/>
      <c r="AK338" s="143"/>
      <c r="AL338" s="143"/>
      <c r="AM338" s="143"/>
      <c r="AN338" s="143"/>
      <c r="AO338" s="535"/>
      <c r="AP338" s="535"/>
      <c r="AQ338" s="535"/>
      <c r="AR338" s="535"/>
    </row>
    <row r="339" spans="1:44" s="160" customFormat="1" ht="14.25" customHeight="1" x14ac:dyDescent="0.25">
      <c r="A339" s="141" t="s">
        <v>848</v>
      </c>
      <c r="B339" s="352">
        <v>3</v>
      </c>
      <c r="C339" s="289">
        <v>4</v>
      </c>
      <c r="D339" s="382" t="s">
        <v>86</v>
      </c>
      <c r="E339" s="65"/>
      <c r="F339" s="21"/>
      <c r="G339" s="33" t="s">
        <v>922</v>
      </c>
      <c r="H339" s="33" t="s">
        <v>374</v>
      </c>
      <c r="I339" s="33"/>
      <c r="J339" s="22"/>
      <c r="K339" s="139" t="s">
        <v>923</v>
      </c>
      <c r="L339" s="25"/>
      <c r="M339" s="25"/>
      <c r="N339" s="290">
        <v>3</v>
      </c>
      <c r="O339" s="22"/>
      <c r="P339" s="291">
        <v>1.79</v>
      </c>
      <c r="Q339" s="273">
        <f t="shared" si="26"/>
        <v>5.37</v>
      </c>
      <c r="R339" s="35"/>
      <c r="S339" s="273">
        <v>5.37</v>
      </c>
      <c r="T339" s="273"/>
      <c r="U339" s="273">
        <f>Q339-S339</f>
        <v>0</v>
      </c>
      <c r="V339" s="22" t="s">
        <v>924</v>
      </c>
      <c r="W339" s="22" t="s">
        <v>925</v>
      </c>
      <c r="X339" s="144"/>
      <c r="Y339" s="22"/>
      <c r="Z339" s="29">
        <v>43319</v>
      </c>
      <c r="AA339" s="452"/>
      <c r="AB339" s="29">
        <v>43322</v>
      </c>
      <c r="AC339" s="29">
        <v>43322</v>
      </c>
      <c r="AD339" s="29"/>
      <c r="AE339" s="29"/>
      <c r="AF339" s="22" t="s">
        <v>926</v>
      </c>
      <c r="AG339" s="29" t="s">
        <v>98</v>
      </c>
      <c r="AH339" s="519">
        <v>5.37</v>
      </c>
      <c r="AI339" s="144"/>
      <c r="AJ339" s="143"/>
      <c r="AK339" s="143"/>
      <c r="AL339" s="143"/>
      <c r="AM339" s="143"/>
      <c r="AN339" s="143"/>
      <c r="AO339" s="506"/>
      <c r="AP339" s="506"/>
      <c r="AQ339" s="506"/>
      <c r="AR339" s="506"/>
    </row>
    <row r="340" spans="1:44" ht="12.75" customHeight="1" x14ac:dyDescent="0.25">
      <c r="A340" s="141" t="s">
        <v>848</v>
      </c>
      <c r="B340" s="352">
        <v>3</v>
      </c>
      <c r="C340" s="289">
        <v>4</v>
      </c>
      <c r="D340" s="382" t="s">
        <v>86</v>
      </c>
      <c r="E340" s="65"/>
      <c r="F340" s="22"/>
      <c r="G340" s="33" t="s">
        <v>927</v>
      </c>
      <c r="H340" s="33" t="s">
        <v>374</v>
      </c>
      <c r="I340" s="33"/>
      <c r="J340" s="22"/>
      <c r="K340" s="139" t="s">
        <v>928</v>
      </c>
      <c r="L340" s="25"/>
      <c r="M340" s="25"/>
      <c r="N340" s="290">
        <v>2</v>
      </c>
      <c r="O340" s="22"/>
      <c r="P340" s="291">
        <v>3.91</v>
      </c>
      <c r="Q340" s="273">
        <f t="shared" si="26"/>
        <v>7.82</v>
      </c>
      <c r="R340" s="35"/>
      <c r="S340" s="273">
        <v>7.8</v>
      </c>
      <c r="T340" s="273"/>
      <c r="U340" s="273">
        <f t="shared" ref="U340:U341" si="27">Q340-S340</f>
        <v>2.0000000000000462E-2</v>
      </c>
      <c r="V340" s="22" t="s">
        <v>924</v>
      </c>
      <c r="W340" s="22" t="s">
        <v>925</v>
      </c>
      <c r="X340" s="22"/>
      <c r="Y340" s="22"/>
      <c r="Z340" s="29">
        <v>43319</v>
      </c>
      <c r="AA340" s="29"/>
      <c r="AB340" s="29">
        <v>43322</v>
      </c>
      <c r="AC340" s="29">
        <v>43322</v>
      </c>
      <c r="AD340" s="29"/>
      <c r="AE340" s="29"/>
      <c r="AF340" s="22" t="s">
        <v>926</v>
      </c>
      <c r="AG340" s="29" t="s">
        <v>98</v>
      </c>
      <c r="AH340" s="519">
        <v>7.8</v>
      </c>
      <c r="AI340" s="144"/>
      <c r="AJ340" s="143"/>
      <c r="AK340" s="143"/>
      <c r="AL340" s="143"/>
      <c r="AM340" s="143"/>
      <c r="AN340" s="143"/>
      <c r="AO340" s="143"/>
      <c r="AP340" s="143"/>
      <c r="AQ340" s="143"/>
      <c r="AR340" s="143"/>
    </row>
    <row r="341" spans="1:44" ht="12.75" customHeight="1" x14ac:dyDescent="0.25">
      <c r="A341" s="141"/>
      <c r="B341" s="352">
        <v>3</v>
      </c>
      <c r="C341" s="289">
        <v>4</v>
      </c>
      <c r="D341" s="382" t="s">
        <v>86</v>
      </c>
      <c r="E341" s="65"/>
      <c r="F341" s="22"/>
      <c r="G341" s="33" t="s">
        <v>438</v>
      </c>
      <c r="H341" s="33"/>
      <c r="I341" s="33"/>
      <c r="J341" s="22"/>
      <c r="K341" s="139"/>
      <c r="L341" s="25"/>
      <c r="M341" s="25"/>
      <c r="N341" s="290"/>
      <c r="O341" s="22"/>
      <c r="P341" s="291">
        <v>14.87</v>
      </c>
      <c r="Q341" s="273">
        <v>14.87</v>
      </c>
      <c r="R341" s="35"/>
      <c r="S341" s="273">
        <v>11.65</v>
      </c>
      <c r="T341" s="273"/>
      <c r="U341" s="273">
        <f t="shared" si="27"/>
        <v>3.2199999999999989</v>
      </c>
      <c r="V341" s="22" t="s">
        <v>924</v>
      </c>
      <c r="W341" s="22" t="s">
        <v>925</v>
      </c>
      <c r="X341" s="22"/>
      <c r="Y341" s="22"/>
      <c r="Z341" s="29">
        <v>43319</v>
      </c>
      <c r="AA341" s="29"/>
      <c r="AB341" s="29">
        <v>43322</v>
      </c>
      <c r="AC341" s="29">
        <v>43322</v>
      </c>
      <c r="AD341" s="29"/>
      <c r="AE341" s="29"/>
      <c r="AF341" s="22"/>
      <c r="AG341" s="29" t="s">
        <v>98</v>
      </c>
      <c r="AH341" s="519">
        <v>11.65</v>
      </c>
      <c r="AI341" s="144"/>
      <c r="AJ341" s="143"/>
      <c r="AK341" s="143"/>
      <c r="AL341" s="143"/>
      <c r="AM341" s="143"/>
      <c r="AN341" s="143"/>
      <c r="AO341" s="143"/>
      <c r="AP341" s="143"/>
      <c r="AQ341" s="143"/>
      <c r="AR341" s="143"/>
    </row>
    <row r="342" spans="1:44" ht="51" customHeight="1" x14ac:dyDescent="0.25">
      <c r="A342" s="142" t="s">
        <v>929</v>
      </c>
      <c r="B342" s="354">
        <v>3</v>
      </c>
      <c r="C342" s="289">
        <v>4</v>
      </c>
      <c r="D342" s="382" t="s">
        <v>86</v>
      </c>
      <c r="E342" s="154"/>
      <c r="F342" s="22"/>
      <c r="G342" s="33" t="s">
        <v>930</v>
      </c>
      <c r="H342" s="33" t="s">
        <v>88</v>
      </c>
      <c r="I342" s="33"/>
      <c r="J342" s="139"/>
      <c r="K342" s="139" t="s">
        <v>931</v>
      </c>
      <c r="L342" s="155"/>
      <c r="M342" s="155"/>
      <c r="N342" s="290">
        <v>3</v>
      </c>
      <c r="O342" s="139"/>
      <c r="P342" s="291">
        <v>102.22000000000001</v>
      </c>
      <c r="Q342" s="299">
        <v>308.66000000000003</v>
      </c>
      <c r="R342" s="35"/>
      <c r="S342" s="299">
        <v>357.66</v>
      </c>
      <c r="T342" s="299"/>
      <c r="U342" s="299">
        <f>Q342-S342</f>
        <v>-49</v>
      </c>
      <c r="V342" s="139" t="s">
        <v>851</v>
      </c>
      <c r="W342" s="22" t="s">
        <v>852</v>
      </c>
      <c r="X342" s="22"/>
      <c r="Y342" s="22"/>
      <c r="Z342" s="156">
        <v>43321</v>
      </c>
      <c r="AA342" s="29"/>
      <c r="AB342" s="156">
        <v>43336</v>
      </c>
      <c r="AC342" s="156">
        <v>43356</v>
      </c>
      <c r="AD342" s="156"/>
      <c r="AE342" s="156"/>
      <c r="AF342" s="139" t="s">
        <v>932</v>
      </c>
      <c r="AG342" s="156" t="s">
        <v>98</v>
      </c>
      <c r="AH342" s="523">
        <v>0</v>
      </c>
      <c r="AI342" s="302"/>
      <c r="AJ342" s="506"/>
      <c r="AK342" s="506"/>
      <c r="AL342" s="506"/>
      <c r="AM342" s="143"/>
      <c r="AN342" s="506"/>
      <c r="AO342" s="143"/>
      <c r="AP342" s="143"/>
      <c r="AQ342" s="143"/>
      <c r="AR342" s="143"/>
    </row>
    <row r="343" spans="1:44" s="160" customFormat="1" ht="27.9" customHeight="1" x14ac:dyDescent="0.25">
      <c r="A343" s="142"/>
      <c r="B343" s="354">
        <v>3</v>
      </c>
      <c r="C343" s="289">
        <v>4</v>
      </c>
      <c r="D343" s="382" t="s">
        <v>86</v>
      </c>
      <c r="E343" s="154"/>
      <c r="F343" s="22"/>
      <c r="G343" s="33" t="s">
        <v>933</v>
      </c>
      <c r="H343" s="33" t="s">
        <v>227</v>
      </c>
      <c r="I343" s="33"/>
      <c r="J343" s="139"/>
      <c r="K343" s="139"/>
      <c r="L343" s="155"/>
      <c r="M343" s="155"/>
      <c r="N343" s="290">
        <v>1</v>
      </c>
      <c r="O343" s="92"/>
      <c r="P343" s="291">
        <v>40871</v>
      </c>
      <c r="Q343" s="299">
        <f>P343*N343</f>
        <v>40871</v>
      </c>
      <c r="R343" s="35"/>
      <c r="S343" s="299">
        <v>40871</v>
      </c>
      <c r="T343" s="299"/>
      <c r="U343" s="299">
        <f>Q343-S343</f>
        <v>0</v>
      </c>
      <c r="V343" s="139" t="s">
        <v>934</v>
      </c>
      <c r="W343" s="139" t="s">
        <v>935</v>
      </c>
      <c r="X343" s="22"/>
      <c r="Y343" s="22"/>
      <c r="Z343" s="156">
        <v>43349</v>
      </c>
      <c r="AA343" s="29"/>
      <c r="AB343" s="156">
        <v>43349</v>
      </c>
      <c r="AC343" s="156">
        <v>43355</v>
      </c>
      <c r="AD343" s="156"/>
      <c r="AE343" s="156"/>
      <c r="AF343" s="139"/>
      <c r="AG343" s="29" t="s">
        <v>98</v>
      </c>
      <c r="AH343" s="523">
        <v>40871</v>
      </c>
      <c r="AI343" s="302"/>
      <c r="AJ343" s="506"/>
      <c r="AK343" s="506"/>
      <c r="AL343" s="506"/>
      <c r="AM343" s="506"/>
      <c r="AN343" s="506"/>
      <c r="AO343" s="506"/>
      <c r="AP343" s="506"/>
      <c r="AQ343" s="506"/>
      <c r="AR343" s="506"/>
    </row>
    <row r="344" spans="1:44" s="160" customFormat="1" ht="25.5" customHeight="1" x14ac:dyDescent="0.25">
      <c r="A344" s="142"/>
      <c r="B344" s="354">
        <v>3</v>
      </c>
      <c r="C344" s="289">
        <v>4</v>
      </c>
      <c r="D344" s="382" t="s">
        <v>86</v>
      </c>
      <c r="E344" s="154"/>
      <c r="F344" s="22"/>
      <c r="G344" s="33" t="s">
        <v>933</v>
      </c>
      <c r="H344" s="33" t="s">
        <v>227</v>
      </c>
      <c r="I344" s="33"/>
      <c r="J344" s="139"/>
      <c r="K344" s="139"/>
      <c r="L344" s="155"/>
      <c r="M344" s="155"/>
      <c r="N344" s="290">
        <v>1</v>
      </c>
      <c r="O344" s="92"/>
      <c r="P344" s="291">
        <v>7370</v>
      </c>
      <c r="Q344" s="299">
        <f>P344*N344</f>
        <v>7370</v>
      </c>
      <c r="R344" s="35"/>
      <c r="S344" s="299">
        <v>7370</v>
      </c>
      <c r="T344" s="299"/>
      <c r="U344" s="299">
        <f t="shared" ref="U344:U351" si="28">Q344-S344</f>
        <v>0</v>
      </c>
      <c r="V344" s="139" t="s">
        <v>934</v>
      </c>
      <c r="W344" s="139" t="s">
        <v>935</v>
      </c>
      <c r="X344" s="22"/>
      <c r="Y344" s="22"/>
      <c r="Z344" s="156">
        <v>43349</v>
      </c>
      <c r="AA344" s="29"/>
      <c r="AB344" s="156">
        <v>43349</v>
      </c>
      <c r="AC344" s="156">
        <v>43355</v>
      </c>
      <c r="AD344" s="156"/>
      <c r="AE344" s="156"/>
      <c r="AF344" s="139"/>
      <c r="AG344" s="29" t="s">
        <v>98</v>
      </c>
      <c r="AH344" s="523">
        <v>7370</v>
      </c>
      <c r="AI344" s="302"/>
      <c r="AJ344" s="506"/>
      <c r="AK344" s="506"/>
      <c r="AL344" s="506"/>
      <c r="AM344" s="506"/>
      <c r="AN344" s="506"/>
      <c r="AO344" s="506"/>
      <c r="AP344" s="506"/>
      <c r="AQ344" s="506"/>
      <c r="AR344" s="506"/>
    </row>
    <row r="345" spans="1:44" s="160" customFormat="1" ht="25.5" customHeight="1" x14ac:dyDescent="0.25">
      <c r="A345" s="142"/>
      <c r="B345" s="354">
        <v>3</v>
      </c>
      <c r="C345" s="289">
        <v>4</v>
      </c>
      <c r="D345" s="382" t="s">
        <v>86</v>
      </c>
      <c r="E345" s="154"/>
      <c r="F345" s="22"/>
      <c r="G345" s="33" t="s">
        <v>933</v>
      </c>
      <c r="H345" s="33" t="s">
        <v>227</v>
      </c>
      <c r="I345" s="33"/>
      <c r="J345" s="139"/>
      <c r="K345" s="139"/>
      <c r="L345" s="155"/>
      <c r="M345" s="155"/>
      <c r="N345" s="290">
        <v>1</v>
      </c>
      <c r="O345" s="92"/>
      <c r="P345" s="291">
        <v>30000</v>
      </c>
      <c r="Q345" s="299">
        <f>P345*N345</f>
        <v>30000</v>
      </c>
      <c r="R345" s="35"/>
      <c r="S345" s="299">
        <v>30000</v>
      </c>
      <c r="T345" s="299"/>
      <c r="U345" s="299">
        <f t="shared" si="28"/>
        <v>0</v>
      </c>
      <c r="V345" s="139" t="s">
        <v>934</v>
      </c>
      <c r="W345" s="139" t="s">
        <v>935</v>
      </c>
      <c r="X345" s="22"/>
      <c r="Y345" s="22"/>
      <c r="Z345" s="156">
        <v>43349</v>
      </c>
      <c r="AA345" s="29"/>
      <c r="AB345" s="156">
        <v>43349</v>
      </c>
      <c r="AC345" s="156">
        <v>43355</v>
      </c>
      <c r="AD345" s="156"/>
      <c r="AE345" s="156"/>
      <c r="AF345" s="139"/>
      <c r="AG345" s="29" t="s">
        <v>98</v>
      </c>
      <c r="AH345" s="523">
        <v>30000</v>
      </c>
      <c r="AI345" s="302"/>
      <c r="AJ345" s="506"/>
      <c r="AK345" s="506"/>
      <c r="AL345" s="506"/>
      <c r="AM345" s="506"/>
      <c r="AN345" s="506"/>
      <c r="AO345" s="506"/>
      <c r="AP345" s="506"/>
      <c r="AQ345" s="506"/>
      <c r="AR345" s="506"/>
    </row>
    <row r="346" spans="1:44" s="160" customFormat="1" ht="25.5" customHeight="1" x14ac:dyDescent="0.25">
      <c r="A346" s="142"/>
      <c r="B346" s="354">
        <v>3</v>
      </c>
      <c r="C346" s="289">
        <v>4</v>
      </c>
      <c r="D346" s="382" t="s">
        <v>86</v>
      </c>
      <c r="E346" s="154"/>
      <c r="F346" s="22"/>
      <c r="G346" s="33" t="s">
        <v>933</v>
      </c>
      <c r="H346" s="33" t="s">
        <v>227</v>
      </c>
      <c r="I346" s="33"/>
      <c r="J346" s="139"/>
      <c r="K346" s="139"/>
      <c r="L346" s="155"/>
      <c r="M346" s="155"/>
      <c r="N346" s="290">
        <v>1</v>
      </c>
      <c r="O346" s="92"/>
      <c r="P346" s="291">
        <v>5400</v>
      </c>
      <c r="Q346" s="299">
        <f>P346*N346</f>
        <v>5400</v>
      </c>
      <c r="R346" s="35"/>
      <c r="S346" s="299">
        <v>5400</v>
      </c>
      <c r="T346" s="299"/>
      <c r="U346" s="299">
        <f t="shared" si="28"/>
        <v>0</v>
      </c>
      <c r="V346" s="139" t="s">
        <v>934</v>
      </c>
      <c r="W346" s="139" t="s">
        <v>935</v>
      </c>
      <c r="X346" s="22"/>
      <c r="Y346" s="22"/>
      <c r="Z346" s="156">
        <v>43349</v>
      </c>
      <c r="AA346" s="29"/>
      <c r="AB346" s="156">
        <v>43349</v>
      </c>
      <c r="AC346" s="156">
        <v>43355</v>
      </c>
      <c r="AD346" s="156"/>
      <c r="AE346" s="156"/>
      <c r="AF346" s="139"/>
      <c r="AG346" s="29" t="s">
        <v>98</v>
      </c>
      <c r="AH346" s="523">
        <v>5400</v>
      </c>
      <c r="AI346" s="302"/>
      <c r="AJ346" s="506"/>
      <c r="AK346" s="506"/>
      <c r="AL346" s="506"/>
      <c r="AM346" s="506"/>
      <c r="AN346" s="506"/>
      <c r="AO346" s="506"/>
      <c r="AP346" s="506"/>
      <c r="AQ346" s="506"/>
      <c r="AR346" s="506"/>
    </row>
    <row r="347" spans="1:44" s="160" customFormat="1" ht="31.65" customHeight="1" x14ac:dyDescent="0.25">
      <c r="A347" s="142" t="s">
        <v>936</v>
      </c>
      <c r="B347" s="545">
        <v>3</v>
      </c>
      <c r="C347" s="305">
        <v>4</v>
      </c>
      <c r="D347" s="546" t="s">
        <v>86</v>
      </c>
      <c r="E347" s="307"/>
      <c r="F347" s="38"/>
      <c r="G347" s="307" t="s">
        <v>475</v>
      </c>
      <c r="H347" s="307" t="s">
        <v>155</v>
      </c>
      <c r="I347" s="307"/>
      <c r="J347" s="307"/>
      <c r="K347" s="307"/>
      <c r="L347" s="307"/>
      <c r="M347" s="307"/>
      <c r="N347" s="307">
        <v>2</v>
      </c>
      <c r="O347" s="307"/>
      <c r="P347" s="547">
        <v>199.99</v>
      </c>
      <c r="Q347" s="547">
        <f>N347*P347</f>
        <v>399.98</v>
      </c>
      <c r="R347" s="22"/>
      <c r="S347" s="547">
        <v>379.2</v>
      </c>
      <c r="T347" s="547"/>
      <c r="U347" s="547">
        <f t="shared" si="28"/>
        <v>20.78000000000003</v>
      </c>
      <c r="V347" s="307" t="s">
        <v>937</v>
      </c>
      <c r="W347" s="307" t="s">
        <v>938</v>
      </c>
      <c r="X347" s="22"/>
      <c r="Y347" s="22"/>
      <c r="Z347" s="548">
        <v>43315</v>
      </c>
      <c r="AA347" s="29"/>
      <c r="AB347" s="548">
        <v>43322</v>
      </c>
      <c r="AC347" s="548">
        <v>43326</v>
      </c>
      <c r="AD347" s="156"/>
      <c r="AE347" s="156"/>
      <c r="AF347" s="139" t="s">
        <v>926</v>
      </c>
      <c r="AG347" s="41" t="s">
        <v>98</v>
      </c>
      <c r="AH347" s="549">
        <v>379.2</v>
      </c>
      <c r="AI347" s="550"/>
      <c r="AJ347" s="551"/>
      <c r="AK347" s="551"/>
      <c r="AL347" s="551"/>
      <c r="AM347" s="551"/>
      <c r="AN347" s="551"/>
      <c r="AO347" s="551"/>
      <c r="AP347" s="551"/>
      <c r="AQ347" s="551"/>
      <c r="AR347" s="551"/>
    </row>
    <row r="348" spans="1:44" s="160" customFormat="1" ht="31.65" customHeight="1" x14ac:dyDescent="0.25">
      <c r="A348" s="541"/>
      <c r="B348" s="354">
        <v>3</v>
      </c>
      <c r="C348" s="295">
        <v>5</v>
      </c>
      <c r="D348" s="561" t="s">
        <v>86</v>
      </c>
      <c r="E348" s="139"/>
      <c r="F348" s="139"/>
      <c r="G348" s="139" t="s">
        <v>939</v>
      </c>
      <c r="H348" s="139" t="s">
        <v>940</v>
      </c>
      <c r="I348" s="139" t="s">
        <v>941</v>
      </c>
      <c r="J348" s="139"/>
      <c r="K348" s="139" t="s">
        <v>942</v>
      </c>
      <c r="L348" s="139"/>
      <c r="M348" s="139"/>
      <c r="N348" s="139">
        <v>1</v>
      </c>
      <c r="O348" s="139"/>
      <c r="P348" s="299">
        <v>37195</v>
      </c>
      <c r="Q348" s="299">
        <f t="shared" ref="Q348:Q353" si="29">P348*N348</f>
        <v>37195</v>
      </c>
      <c r="R348" s="544"/>
      <c r="S348" s="299">
        <v>32879.56</v>
      </c>
      <c r="T348" s="299"/>
      <c r="U348" s="299">
        <f t="shared" si="28"/>
        <v>4315.4400000000023</v>
      </c>
      <c r="V348" s="139" t="s">
        <v>943</v>
      </c>
      <c r="W348" s="139" t="s">
        <v>944</v>
      </c>
      <c r="X348" s="302"/>
      <c r="Y348" s="542"/>
      <c r="Z348" s="156">
        <v>43265</v>
      </c>
      <c r="AA348" s="544"/>
      <c r="AB348" s="159">
        <v>43294</v>
      </c>
      <c r="AC348" s="156">
        <v>43276</v>
      </c>
      <c r="AD348" s="302"/>
      <c r="AE348" s="139"/>
      <c r="AF348" s="542" t="s">
        <v>884</v>
      </c>
      <c r="AG348" s="29" t="s">
        <v>98</v>
      </c>
      <c r="AH348" s="506">
        <v>32879.56</v>
      </c>
      <c r="AI348" s="139"/>
      <c r="AJ348" s="506"/>
      <c r="AK348" s="506"/>
      <c r="AL348" s="506"/>
      <c r="AM348" s="506"/>
      <c r="AN348" s="506"/>
      <c r="AO348" s="506"/>
      <c r="AP348" s="506"/>
      <c r="AQ348" s="506"/>
      <c r="AR348" s="506"/>
    </row>
    <row r="349" spans="1:44" s="160" customFormat="1" ht="25.5" customHeight="1" x14ac:dyDescent="0.25">
      <c r="A349" s="541"/>
      <c r="B349" s="354">
        <v>3</v>
      </c>
      <c r="C349" s="295">
        <v>5</v>
      </c>
      <c r="D349" s="561" t="s">
        <v>86</v>
      </c>
      <c r="E349" s="139"/>
      <c r="F349" s="139"/>
      <c r="G349" s="139" t="s">
        <v>945</v>
      </c>
      <c r="H349" s="139" t="s">
        <v>940</v>
      </c>
      <c r="I349" s="139" t="s">
        <v>941</v>
      </c>
      <c r="J349" s="139"/>
      <c r="K349" s="139" t="s">
        <v>946</v>
      </c>
      <c r="L349" s="139"/>
      <c r="M349" s="139"/>
      <c r="N349" s="139">
        <v>1</v>
      </c>
      <c r="O349" s="139"/>
      <c r="P349" s="299">
        <v>27195</v>
      </c>
      <c r="Q349" s="299">
        <f t="shared" si="29"/>
        <v>27195</v>
      </c>
      <c r="R349" s="544"/>
      <c r="S349" s="299">
        <v>24039.78</v>
      </c>
      <c r="T349" s="299"/>
      <c r="U349" s="299">
        <f t="shared" si="28"/>
        <v>3155.2200000000012</v>
      </c>
      <c r="V349" s="139" t="s">
        <v>943</v>
      </c>
      <c r="W349" s="139" t="s">
        <v>944</v>
      </c>
      <c r="X349" s="302"/>
      <c r="Y349" s="542"/>
      <c r="Z349" s="156">
        <v>43265</v>
      </c>
      <c r="AA349" s="544"/>
      <c r="AB349" s="159">
        <v>43294</v>
      </c>
      <c r="AC349" s="156">
        <v>43276</v>
      </c>
      <c r="AD349" s="302"/>
      <c r="AE349" s="139"/>
      <c r="AF349" s="542" t="s">
        <v>884</v>
      </c>
      <c r="AG349" s="29" t="s">
        <v>98</v>
      </c>
      <c r="AH349" s="506">
        <v>24039.78</v>
      </c>
      <c r="AI349" s="139"/>
      <c r="AJ349" s="506"/>
      <c r="AK349" s="506"/>
      <c r="AL349" s="506"/>
      <c r="AM349" s="506"/>
      <c r="AN349" s="506"/>
      <c r="AO349" s="506"/>
      <c r="AP349" s="506"/>
      <c r="AQ349" s="506"/>
      <c r="AR349" s="506"/>
    </row>
    <row r="350" spans="1:44" s="160" customFormat="1" ht="25.5" customHeight="1" x14ac:dyDescent="0.25">
      <c r="A350" s="541"/>
      <c r="B350" s="354">
        <v>3</v>
      </c>
      <c r="C350" s="295">
        <v>5</v>
      </c>
      <c r="D350" s="561" t="s">
        <v>86</v>
      </c>
      <c r="E350" s="139"/>
      <c r="F350" s="139"/>
      <c r="G350" s="139" t="s">
        <v>947</v>
      </c>
      <c r="H350" s="139" t="s">
        <v>940</v>
      </c>
      <c r="I350" s="139" t="s">
        <v>941</v>
      </c>
      <c r="J350" s="139"/>
      <c r="K350" s="139" t="s">
        <v>948</v>
      </c>
      <c r="L350" s="139"/>
      <c r="M350" s="139"/>
      <c r="N350" s="139">
        <v>1</v>
      </c>
      <c r="O350" s="139"/>
      <c r="P350" s="299">
        <v>2495</v>
      </c>
      <c r="Q350" s="299">
        <f t="shared" si="29"/>
        <v>2495</v>
      </c>
      <c r="R350" s="544"/>
      <c r="S350" s="299">
        <v>0</v>
      </c>
      <c r="T350" s="299"/>
      <c r="U350" s="299">
        <f t="shared" si="28"/>
        <v>2495</v>
      </c>
      <c r="V350" s="139" t="s">
        <v>943</v>
      </c>
      <c r="W350" s="139" t="s">
        <v>944</v>
      </c>
      <c r="X350" s="302"/>
      <c r="Y350" s="542"/>
      <c r="Z350" s="156">
        <v>43265</v>
      </c>
      <c r="AA350" s="544"/>
      <c r="AB350" s="159">
        <v>43294</v>
      </c>
      <c r="AC350" s="156">
        <v>43287</v>
      </c>
      <c r="AD350" s="302"/>
      <c r="AE350" s="139"/>
      <c r="AF350" s="543" t="s">
        <v>884</v>
      </c>
      <c r="AG350" s="29" t="s">
        <v>98</v>
      </c>
      <c r="AH350" s="506">
        <v>0</v>
      </c>
      <c r="AI350" s="454"/>
      <c r="AJ350" s="506"/>
      <c r="AK350" s="506"/>
      <c r="AL350" s="506"/>
      <c r="AM350" s="506"/>
      <c r="AN350" s="506"/>
      <c r="AO350" s="506"/>
      <c r="AP350" s="506"/>
      <c r="AQ350" s="506"/>
      <c r="AR350" s="506"/>
    </row>
    <row r="351" spans="1:44" s="160" customFormat="1" ht="25.5" customHeight="1" x14ac:dyDescent="0.25">
      <c r="A351" s="541"/>
      <c r="B351" s="354">
        <v>3</v>
      </c>
      <c r="C351" s="295">
        <v>5</v>
      </c>
      <c r="D351" s="561" t="s">
        <v>86</v>
      </c>
      <c r="E351" s="139"/>
      <c r="F351" s="139"/>
      <c r="G351" s="139" t="s">
        <v>949</v>
      </c>
      <c r="H351" s="139" t="s">
        <v>940</v>
      </c>
      <c r="I351" s="139" t="s">
        <v>941</v>
      </c>
      <c r="J351" s="139"/>
      <c r="K351" s="139" t="s">
        <v>950</v>
      </c>
      <c r="L351" s="139"/>
      <c r="M351" s="139"/>
      <c r="N351" s="139">
        <v>2</v>
      </c>
      <c r="O351" s="139"/>
      <c r="P351" s="299">
        <v>3895</v>
      </c>
      <c r="Q351" s="299">
        <f t="shared" si="29"/>
        <v>7790</v>
      </c>
      <c r="R351" s="544"/>
      <c r="S351" s="299">
        <v>3895</v>
      </c>
      <c r="T351" s="299"/>
      <c r="U351" s="299">
        <f t="shared" si="28"/>
        <v>3895</v>
      </c>
      <c r="V351" s="139" t="s">
        <v>943</v>
      </c>
      <c r="W351" s="139" t="s">
        <v>944</v>
      </c>
      <c r="X351" s="302"/>
      <c r="Y351" s="542"/>
      <c r="Z351" s="156">
        <v>43265</v>
      </c>
      <c r="AA351" s="544"/>
      <c r="AB351" s="159">
        <v>43294</v>
      </c>
      <c r="AC351" s="156">
        <v>43287</v>
      </c>
      <c r="AD351" s="302"/>
      <c r="AE351" s="139"/>
      <c r="AF351" s="543" t="s">
        <v>884</v>
      </c>
      <c r="AG351" s="29" t="s">
        <v>98</v>
      </c>
      <c r="AH351" s="506">
        <v>3895</v>
      </c>
      <c r="AI351" s="454"/>
      <c r="AJ351" s="506"/>
      <c r="AK351" s="506"/>
      <c r="AL351" s="506"/>
      <c r="AM351" s="506"/>
      <c r="AN351" s="506"/>
      <c r="AO351" s="506"/>
      <c r="AP351" s="506"/>
      <c r="AQ351" s="506"/>
      <c r="AR351" s="506"/>
    </row>
    <row r="352" spans="1:44" s="160" customFormat="1" ht="25.5" customHeight="1" x14ac:dyDescent="0.25">
      <c r="A352" s="142"/>
      <c r="B352" s="552">
        <v>3</v>
      </c>
      <c r="C352" s="553">
        <v>5</v>
      </c>
      <c r="D352" s="382" t="s">
        <v>86</v>
      </c>
      <c r="E352" s="554"/>
      <c r="F352" s="554"/>
      <c r="G352" s="554" t="s">
        <v>951</v>
      </c>
      <c r="H352" s="554" t="s">
        <v>952</v>
      </c>
      <c r="I352" s="554"/>
      <c r="J352" s="554"/>
      <c r="K352" s="554"/>
      <c r="L352" s="554"/>
      <c r="M352" s="554"/>
      <c r="N352" s="554">
        <v>1</v>
      </c>
      <c r="O352" s="554"/>
      <c r="P352" s="555">
        <v>-11300</v>
      </c>
      <c r="Q352" s="555">
        <f t="shared" si="29"/>
        <v>-11300</v>
      </c>
      <c r="R352" s="139"/>
      <c r="S352" s="555"/>
      <c r="T352" s="555"/>
      <c r="U352" s="555"/>
      <c r="V352" s="554"/>
      <c r="W352" s="554"/>
      <c r="X352" s="139"/>
      <c r="Y352" s="139"/>
      <c r="Z352" s="556"/>
      <c r="AA352" s="139"/>
      <c r="AB352" s="557"/>
      <c r="AC352" s="556"/>
      <c r="AD352" s="139"/>
      <c r="AE352" s="139"/>
      <c r="AF352" s="454"/>
      <c r="AG352" s="554" t="s">
        <v>147</v>
      </c>
      <c r="AH352" s="558"/>
      <c r="AI352" s="559"/>
      <c r="AJ352" s="560"/>
      <c r="AK352" s="560"/>
      <c r="AL352" s="560"/>
      <c r="AM352" s="560"/>
      <c r="AN352" s="560"/>
      <c r="AO352" s="560"/>
      <c r="AP352" s="560"/>
      <c r="AQ352" s="560"/>
      <c r="AR352" s="560"/>
    </row>
    <row r="353" spans="1:44" s="160" customFormat="1" ht="25.5" customHeight="1" x14ac:dyDescent="0.25">
      <c r="A353" s="142"/>
      <c r="B353" s="354">
        <v>3</v>
      </c>
      <c r="C353" s="341">
        <v>5</v>
      </c>
      <c r="D353" s="382" t="s">
        <v>86</v>
      </c>
      <c r="E353" s="139"/>
      <c r="F353" s="139"/>
      <c r="G353" s="139" t="s">
        <v>522</v>
      </c>
      <c r="H353" s="139" t="s">
        <v>952</v>
      </c>
      <c r="I353" s="139"/>
      <c r="J353" s="139"/>
      <c r="K353" s="139"/>
      <c r="L353" s="139"/>
      <c r="M353" s="139"/>
      <c r="N353" s="139">
        <v>1</v>
      </c>
      <c r="O353" s="139"/>
      <c r="P353" s="299">
        <v>-204408.05</v>
      </c>
      <c r="Q353" s="299">
        <f t="shared" si="29"/>
        <v>-204408.05</v>
      </c>
      <c r="R353" s="139"/>
      <c r="S353" s="299"/>
      <c r="T353" s="299"/>
      <c r="U353" s="299"/>
      <c r="V353" s="139"/>
      <c r="W353" s="139"/>
      <c r="X353" s="139"/>
      <c r="Y353" s="139"/>
      <c r="Z353" s="156"/>
      <c r="AA353" s="139"/>
      <c r="AB353" s="159"/>
      <c r="AC353" s="156"/>
      <c r="AD353" s="139"/>
      <c r="AE353" s="139"/>
      <c r="AF353" s="454"/>
      <c r="AG353" s="139" t="s">
        <v>147</v>
      </c>
      <c r="AH353" s="523"/>
      <c r="AI353" s="455"/>
      <c r="AJ353" s="506"/>
      <c r="AK353" s="506"/>
      <c r="AL353" s="506"/>
      <c r="AM353" s="506"/>
      <c r="AN353" s="506"/>
      <c r="AO353" s="506"/>
      <c r="AP353" s="506"/>
      <c r="AQ353" s="506"/>
      <c r="AR353" s="506"/>
    </row>
    <row r="354" spans="1:44" ht="25.5" customHeight="1" x14ac:dyDescent="0.25">
      <c r="A354" s="141" t="s">
        <v>953</v>
      </c>
      <c r="B354" s="352">
        <v>3</v>
      </c>
      <c r="C354" s="289">
        <v>5</v>
      </c>
      <c r="D354" s="382" t="s">
        <v>86</v>
      </c>
      <c r="E354" s="65"/>
      <c r="F354" s="22"/>
      <c r="G354" s="33" t="s">
        <v>954</v>
      </c>
      <c r="H354" s="33" t="s">
        <v>955</v>
      </c>
      <c r="I354" s="139" t="s">
        <v>941</v>
      </c>
      <c r="J354" s="22"/>
      <c r="K354" s="139">
        <v>48018</v>
      </c>
      <c r="L354" s="25"/>
      <c r="M354" s="25"/>
      <c r="N354" s="68">
        <v>6</v>
      </c>
      <c r="O354" s="22"/>
      <c r="P354" s="291">
        <v>347.9</v>
      </c>
      <c r="Q354" s="273">
        <f t="shared" ref="Q354:Q382" si="30">N354*P354</f>
        <v>2087.3999999999996</v>
      </c>
      <c r="R354" s="35"/>
      <c r="S354" s="273">
        <v>2087.4</v>
      </c>
      <c r="T354" s="273"/>
      <c r="U354" s="299">
        <f t="shared" ref="U354:U381" si="31">Q354-S354</f>
        <v>0</v>
      </c>
      <c r="V354" s="22" t="s">
        <v>956</v>
      </c>
      <c r="W354" s="22" t="s">
        <v>957</v>
      </c>
      <c r="X354" s="22"/>
      <c r="Y354" s="22"/>
      <c r="Z354" s="29">
        <v>43283</v>
      </c>
      <c r="AA354" s="29"/>
      <c r="AB354" s="29">
        <v>43315</v>
      </c>
      <c r="AC354" s="29">
        <v>43385</v>
      </c>
      <c r="AD354" s="29"/>
      <c r="AE354" s="29"/>
      <c r="AF354" s="22" t="s">
        <v>958</v>
      </c>
      <c r="AG354" s="29" t="s">
        <v>98</v>
      </c>
      <c r="AH354" s="143">
        <f>38310.96/26</f>
        <v>1473.4984615384615</v>
      </c>
      <c r="AI354" s="144"/>
      <c r="AJ354" s="143"/>
      <c r="AK354" s="143"/>
      <c r="AL354" s="143"/>
      <c r="AM354" s="143"/>
      <c r="AN354" s="143"/>
      <c r="AO354" s="143"/>
      <c r="AP354" s="143"/>
      <c r="AQ354" s="143"/>
      <c r="AR354" s="143"/>
    </row>
    <row r="355" spans="1:44" ht="25.5" customHeight="1" x14ac:dyDescent="0.25">
      <c r="A355" s="141" t="s">
        <v>953</v>
      </c>
      <c r="B355" s="352">
        <v>3</v>
      </c>
      <c r="C355" s="289">
        <v>5</v>
      </c>
      <c r="D355" s="382" t="s">
        <v>86</v>
      </c>
      <c r="E355" s="65"/>
      <c r="F355" s="22"/>
      <c r="G355" s="33" t="s">
        <v>959</v>
      </c>
      <c r="H355" s="33" t="s">
        <v>955</v>
      </c>
      <c r="I355" s="139" t="s">
        <v>941</v>
      </c>
      <c r="J355" s="22"/>
      <c r="K355" s="139">
        <v>48112</v>
      </c>
      <c r="L355" s="25"/>
      <c r="M355" s="25"/>
      <c r="N355" s="68">
        <v>6</v>
      </c>
      <c r="O355" s="22"/>
      <c r="P355" s="291">
        <v>163.1</v>
      </c>
      <c r="Q355" s="273">
        <f t="shared" si="30"/>
        <v>978.59999999999991</v>
      </c>
      <c r="R355" s="35"/>
      <c r="S355" s="273">
        <v>978.6</v>
      </c>
      <c r="T355" s="273"/>
      <c r="U355" s="299">
        <f t="shared" si="31"/>
        <v>0</v>
      </c>
      <c r="V355" s="22" t="s">
        <v>956</v>
      </c>
      <c r="W355" s="22" t="s">
        <v>957</v>
      </c>
      <c r="X355" s="22"/>
      <c r="Y355" s="22"/>
      <c r="Z355" s="29">
        <v>43283</v>
      </c>
      <c r="AA355" s="29"/>
      <c r="AB355" s="29">
        <v>43315</v>
      </c>
      <c r="AC355" s="29">
        <v>43385</v>
      </c>
      <c r="AD355" s="29"/>
      <c r="AE355" s="29"/>
      <c r="AF355" s="22" t="s">
        <v>958</v>
      </c>
      <c r="AG355" s="29" t="s">
        <v>98</v>
      </c>
      <c r="AH355" s="143">
        <f t="shared" ref="AH355:AH379" si="32">38310.96/26</f>
        <v>1473.4984615384615</v>
      </c>
      <c r="AI355" s="144"/>
      <c r="AJ355" s="143"/>
      <c r="AK355" s="143"/>
      <c r="AL355" s="143"/>
      <c r="AM355" s="143"/>
      <c r="AN355" s="143"/>
      <c r="AO355" s="143"/>
      <c r="AP355" s="143"/>
      <c r="AQ355" s="143"/>
      <c r="AR355" s="143"/>
    </row>
    <row r="356" spans="1:44" ht="25.5" customHeight="1" x14ac:dyDescent="0.25">
      <c r="A356" s="141" t="s">
        <v>953</v>
      </c>
      <c r="B356" s="352">
        <v>3</v>
      </c>
      <c r="C356" s="289">
        <v>5</v>
      </c>
      <c r="D356" s="382" t="s">
        <v>86</v>
      </c>
      <c r="E356" s="65"/>
      <c r="F356" s="22"/>
      <c r="G356" s="33" t="s">
        <v>960</v>
      </c>
      <c r="H356" s="33" t="s">
        <v>955</v>
      </c>
      <c r="I356" s="139" t="s">
        <v>941</v>
      </c>
      <c r="J356" s="22"/>
      <c r="K356" s="139" t="s">
        <v>961</v>
      </c>
      <c r="L356" s="25"/>
      <c r="M356" s="25"/>
      <c r="N356" s="68">
        <v>2</v>
      </c>
      <c r="O356" s="22"/>
      <c r="P356" s="291">
        <v>432.99</v>
      </c>
      <c r="Q356" s="273">
        <f t="shared" si="30"/>
        <v>865.98</v>
      </c>
      <c r="R356" s="35"/>
      <c r="S356" s="273">
        <v>865.98</v>
      </c>
      <c r="T356" s="273"/>
      <c r="U356" s="299">
        <f t="shared" si="31"/>
        <v>0</v>
      </c>
      <c r="V356" s="22" t="s">
        <v>956</v>
      </c>
      <c r="W356" s="22" t="s">
        <v>957</v>
      </c>
      <c r="X356" s="22"/>
      <c r="Y356" s="22"/>
      <c r="Z356" s="29">
        <v>43283</v>
      </c>
      <c r="AA356" s="29"/>
      <c r="AB356" s="29">
        <v>43315</v>
      </c>
      <c r="AC356" s="29">
        <v>43385</v>
      </c>
      <c r="AD356" s="29"/>
      <c r="AE356" s="29"/>
      <c r="AF356" s="22" t="s">
        <v>958</v>
      </c>
      <c r="AG356" s="29" t="s">
        <v>98</v>
      </c>
      <c r="AH356" s="143">
        <f t="shared" si="32"/>
        <v>1473.4984615384615</v>
      </c>
      <c r="AI356" s="144"/>
      <c r="AJ356" s="143"/>
      <c r="AK356" s="143"/>
      <c r="AL356" s="143"/>
      <c r="AM356" s="143"/>
      <c r="AN356" s="143"/>
      <c r="AO356" s="143"/>
      <c r="AP356" s="143"/>
      <c r="AQ356" s="143"/>
      <c r="AR356" s="143"/>
    </row>
    <row r="357" spans="1:44" ht="25.5" customHeight="1" x14ac:dyDescent="0.25">
      <c r="A357" s="141" t="s">
        <v>953</v>
      </c>
      <c r="B357" s="352">
        <v>3</v>
      </c>
      <c r="C357" s="289">
        <v>5</v>
      </c>
      <c r="D357" s="382" t="s">
        <v>86</v>
      </c>
      <c r="E357" s="65"/>
      <c r="F357" s="22"/>
      <c r="G357" s="33" t="s">
        <v>962</v>
      </c>
      <c r="H357" s="33" t="s">
        <v>955</v>
      </c>
      <c r="I357" s="139" t="s">
        <v>941</v>
      </c>
      <c r="J357" s="22"/>
      <c r="K357" s="139" t="s">
        <v>961</v>
      </c>
      <c r="L357" s="25"/>
      <c r="M357" s="25"/>
      <c r="N357" s="68">
        <v>2</v>
      </c>
      <c r="O357" s="22"/>
      <c r="P357" s="291">
        <v>432.99</v>
      </c>
      <c r="Q357" s="273">
        <f t="shared" si="30"/>
        <v>865.98</v>
      </c>
      <c r="R357" s="35"/>
      <c r="S357" s="273">
        <v>865.98</v>
      </c>
      <c r="T357" s="273"/>
      <c r="U357" s="299">
        <f t="shared" si="31"/>
        <v>0</v>
      </c>
      <c r="V357" s="22" t="s">
        <v>956</v>
      </c>
      <c r="W357" s="22" t="s">
        <v>957</v>
      </c>
      <c r="X357" s="22"/>
      <c r="Y357" s="22"/>
      <c r="Z357" s="29">
        <v>43283</v>
      </c>
      <c r="AA357" s="29"/>
      <c r="AB357" s="29">
        <v>43315</v>
      </c>
      <c r="AC357" s="29">
        <v>43385</v>
      </c>
      <c r="AD357" s="29"/>
      <c r="AE357" s="29"/>
      <c r="AF357" s="22" t="s">
        <v>958</v>
      </c>
      <c r="AG357" s="29" t="s">
        <v>98</v>
      </c>
      <c r="AH357" s="143">
        <f t="shared" si="32"/>
        <v>1473.4984615384615</v>
      </c>
      <c r="AI357" s="144"/>
      <c r="AJ357" s="143"/>
      <c r="AK357" s="143"/>
      <c r="AL357" s="143"/>
      <c r="AM357" s="143"/>
      <c r="AN357" s="143"/>
      <c r="AO357" s="143"/>
      <c r="AP357" s="143"/>
      <c r="AQ357" s="143"/>
      <c r="AR357" s="143"/>
    </row>
    <row r="358" spans="1:44" ht="25.5" customHeight="1" x14ac:dyDescent="0.25">
      <c r="A358" s="141" t="s">
        <v>953</v>
      </c>
      <c r="B358" s="352">
        <v>3</v>
      </c>
      <c r="C358" s="289">
        <v>5</v>
      </c>
      <c r="D358" s="382" t="s">
        <v>86</v>
      </c>
      <c r="E358" s="65"/>
      <c r="F358" s="22"/>
      <c r="G358" s="33" t="s">
        <v>963</v>
      </c>
      <c r="H358" s="33" t="s">
        <v>955</v>
      </c>
      <c r="I358" s="139" t="s">
        <v>941</v>
      </c>
      <c r="J358" s="22"/>
      <c r="K358" s="139" t="s">
        <v>961</v>
      </c>
      <c r="L358" s="25"/>
      <c r="M358" s="25"/>
      <c r="N358" s="68">
        <v>2</v>
      </c>
      <c r="O358" s="22"/>
      <c r="P358" s="291">
        <v>432.99</v>
      </c>
      <c r="Q358" s="273">
        <f t="shared" si="30"/>
        <v>865.98</v>
      </c>
      <c r="R358" s="35"/>
      <c r="S358" s="273">
        <v>865.98</v>
      </c>
      <c r="T358" s="273"/>
      <c r="U358" s="299">
        <f t="shared" si="31"/>
        <v>0</v>
      </c>
      <c r="V358" s="22" t="s">
        <v>956</v>
      </c>
      <c r="W358" s="22" t="s">
        <v>957</v>
      </c>
      <c r="X358" s="22"/>
      <c r="Y358" s="22"/>
      <c r="Z358" s="29">
        <v>43283</v>
      </c>
      <c r="AA358" s="29"/>
      <c r="AB358" s="29">
        <v>43315</v>
      </c>
      <c r="AC358" s="29">
        <v>43385</v>
      </c>
      <c r="AD358" s="29"/>
      <c r="AE358" s="29"/>
      <c r="AF358" s="22" t="s">
        <v>958</v>
      </c>
      <c r="AG358" s="29" t="s">
        <v>98</v>
      </c>
      <c r="AH358" s="143">
        <f t="shared" si="32"/>
        <v>1473.4984615384615</v>
      </c>
      <c r="AI358" s="144"/>
      <c r="AJ358" s="143"/>
      <c r="AK358" s="143"/>
      <c r="AL358" s="143"/>
      <c r="AM358" s="143"/>
      <c r="AN358" s="143"/>
      <c r="AO358" s="143"/>
      <c r="AP358" s="143"/>
      <c r="AQ358" s="143"/>
      <c r="AR358" s="143"/>
    </row>
    <row r="359" spans="1:44" ht="25.5" customHeight="1" x14ac:dyDescent="0.25">
      <c r="A359" s="141" t="s">
        <v>953</v>
      </c>
      <c r="B359" s="352">
        <v>3</v>
      </c>
      <c r="C359" s="289">
        <v>5</v>
      </c>
      <c r="D359" s="382" t="s">
        <v>86</v>
      </c>
      <c r="E359" s="65"/>
      <c r="F359" s="22"/>
      <c r="G359" s="33" t="s">
        <v>964</v>
      </c>
      <c r="H359" s="33" t="s">
        <v>955</v>
      </c>
      <c r="I359" s="139" t="s">
        <v>941</v>
      </c>
      <c r="J359" s="22"/>
      <c r="K359" s="139">
        <v>48244</v>
      </c>
      <c r="L359" s="25"/>
      <c r="M359" s="25"/>
      <c r="N359" s="68">
        <v>6</v>
      </c>
      <c r="O359" s="22"/>
      <c r="P359" s="291">
        <v>209.3</v>
      </c>
      <c r="Q359" s="273">
        <f t="shared" si="30"/>
        <v>1255.8000000000002</v>
      </c>
      <c r="R359" s="35"/>
      <c r="S359" s="273">
        <v>1255.8</v>
      </c>
      <c r="T359" s="273"/>
      <c r="U359" s="299">
        <f t="shared" si="31"/>
        <v>0</v>
      </c>
      <c r="V359" s="22" t="s">
        <v>956</v>
      </c>
      <c r="W359" s="22" t="s">
        <v>957</v>
      </c>
      <c r="X359" s="22"/>
      <c r="Y359" s="22"/>
      <c r="Z359" s="29">
        <v>43283</v>
      </c>
      <c r="AA359" s="29"/>
      <c r="AB359" s="29">
        <v>43315</v>
      </c>
      <c r="AC359" s="29">
        <v>43385</v>
      </c>
      <c r="AD359" s="29"/>
      <c r="AE359" s="29"/>
      <c r="AF359" s="22" t="s">
        <v>958</v>
      </c>
      <c r="AG359" s="29" t="s">
        <v>98</v>
      </c>
      <c r="AH359" s="143">
        <f t="shared" si="32"/>
        <v>1473.4984615384615</v>
      </c>
      <c r="AI359" s="144"/>
      <c r="AJ359" s="143"/>
      <c r="AK359" s="143"/>
      <c r="AL359" s="143"/>
      <c r="AM359" s="143"/>
      <c r="AN359" s="143"/>
      <c r="AO359" s="143"/>
      <c r="AP359" s="143"/>
      <c r="AQ359" s="143"/>
      <c r="AR359" s="143"/>
    </row>
    <row r="360" spans="1:44" ht="25.5" customHeight="1" x14ac:dyDescent="0.25">
      <c r="A360" s="141" t="s">
        <v>953</v>
      </c>
      <c r="B360" s="352">
        <v>3</v>
      </c>
      <c r="C360" s="289">
        <v>5</v>
      </c>
      <c r="D360" s="382" t="s">
        <v>86</v>
      </c>
      <c r="E360" s="65"/>
      <c r="F360" s="22"/>
      <c r="G360" s="33" t="s">
        <v>965</v>
      </c>
      <c r="H360" s="33" t="s">
        <v>955</v>
      </c>
      <c r="I360" s="139" t="s">
        <v>941</v>
      </c>
      <c r="J360" s="22"/>
      <c r="K360" s="139" t="s">
        <v>966</v>
      </c>
      <c r="L360" s="25"/>
      <c r="M360" s="25"/>
      <c r="N360" s="68">
        <v>12</v>
      </c>
      <c r="O360" s="22"/>
      <c r="P360" s="291">
        <v>319.2</v>
      </c>
      <c r="Q360" s="273">
        <f t="shared" si="30"/>
        <v>3830.3999999999996</v>
      </c>
      <c r="R360" s="35"/>
      <c r="S360" s="273">
        <v>3830.4</v>
      </c>
      <c r="T360" s="273"/>
      <c r="U360" s="299">
        <f t="shared" si="31"/>
        <v>0</v>
      </c>
      <c r="V360" s="22" t="s">
        <v>956</v>
      </c>
      <c r="W360" s="22" t="s">
        <v>957</v>
      </c>
      <c r="X360" s="22"/>
      <c r="Y360" s="22"/>
      <c r="Z360" s="29">
        <v>43283</v>
      </c>
      <c r="AA360" s="29"/>
      <c r="AB360" s="29">
        <v>43315</v>
      </c>
      <c r="AC360" s="29">
        <v>43385</v>
      </c>
      <c r="AD360" s="29"/>
      <c r="AE360" s="29"/>
      <c r="AF360" s="22" t="s">
        <v>958</v>
      </c>
      <c r="AG360" s="29" t="s">
        <v>98</v>
      </c>
      <c r="AH360" s="143">
        <f t="shared" si="32"/>
        <v>1473.4984615384615</v>
      </c>
      <c r="AI360" s="144"/>
      <c r="AJ360" s="143"/>
      <c r="AK360" s="143"/>
      <c r="AL360" s="143"/>
      <c r="AM360" s="143"/>
      <c r="AN360" s="143"/>
      <c r="AO360" s="143"/>
      <c r="AP360" s="143"/>
      <c r="AQ360" s="143"/>
      <c r="AR360" s="143"/>
    </row>
    <row r="361" spans="1:44" ht="25.5" customHeight="1" x14ac:dyDescent="0.25">
      <c r="A361" s="141" t="s">
        <v>953</v>
      </c>
      <c r="B361" s="352">
        <v>3</v>
      </c>
      <c r="C361" s="289">
        <v>5</v>
      </c>
      <c r="D361" s="382" t="s">
        <v>86</v>
      </c>
      <c r="E361" s="65"/>
      <c r="F361" s="22"/>
      <c r="G361" s="33" t="s">
        <v>967</v>
      </c>
      <c r="H361" s="33" t="s">
        <v>955</v>
      </c>
      <c r="I361" s="139" t="s">
        <v>941</v>
      </c>
      <c r="J361" s="22"/>
      <c r="K361" s="139">
        <v>46260</v>
      </c>
      <c r="L361" s="25"/>
      <c r="M361" s="25"/>
      <c r="N361" s="68">
        <v>6</v>
      </c>
      <c r="O361" s="22"/>
      <c r="P361" s="291">
        <v>128.80000000000001</v>
      </c>
      <c r="Q361" s="273">
        <f t="shared" si="30"/>
        <v>772.80000000000007</v>
      </c>
      <c r="R361" s="35"/>
      <c r="S361" s="273">
        <v>772.8</v>
      </c>
      <c r="T361" s="273"/>
      <c r="U361" s="299">
        <f t="shared" si="31"/>
        <v>0</v>
      </c>
      <c r="V361" s="22" t="s">
        <v>956</v>
      </c>
      <c r="W361" s="22" t="s">
        <v>957</v>
      </c>
      <c r="X361" s="22"/>
      <c r="Y361" s="22"/>
      <c r="Z361" s="29">
        <v>43283</v>
      </c>
      <c r="AA361" s="29"/>
      <c r="AB361" s="29">
        <v>43315</v>
      </c>
      <c r="AC361" s="29">
        <v>43385</v>
      </c>
      <c r="AD361" s="29"/>
      <c r="AE361" s="29"/>
      <c r="AF361" s="22" t="s">
        <v>958</v>
      </c>
      <c r="AG361" s="29" t="s">
        <v>98</v>
      </c>
      <c r="AH361" s="143">
        <f t="shared" si="32"/>
        <v>1473.4984615384615</v>
      </c>
      <c r="AI361" s="144"/>
      <c r="AJ361" s="143"/>
      <c r="AK361" s="143"/>
      <c r="AL361" s="143"/>
      <c r="AM361" s="143"/>
      <c r="AN361" s="143"/>
      <c r="AO361" s="143"/>
      <c r="AP361" s="143"/>
      <c r="AQ361" s="143"/>
      <c r="AR361" s="143"/>
    </row>
    <row r="362" spans="1:44" ht="25.5" customHeight="1" x14ac:dyDescent="0.25">
      <c r="A362" s="141" t="s">
        <v>953</v>
      </c>
      <c r="B362" s="352">
        <v>3</v>
      </c>
      <c r="C362" s="289">
        <v>5</v>
      </c>
      <c r="D362" s="382" t="s">
        <v>86</v>
      </c>
      <c r="E362" s="65"/>
      <c r="F362" s="22"/>
      <c r="G362" s="33" t="s">
        <v>954</v>
      </c>
      <c r="H362" s="33" t="s">
        <v>955</v>
      </c>
      <c r="I362" s="139" t="s">
        <v>941</v>
      </c>
      <c r="J362" s="22"/>
      <c r="K362" s="139">
        <v>48018</v>
      </c>
      <c r="L362" s="25"/>
      <c r="M362" s="25"/>
      <c r="N362" s="68">
        <v>2</v>
      </c>
      <c r="O362" s="22"/>
      <c r="P362" s="291">
        <v>347.9</v>
      </c>
      <c r="Q362" s="273">
        <f t="shared" si="30"/>
        <v>695.8</v>
      </c>
      <c r="R362" s="35"/>
      <c r="S362" s="273">
        <v>695.8</v>
      </c>
      <c r="T362" s="273"/>
      <c r="U362" s="299">
        <f t="shared" si="31"/>
        <v>0</v>
      </c>
      <c r="V362" s="22" t="s">
        <v>956</v>
      </c>
      <c r="W362" s="22" t="s">
        <v>957</v>
      </c>
      <c r="X362" s="22"/>
      <c r="Y362" s="22"/>
      <c r="Z362" s="29">
        <v>43283</v>
      </c>
      <c r="AA362" s="29"/>
      <c r="AB362" s="29">
        <v>43315</v>
      </c>
      <c r="AC362" s="29">
        <v>43385</v>
      </c>
      <c r="AD362" s="29"/>
      <c r="AE362" s="29"/>
      <c r="AF362" s="22" t="s">
        <v>958</v>
      </c>
      <c r="AG362" s="29" t="s">
        <v>98</v>
      </c>
      <c r="AH362" s="143">
        <f t="shared" si="32"/>
        <v>1473.4984615384615</v>
      </c>
      <c r="AI362" s="144"/>
      <c r="AJ362" s="143"/>
      <c r="AK362" s="143"/>
      <c r="AL362" s="143"/>
      <c r="AM362" s="143"/>
      <c r="AN362" s="143"/>
      <c r="AO362" s="143"/>
      <c r="AP362" s="143"/>
      <c r="AQ362" s="143"/>
      <c r="AR362" s="143"/>
    </row>
    <row r="363" spans="1:44" ht="25.5" customHeight="1" x14ac:dyDescent="0.25">
      <c r="A363" s="141" t="s">
        <v>953</v>
      </c>
      <c r="B363" s="352">
        <v>3</v>
      </c>
      <c r="C363" s="289">
        <v>5</v>
      </c>
      <c r="D363" s="382" t="s">
        <v>86</v>
      </c>
      <c r="E363" s="65"/>
      <c r="F363" s="22"/>
      <c r="G363" s="33" t="s">
        <v>968</v>
      </c>
      <c r="H363" s="33" t="s">
        <v>955</v>
      </c>
      <c r="I363" s="139" t="s">
        <v>941</v>
      </c>
      <c r="J363" s="22"/>
      <c r="K363" s="139">
        <v>48111</v>
      </c>
      <c r="L363" s="25"/>
      <c r="M363" s="25"/>
      <c r="N363" s="68">
        <v>2</v>
      </c>
      <c r="O363" s="22"/>
      <c r="P363" s="291">
        <v>152.6</v>
      </c>
      <c r="Q363" s="273">
        <f t="shared" si="30"/>
        <v>305.2</v>
      </c>
      <c r="R363" s="35"/>
      <c r="S363" s="273">
        <v>305.2</v>
      </c>
      <c r="T363" s="273"/>
      <c r="U363" s="299">
        <f t="shared" si="31"/>
        <v>0</v>
      </c>
      <c r="V363" s="22" t="s">
        <v>956</v>
      </c>
      <c r="W363" s="22" t="s">
        <v>957</v>
      </c>
      <c r="X363" s="22"/>
      <c r="Y363" s="22"/>
      <c r="Z363" s="29">
        <v>43283</v>
      </c>
      <c r="AA363" s="29"/>
      <c r="AB363" s="29">
        <v>43315</v>
      </c>
      <c r="AC363" s="29">
        <v>43385</v>
      </c>
      <c r="AD363" s="29"/>
      <c r="AE363" s="29"/>
      <c r="AF363" s="22" t="s">
        <v>958</v>
      </c>
      <c r="AG363" s="29" t="s">
        <v>98</v>
      </c>
      <c r="AH363" s="143">
        <f t="shared" si="32"/>
        <v>1473.4984615384615</v>
      </c>
      <c r="AI363" s="144"/>
      <c r="AJ363" s="143"/>
      <c r="AK363" s="143"/>
      <c r="AL363" s="143"/>
      <c r="AM363" s="143"/>
      <c r="AN363" s="143"/>
      <c r="AO363" s="143"/>
      <c r="AP363" s="143"/>
      <c r="AQ363" s="143"/>
      <c r="AR363" s="143"/>
    </row>
    <row r="364" spans="1:44" ht="25.5" customHeight="1" x14ac:dyDescent="0.25">
      <c r="A364" s="141" t="s">
        <v>953</v>
      </c>
      <c r="B364" s="352">
        <v>3</v>
      </c>
      <c r="C364" s="289">
        <v>5</v>
      </c>
      <c r="D364" s="382" t="s">
        <v>86</v>
      </c>
      <c r="E364" s="65"/>
      <c r="F364" s="22"/>
      <c r="G364" s="33" t="s">
        <v>969</v>
      </c>
      <c r="H364" s="33" t="s">
        <v>955</v>
      </c>
      <c r="I364" s="139" t="s">
        <v>941</v>
      </c>
      <c r="J364" s="22"/>
      <c r="K364" s="139" t="s">
        <v>970</v>
      </c>
      <c r="L364" s="25"/>
      <c r="M364" s="25"/>
      <c r="N364" s="68">
        <v>1</v>
      </c>
      <c r="O364" s="22"/>
      <c r="P364" s="291">
        <v>362.99</v>
      </c>
      <c r="Q364" s="273">
        <f t="shared" si="30"/>
        <v>362.99</v>
      </c>
      <c r="R364" s="35"/>
      <c r="S364" s="273">
        <v>362.99</v>
      </c>
      <c r="T364" s="273"/>
      <c r="U364" s="299">
        <f t="shared" si="31"/>
        <v>0</v>
      </c>
      <c r="V364" s="22" t="s">
        <v>956</v>
      </c>
      <c r="W364" s="22" t="s">
        <v>957</v>
      </c>
      <c r="X364" s="22"/>
      <c r="Y364" s="22"/>
      <c r="Z364" s="29">
        <v>43283</v>
      </c>
      <c r="AA364" s="29"/>
      <c r="AB364" s="29">
        <v>43315</v>
      </c>
      <c r="AC364" s="29">
        <v>43385</v>
      </c>
      <c r="AD364" s="29"/>
      <c r="AE364" s="29"/>
      <c r="AF364" s="22" t="s">
        <v>958</v>
      </c>
      <c r="AG364" s="29" t="s">
        <v>98</v>
      </c>
      <c r="AH364" s="143">
        <f t="shared" si="32"/>
        <v>1473.4984615384615</v>
      </c>
      <c r="AI364" s="144"/>
      <c r="AJ364" s="143"/>
      <c r="AK364" s="143"/>
      <c r="AL364" s="143"/>
      <c r="AM364" s="143"/>
      <c r="AN364" s="143"/>
      <c r="AO364" s="143"/>
      <c r="AP364" s="143"/>
      <c r="AQ364" s="143"/>
      <c r="AR364" s="143"/>
    </row>
    <row r="365" spans="1:44" ht="25.5" customHeight="1" x14ac:dyDescent="0.25">
      <c r="A365" s="141" t="s">
        <v>953</v>
      </c>
      <c r="B365" s="352">
        <v>3</v>
      </c>
      <c r="C365" s="289">
        <v>5</v>
      </c>
      <c r="D365" s="382" t="s">
        <v>86</v>
      </c>
      <c r="E365" s="65"/>
      <c r="F365" s="22"/>
      <c r="G365" s="33" t="s">
        <v>971</v>
      </c>
      <c r="H365" s="33" t="s">
        <v>955</v>
      </c>
      <c r="I365" s="139" t="s">
        <v>941</v>
      </c>
      <c r="J365" s="22"/>
      <c r="K365" s="139" t="s">
        <v>970</v>
      </c>
      <c r="L365" s="25"/>
      <c r="M365" s="25"/>
      <c r="N365" s="68">
        <v>1</v>
      </c>
      <c r="O365" s="22"/>
      <c r="P365" s="291">
        <v>362.99</v>
      </c>
      <c r="Q365" s="273">
        <f t="shared" si="30"/>
        <v>362.99</v>
      </c>
      <c r="R365" s="35"/>
      <c r="S365" s="273">
        <v>362.99</v>
      </c>
      <c r="T365" s="273"/>
      <c r="U365" s="299">
        <f t="shared" si="31"/>
        <v>0</v>
      </c>
      <c r="V365" s="22" t="s">
        <v>956</v>
      </c>
      <c r="W365" s="22" t="s">
        <v>957</v>
      </c>
      <c r="X365" s="22"/>
      <c r="Y365" s="22"/>
      <c r="Z365" s="29">
        <v>43283</v>
      </c>
      <c r="AA365" s="29"/>
      <c r="AB365" s="29">
        <v>43315</v>
      </c>
      <c r="AC365" s="29">
        <v>43385</v>
      </c>
      <c r="AD365" s="29"/>
      <c r="AE365" s="29"/>
      <c r="AF365" s="22" t="s">
        <v>958</v>
      </c>
      <c r="AG365" s="29" t="s">
        <v>98</v>
      </c>
      <c r="AH365" s="143">
        <f t="shared" si="32"/>
        <v>1473.4984615384615</v>
      </c>
      <c r="AI365" s="144"/>
      <c r="AJ365" s="143"/>
      <c r="AK365" s="143"/>
      <c r="AL365" s="143"/>
      <c r="AM365" s="143"/>
      <c r="AN365" s="143"/>
      <c r="AO365" s="143"/>
      <c r="AP365" s="143"/>
      <c r="AQ365" s="143"/>
      <c r="AR365" s="143"/>
    </row>
    <row r="366" spans="1:44" ht="25.5" customHeight="1" x14ac:dyDescent="0.25">
      <c r="A366" s="141" t="s">
        <v>953</v>
      </c>
      <c r="B366" s="352">
        <v>3</v>
      </c>
      <c r="C366" s="289">
        <v>5</v>
      </c>
      <c r="D366" s="382" t="s">
        <v>86</v>
      </c>
      <c r="E366" s="65"/>
      <c r="F366" s="22"/>
      <c r="G366" s="33" t="s">
        <v>972</v>
      </c>
      <c r="H366" s="33" t="s">
        <v>955</v>
      </c>
      <c r="I366" s="139" t="s">
        <v>941</v>
      </c>
      <c r="J366" s="22"/>
      <c r="K366" s="139">
        <v>48242</v>
      </c>
      <c r="L366" s="25">
        <f>38310.96/26</f>
        <v>1473.4984615384615</v>
      </c>
      <c r="M366" s="25"/>
      <c r="N366" s="68">
        <v>2</v>
      </c>
      <c r="O366" s="22"/>
      <c r="P366" s="291">
        <v>191.1</v>
      </c>
      <c r="Q366" s="273">
        <f t="shared" si="30"/>
        <v>382.2</v>
      </c>
      <c r="R366" s="35"/>
      <c r="S366" s="273">
        <v>382.2</v>
      </c>
      <c r="T366" s="273"/>
      <c r="U366" s="299">
        <f t="shared" si="31"/>
        <v>0</v>
      </c>
      <c r="V366" s="22" t="s">
        <v>956</v>
      </c>
      <c r="W366" s="22" t="s">
        <v>957</v>
      </c>
      <c r="X366" s="22"/>
      <c r="Y366" s="22"/>
      <c r="Z366" s="29">
        <v>43283</v>
      </c>
      <c r="AA366" s="29"/>
      <c r="AB366" s="29">
        <v>43315</v>
      </c>
      <c r="AC366" s="29">
        <v>43385</v>
      </c>
      <c r="AD366" s="29"/>
      <c r="AE366" s="29"/>
      <c r="AF366" s="22" t="s">
        <v>958</v>
      </c>
      <c r="AG366" s="29" t="s">
        <v>98</v>
      </c>
      <c r="AH366" s="143">
        <f t="shared" si="32"/>
        <v>1473.4984615384615</v>
      </c>
      <c r="AI366" s="144"/>
      <c r="AJ366" s="143"/>
      <c r="AK366" s="143"/>
      <c r="AL366" s="143"/>
      <c r="AM366" s="143"/>
      <c r="AN366" s="143"/>
      <c r="AO366" s="143"/>
      <c r="AP366" s="143"/>
      <c r="AQ366" s="143"/>
      <c r="AR366" s="143"/>
    </row>
    <row r="367" spans="1:44" ht="25.5" customHeight="1" x14ac:dyDescent="0.25">
      <c r="A367" s="141" t="s">
        <v>953</v>
      </c>
      <c r="B367" s="352">
        <v>3</v>
      </c>
      <c r="C367" s="289">
        <v>5</v>
      </c>
      <c r="D367" s="382" t="s">
        <v>86</v>
      </c>
      <c r="E367" s="65"/>
      <c r="F367" s="22"/>
      <c r="G367" s="33" t="s">
        <v>965</v>
      </c>
      <c r="H367" s="33" t="s">
        <v>955</v>
      </c>
      <c r="I367" s="139" t="s">
        <v>941</v>
      </c>
      <c r="J367" s="22"/>
      <c r="K367" s="139" t="s">
        <v>966</v>
      </c>
      <c r="L367" s="25"/>
      <c r="M367" s="25"/>
      <c r="N367" s="68">
        <v>4</v>
      </c>
      <c r="O367" s="22"/>
      <c r="P367" s="291">
        <v>319.2</v>
      </c>
      <c r="Q367" s="273">
        <f t="shared" si="30"/>
        <v>1276.8</v>
      </c>
      <c r="R367" s="35"/>
      <c r="S367" s="273">
        <v>1276.8</v>
      </c>
      <c r="T367" s="273"/>
      <c r="U367" s="299">
        <f t="shared" si="31"/>
        <v>0</v>
      </c>
      <c r="V367" s="22" t="s">
        <v>956</v>
      </c>
      <c r="W367" s="22" t="s">
        <v>957</v>
      </c>
      <c r="X367" s="22"/>
      <c r="Y367" s="22"/>
      <c r="Z367" s="29">
        <v>43283</v>
      </c>
      <c r="AA367" s="29"/>
      <c r="AB367" s="29">
        <v>43315</v>
      </c>
      <c r="AC367" s="29">
        <v>43385</v>
      </c>
      <c r="AD367" s="29"/>
      <c r="AE367" s="29"/>
      <c r="AF367" s="22" t="s">
        <v>958</v>
      </c>
      <c r="AG367" s="29" t="s">
        <v>98</v>
      </c>
      <c r="AH367" s="143">
        <f t="shared" si="32"/>
        <v>1473.4984615384615</v>
      </c>
      <c r="AI367" s="144"/>
      <c r="AJ367" s="143"/>
      <c r="AK367" s="143"/>
      <c r="AL367" s="143"/>
      <c r="AM367" s="143"/>
      <c r="AN367" s="143"/>
      <c r="AO367" s="143"/>
      <c r="AP367" s="143"/>
      <c r="AQ367" s="143"/>
      <c r="AR367" s="143"/>
    </row>
    <row r="368" spans="1:44" ht="25.5" customHeight="1" x14ac:dyDescent="0.25">
      <c r="A368" s="141" t="s">
        <v>953</v>
      </c>
      <c r="B368" s="352">
        <v>3</v>
      </c>
      <c r="C368" s="289">
        <v>5</v>
      </c>
      <c r="D368" s="382" t="s">
        <v>86</v>
      </c>
      <c r="E368" s="65"/>
      <c r="F368" s="22"/>
      <c r="G368" s="33" t="s">
        <v>967</v>
      </c>
      <c r="H368" s="33" t="s">
        <v>955</v>
      </c>
      <c r="I368" s="139" t="s">
        <v>941</v>
      </c>
      <c r="J368" s="22"/>
      <c r="K368" s="139">
        <v>46260</v>
      </c>
      <c r="L368" s="25"/>
      <c r="M368" s="25"/>
      <c r="N368" s="68">
        <v>2</v>
      </c>
      <c r="O368" s="22"/>
      <c r="P368" s="291">
        <v>128.80000000000001</v>
      </c>
      <c r="Q368" s="273">
        <f t="shared" si="30"/>
        <v>257.60000000000002</v>
      </c>
      <c r="R368" s="35"/>
      <c r="S368" s="273">
        <v>257.60000000000002</v>
      </c>
      <c r="T368" s="273"/>
      <c r="U368" s="299">
        <f t="shared" si="31"/>
        <v>0</v>
      </c>
      <c r="V368" s="22" t="s">
        <v>956</v>
      </c>
      <c r="W368" s="22" t="s">
        <v>957</v>
      </c>
      <c r="X368" s="22"/>
      <c r="Y368" s="22"/>
      <c r="Z368" s="29">
        <v>43283</v>
      </c>
      <c r="AA368" s="29"/>
      <c r="AB368" s="29">
        <v>43315</v>
      </c>
      <c r="AC368" s="29">
        <v>43385</v>
      </c>
      <c r="AD368" s="29"/>
      <c r="AE368" s="29"/>
      <c r="AF368" s="22" t="s">
        <v>958</v>
      </c>
      <c r="AG368" s="29" t="s">
        <v>98</v>
      </c>
      <c r="AH368" s="143">
        <f t="shared" si="32"/>
        <v>1473.4984615384615</v>
      </c>
      <c r="AI368" s="144"/>
      <c r="AJ368" s="143"/>
      <c r="AK368" s="143"/>
      <c r="AL368" s="143"/>
      <c r="AM368" s="143"/>
      <c r="AN368" s="143"/>
      <c r="AO368" s="143"/>
      <c r="AP368" s="143"/>
      <c r="AQ368" s="143"/>
      <c r="AR368" s="143"/>
    </row>
    <row r="369" spans="1:44" ht="25.5" customHeight="1" x14ac:dyDescent="0.25">
      <c r="A369" s="141" t="s">
        <v>953</v>
      </c>
      <c r="B369" s="352">
        <v>3</v>
      </c>
      <c r="C369" s="289">
        <v>5</v>
      </c>
      <c r="D369" s="382" t="s">
        <v>86</v>
      </c>
      <c r="E369" s="65"/>
      <c r="F369" s="22"/>
      <c r="G369" s="33" t="s">
        <v>973</v>
      </c>
      <c r="H369" s="33" t="s">
        <v>955</v>
      </c>
      <c r="I369" s="139" t="s">
        <v>941</v>
      </c>
      <c r="J369" s="22"/>
      <c r="K369" s="139">
        <v>64402</v>
      </c>
      <c r="L369" s="65"/>
      <c r="M369" s="25"/>
      <c r="N369" s="68">
        <v>3</v>
      </c>
      <c r="O369" s="22"/>
      <c r="P369" s="291">
        <v>103.6</v>
      </c>
      <c r="Q369" s="273">
        <f t="shared" si="30"/>
        <v>310.79999999999995</v>
      </c>
      <c r="R369" s="35"/>
      <c r="S369" s="273">
        <v>310.8</v>
      </c>
      <c r="T369" s="273"/>
      <c r="U369" s="299">
        <f t="shared" si="31"/>
        <v>0</v>
      </c>
      <c r="V369" s="22" t="s">
        <v>956</v>
      </c>
      <c r="W369" s="22" t="s">
        <v>957</v>
      </c>
      <c r="X369" s="22"/>
      <c r="Y369" s="22"/>
      <c r="Z369" s="29">
        <v>43283</v>
      </c>
      <c r="AA369" s="29"/>
      <c r="AB369" s="29">
        <v>43315</v>
      </c>
      <c r="AC369" s="29">
        <v>43385</v>
      </c>
      <c r="AD369" s="29"/>
      <c r="AE369" s="29"/>
      <c r="AF369" s="22" t="s">
        <v>958</v>
      </c>
      <c r="AG369" s="29" t="s">
        <v>98</v>
      </c>
      <c r="AH369" s="143">
        <f t="shared" si="32"/>
        <v>1473.4984615384615</v>
      </c>
      <c r="AI369" s="144"/>
      <c r="AJ369" s="143"/>
      <c r="AK369" s="143"/>
      <c r="AL369" s="143"/>
      <c r="AM369" s="143"/>
      <c r="AN369" s="143"/>
      <c r="AO369" s="143"/>
      <c r="AP369" s="143"/>
      <c r="AQ369" s="143"/>
      <c r="AR369" s="143"/>
    </row>
    <row r="370" spans="1:44" ht="25.5" customHeight="1" x14ac:dyDescent="0.25">
      <c r="A370" s="141" t="s">
        <v>953</v>
      </c>
      <c r="B370" s="352">
        <v>3</v>
      </c>
      <c r="C370" s="289">
        <v>5</v>
      </c>
      <c r="D370" s="382" t="s">
        <v>86</v>
      </c>
      <c r="E370" s="65"/>
      <c r="F370" s="22"/>
      <c r="G370" s="33" t="s">
        <v>974</v>
      </c>
      <c r="H370" s="33" t="s">
        <v>955</v>
      </c>
      <c r="I370" s="139" t="s">
        <v>941</v>
      </c>
      <c r="J370" s="22"/>
      <c r="K370" s="139" t="s">
        <v>975</v>
      </c>
      <c r="L370" s="25"/>
      <c r="M370" s="25"/>
      <c r="N370" s="68">
        <v>3</v>
      </c>
      <c r="O370" s="22"/>
      <c r="P370" s="291">
        <v>388.97</v>
      </c>
      <c r="Q370" s="273">
        <f t="shared" si="30"/>
        <v>1166.9100000000001</v>
      </c>
      <c r="R370" s="35"/>
      <c r="S370" s="273">
        <v>1166.9100000000001</v>
      </c>
      <c r="T370" s="273"/>
      <c r="U370" s="299">
        <f t="shared" si="31"/>
        <v>0</v>
      </c>
      <c r="V370" s="22" t="s">
        <v>956</v>
      </c>
      <c r="W370" s="22" t="s">
        <v>957</v>
      </c>
      <c r="X370" s="22"/>
      <c r="Y370" s="22"/>
      <c r="Z370" s="29">
        <v>43283</v>
      </c>
      <c r="AA370" s="29"/>
      <c r="AB370" s="29">
        <v>43315</v>
      </c>
      <c r="AC370" s="29">
        <v>43385</v>
      </c>
      <c r="AD370" s="29"/>
      <c r="AE370" s="29"/>
      <c r="AF370" s="22" t="s">
        <v>958</v>
      </c>
      <c r="AG370" s="29" t="s">
        <v>98</v>
      </c>
      <c r="AH370" s="143">
        <f t="shared" si="32"/>
        <v>1473.4984615384615</v>
      </c>
      <c r="AI370" s="144"/>
      <c r="AJ370" s="143"/>
      <c r="AK370" s="143"/>
      <c r="AL370" s="143"/>
      <c r="AM370" s="143"/>
      <c r="AN370" s="143"/>
      <c r="AO370" s="143"/>
      <c r="AP370" s="143"/>
      <c r="AQ370" s="143"/>
      <c r="AR370" s="143"/>
    </row>
    <row r="371" spans="1:44" ht="27.6" customHeight="1" x14ac:dyDescent="0.25">
      <c r="A371" s="141" t="s">
        <v>953</v>
      </c>
      <c r="B371" s="352">
        <v>3</v>
      </c>
      <c r="C371" s="289">
        <v>5</v>
      </c>
      <c r="D371" s="382" t="s">
        <v>86</v>
      </c>
      <c r="E371" s="65"/>
      <c r="F371" s="22"/>
      <c r="G371" s="33" t="s">
        <v>954</v>
      </c>
      <c r="H371" s="33" t="s">
        <v>955</v>
      </c>
      <c r="I371" s="139" t="s">
        <v>941</v>
      </c>
      <c r="J371" s="22"/>
      <c r="K371" s="139">
        <v>48018</v>
      </c>
      <c r="L371" s="25"/>
      <c r="M371" s="25"/>
      <c r="N371" s="68">
        <v>1</v>
      </c>
      <c r="O371" s="22"/>
      <c r="P371" s="291">
        <v>347.9</v>
      </c>
      <c r="Q371" s="273">
        <f t="shared" si="30"/>
        <v>347.9</v>
      </c>
      <c r="R371" s="35"/>
      <c r="S371" s="273">
        <v>347.9</v>
      </c>
      <c r="T371" s="273"/>
      <c r="U371" s="299">
        <f t="shared" si="31"/>
        <v>0</v>
      </c>
      <c r="V371" s="22" t="s">
        <v>956</v>
      </c>
      <c r="W371" s="22" t="s">
        <v>957</v>
      </c>
      <c r="X371" s="22"/>
      <c r="Y371" s="22"/>
      <c r="Z371" s="29">
        <v>43283</v>
      </c>
      <c r="AA371" s="29"/>
      <c r="AB371" s="29">
        <v>43315</v>
      </c>
      <c r="AC371" s="29">
        <v>43385</v>
      </c>
      <c r="AD371" s="29"/>
      <c r="AE371" s="29"/>
      <c r="AF371" s="22" t="s">
        <v>958</v>
      </c>
      <c r="AG371" s="29" t="s">
        <v>98</v>
      </c>
      <c r="AH371" s="143">
        <f t="shared" si="32"/>
        <v>1473.4984615384615</v>
      </c>
      <c r="AI371" s="144"/>
      <c r="AJ371" s="143"/>
      <c r="AK371" s="143"/>
      <c r="AL371" s="143"/>
      <c r="AM371" s="143"/>
      <c r="AN371" s="143"/>
      <c r="AO371" s="143"/>
      <c r="AP371" s="143"/>
      <c r="AQ371" s="143"/>
      <c r="AR371" s="143"/>
    </row>
    <row r="372" spans="1:44" ht="12.75" customHeight="1" x14ac:dyDescent="0.25">
      <c r="A372" s="141" t="s">
        <v>953</v>
      </c>
      <c r="B372" s="352">
        <v>3</v>
      </c>
      <c r="C372" s="289">
        <v>5</v>
      </c>
      <c r="D372" s="382" t="s">
        <v>86</v>
      </c>
      <c r="E372" s="65"/>
      <c r="F372" s="22"/>
      <c r="G372" s="33" t="s">
        <v>976</v>
      </c>
      <c r="H372" s="33" t="s">
        <v>955</v>
      </c>
      <c r="I372" s="139" t="s">
        <v>941</v>
      </c>
      <c r="J372" s="22"/>
      <c r="K372" s="139">
        <v>48113</v>
      </c>
      <c r="L372" s="25"/>
      <c r="M372" s="25"/>
      <c r="N372" s="68">
        <v>1</v>
      </c>
      <c r="O372" s="22"/>
      <c r="P372" s="291">
        <v>188.3</v>
      </c>
      <c r="Q372" s="273">
        <f t="shared" si="30"/>
        <v>188.3</v>
      </c>
      <c r="R372" s="35"/>
      <c r="S372" s="273">
        <v>188.3</v>
      </c>
      <c r="T372" s="273"/>
      <c r="U372" s="299">
        <f t="shared" si="31"/>
        <v>0</v>
      </c>
      <c r="V372" s="22" t="s">
        <v>956</v>
      </c>
      <c r="W372" s="22" t="s">
        <v>957</v>
      </c>
      <c r="X372" s="22"/>
      <c r="Y372" s="22"/>
      <c r="Z372" s="29">
        <v>43283</v>
      </c>
      <c r="AA372" s="29"/>
      <c r="AB372" s="29">
        <v>43315</v>
      </c>
      <c r="AC372" s="29">
        <v>43385</v>
      </c>
      <c r="AD372" s="29"/>
      <c r="AE372" s="29"/>
      <c r="AF372" s="22" t="s">
        <v>958</v>
      </c>
      <c r="AG372" s="29" t="s">
        <v>98</v>
      </c>
      <c r="AH372" s="143">
        <f t="shared" si="32"/>
        <v>1473.4984615384615</v>
      </c>
      <c r="AI372" s="144"/>
      <c r="AJ372" s="143"/>
      <c r="AK372" s="143"/>
      <c r="AL372" s="143"/>
      <c r="AM372" s="143"/>
      <c r="AN372" s="143"/>
      <c r="AO372" s="143"/>
      <c r="AP372" s="143"/>
      <c r="AQ372" s="143"/>
      <c r="AR372" s="143"/>
    </row>
    <row r="373" spans="1:44" ht="12.75" customHeight="1" x14ac:dyDescent="0.25">
      <c r="A373" s="141" t="s">
        <v>953</v>
      </c>
      <c r="B373" s="352">
        <v>3</v>
      </c>
      <c r="C373" s="289">
        <v>5</v>
      </c>
      <c r="D373" s="382" t="s">
        <v>86</v>
      </c>
      <c r="E373" s="65"/>
      <c r="F373" s="22"/>
      <c r="G373" s="33" t="s">
        <v>977</v>
      </c>
      <c r="H373" s="33" t="s">
        <v>955</v>
      </c>
      <c r="I373" s="139" t="s">
        <v>941</v>
      </c>
      <c r="J373" s="22"/>
      <c r="K373" s="139" t="s">
        <v>978</v>
      </c>
      <c r="L373" s="25"/>
      <c r="M373" s="25"/>
      <c r="N373" s="68">
        <v>1</v>
      </c>
      <c r="O373" s="22"/>
      <c r="P373" s="291">
        <v>474.13</v>
      </c>
      <c r="Q373" s="273">
        <f t="shared" si="30"/>
        <v>474.13</v>
      </c>
      <c r="R373" s="35"/>
      <c r="S373" s="273">
        <v>474.13</v>
      </c>
      <c r="T373" s="273"/>
      <c r="U373" s="299">
        <f t="shared" si="31"/>
        <v>0</v>
      </c>
      <c r="V373" s="22" t="s">
        <v>956</v>
      </c>
      <c r="W373" s="22" t="s">
        <v>957</v>
      </c>
      <c r="X373" s="22"/>
      <c r="Y373" s="22"/>
      <c r="Z373" s="29">
        <v>43283</v>
      </c>
      <c r="AA373" s="29"/>
      <c r="AB373" s="29">
        <v>43315</v>
      </c>
      <c r="AC373" s="29">
        <v>43385</v>
      </c>
      <c r="AD373" s="29"/>
      <c r="AE373" s="29"/>
      <c r="AF373" s="22" t="s">
        <v>958</v>
      </c>
      <c r="AG373" s="29" t="s">
        <v>98</v>
      </c>
      <c r="AH373" s="143">
        <f t="shared" si="32"/>
        <v>1473.4984615384615</v>
      </c>
      <c r="AI373" s="144"/>
      <c r="AJ373" s="143"/>
      <c r="AK373" s="143"/>
      <c r="AL373" s="143"/>
      <c r="AM373" s="143"/>
      <c r="AN373" s="143"/>
      <c r="AO373" s="143"/>
      <c r="AP373" s="143"/>
      <c r="AQ373" s="143"/>
      <c r="AR373" s="143"/>
    </row>
    <row r="374" spans="1:44" ht="12.75" customHeight="1" x14ac:dyDescent="0.25">
      <c r="A374" s="141" t="s">
        <v>953</v>
      </c>
      <c r="B374" s="352">
        <v>3</v>
      </c>
      <c r="C374" s="289">
        <v>5</v>
      </c>
      <c r="D374" s="382" t="s">
        <v>86</v>
      </c>
      <c r="E374" s="65"/>
      <c r="F374" s="22"/>
      <c r="G374" s="33" t="s">
        <v>979</v>
      </c>
      <c r="H374" s="33" t="s">
        <v>955</v>
      </c>
      <c r="I374" s="139" t="s">
        <v>941</v>
      </c>
      <c r="J374" s="22"/>
      <c r="K374" s="139">
        <v>48246</v>
      </c>
      <c r="L374" s="25"/>
      <c r="M374" s="25"/>
      <c r="N374" s="68">
        <v>1</v>
      </c>
      <c r="O374" s="22"/>
      <c r="P374" s="291">
        <v>228.2</v>
      </c>
      <c r="Q374" s="273">
        <f t="shared" si="30"/>
        <v>228.2</v>
      </c>
      <c r="R374" s="35"/>
      <c r="S374" s="273">
        <v>228.2</v>
      </c>
      <c r="T374" s="273"/>
      <c r="U374" s="299">
        <f t="shared" si="31"/>
        <v>0</v>
      </c>
      <c r="V374" s="22" t="s">
        <v>956</v>
      </c>
      <c r="W374" s="22" t="s">
        <v>957</v>
      </c>
      <c r="X374" s="22"/>
      <c r="Y374" s="22"/>
      <c r="Z374" s="29">
        <v>43283</v>
      </c>
      <c r="AA374" s="29"/>
      <c r="AB374" s="29">
        <v>43315</v>
      </c>
      <c r="AC374" s="29">
        <v>43385</v>
      </c>
      <c r="AD374" s="29"/>
      <c r="AE374" s="29"/>
      <c r="AF374" s="22" t="s">
        <v>958</v>
      </c>
      <c r="AG374" s="29" t="s">
        <v>98</v>
      </c>
      <c r="AH374" s="143">
        <f t="shared" si="32"/>
        <v>1473.4984615384615</v>
      </c>
      <c r="AI374" s="144"/>
      <c r="AJ374" s="143"/>
      <c r="AK374" s="143"/>
      <c r="AL374" s="143"/>
      <c r="AM374" s="143"/>
      <c r="AN374" s="143"/>
      <c r="AO374" s="143"/>
      <c r="AP374" s="143"/>
      <c r="AQ374" s="143"/>
      <c r="AR374" s="143"/>
    </row>
    <row r="375" spans="1:44" ht="12.75" customHeight="1" x14ac:dyDescent="0.25">
      <c r="A375" s="141" t="s">
        <v>953</v>
      </c>
      <c r="B375" s="352">
        <v>3</v>
      </c>
      <c r="C375" s="289">
        <v>5</v>
      </c>
      <c r="D375" s="382" t="s">
        <v>86</v>
      </c>
      <c r="E375" s="65"/>
      <c r="F375" s="22"/>
      <c r="G375" s="33" t="s">
        <v>965</v>
      </c>
      <c r="H375" s="33" t="s">
        <v>955</v>
      </c>
      <c r="I375" s="139" t="s">
        <v>941</v>
      </c>
      <c r="J375" s="22"/>
      <c r="K375" s="139" t="s">
        <v>966</v>
      </c>
      <c r="L375" s="25"/>
      <c r="M375" s="25"/>
      <c r="N375" s="68">
        <v>2</v>
      </c>
      <c r="O375" s="22"/>
      <c r="P375" s="291">
        <v>319.2</v>
      </c>
      <c r="Q375" s="273">
        <f t="shared" si="30"/>
        <v>638.4</v>
      </c>
      <c r="R375" s="35"/>
      <c r="S375" s="273">
        <v>638.4</v>
      </c>
      <c r="T375" s="273"/>
      <c r="U375" s="299">
        <f t="shared" si="31"/>
        <v>0</v>
      </c>
      <c r="V375" s="22" t="s">
        <v>956</v>
      </c>
      <c r="W375" s="22" t="s">
        <v>957</v>
      </c>
      <c r="X375" s="22"/>
      <c r="Y375" s="22"/>
      <c r="Z375" s="29">
        <v>43283</v>
      </c>
      <c r="AA375" s="29"/>
      <c r="AB375" s="29">
        <v>43315</v>
      </c>
      <c r="AC375" s="29">
        <v>43385</v>
      </c>
      <c r="AD375" s="29"/>
      <c r="AE375" s="29"/>
      <c r="AF375" s="22" t="s">
        <v>958</v>
      </c>
      <c r="AG375" s="29" t="s">
        <v>98</v>
      </c>
      <c r="AH375" s="143">
        <f t="shared" si="32"/>
        <v>1473.4984615384615</v>
      </c>
      <c r="AI375" s="144"/>
      <c r="AJ375" s="143"/>
      <c r="AK375" s="143"/>
      <c r="AL375" s="143"/>
      <c r="AM375" s="143"/>
      <c r="AN375" s="143"/>
      <c r="AO375" s="143"/>
      <c r="AP375" s="143"/>
      <c r="AQ375" s="143"/>
      <c r="AR375" s="143"/>
    </row>
    <row r="376" spans="1:44" ht="12.75" customHeight="1" x14ac:dyDescent="0.25">
      <c r="A376" s="141" t="s">
        <v>953</v>
      </c>
      <c r="B376" s="352">
        <v>3</v>
      </c>
      <c r="C376" s="289">
        <v>5</v>
      </c>
      <c r="D376" s="382" t="s">
        <v>86</v>
      </c>
      <c r="E376" s="65"/>
      <c r="F376" s="22"/>
      <c r="G376" s="33" t="s">
        <v>967</v>
      </c>
      <c r="H376" s="33" t="s">
        <v>955</v>
      </c>
      <c r="I376" s="139" t="s">
        <v>941</v>
      </c>
      <c r="J376" s="22"/>
      <c r="K376" s="139">
        <v>46260</v>
      </c>
      <c r="L376" s="25"/>
      <c r="M376" s="25"/>
      <c r="N376" s="68">
        <v>1</v>
      </c>
      <c r="O376" s="22"/>
      <c r="P376" s="291">
        <v>128.80000000000001</v>
      </c>
      <c r="Q376" s="273">
        <f t="shared" si="30"/>
        <v>128.80000000000001</v>
      </c>
      <c r="R376" s="35"/>
      <c r="S376" s="273">
        <v>128.80000000000001</v>
      </c>
      <c r="T376" s="273"/>
      <c r="U376" s="299">
        <f t="shared" si="31"/>
        <v>0</v>
      </c>
      <c r="V376" s="22" t="s">
        <v>956</v>
      </c>
      <c r="W376" s="22" t="s">
        <v>957</v>
      </c>
      <c r="X376" s="22"/>
      <c r="Y376" s="22"/>
      <c r="Z376" s="29">
        <v>43283</v>
      </c>
      <c r="AA376" s="29"/>
      <c r="AB376" s="29">
        <v>43315</v>
      </c>
      <c r="AC376" s="29">
        <v>43385</v>
      </c>
      <c r="AD376" s="29"/>
      <c r="AE376" s="29"/>
      <c r="AF376" s="22" t="s">
        <v>958</v>
      </c>
      <c r="AG376" s="29" t="s">
        <v>98</v>
      </c>
      <c r="AH376" s="143">
        <f t="shared" si="32"/>
        <v>1473.4984615384615</v>
      </c>
      <c r="AI376" s="144"/>
      <c r="AJ376" s="143"/>
      <c r="AK376" s="143"/>
      <c r="AL376" s="143"/>
      <c r="AM376" s="143"/>
      <c r="AN376" s="143"/>
      <c r="AO376" s="143"/>
      <c r="AP376" s="143"/>
      <c r="AQ376" s="143"/>
      <c r="AR376" s="143"/>
    </row>
    <row r="377" spans="1:44" ht="27.6" customHeight="1" x14ac:dyDescent="0.25">
      <c r="A377" s="141" t="s">
        <v>953</v>
      </c>
      <c r="B377" s="352">
        <v>3</v>
      </c>
      <c r="C377" s="289">
        <v>5</v>
      </c>
      <c r="D377" s="382" t="s">
        <v>86</v>
      </c>
      <c r="E377" s="65"/>
      <c r="F377" s="22"/>
      <c r="G377" s="33" t="s">
        <v>980</v>
      </c>
      <c r="H377" s="33" t="s">
        <v>955</v>
      </c>
      <c r="I377" s="139" t="s">
        <v>941</v>
      </c>
      <c r="J377" s="22"/>
      <c r="K377" s="139">
        <v>11745</v>
      </c>
      <c r="L377" s="25"/>
      <c r="M377" s="25"/>
      <c r="N377" s="68">
        <v>10</v>
      </c>
      <c r="O377" s="22"/>
      <c r="P377" s="291">
        <v>1132</v>
      </c>
      <c r="Q377" s="273">
        <f t="shared" si="30"/>
        <v>11320</v>
      </c>
      <c r="R377" s="35"/>
      <c r="S377" s="273">
        <v>11320</v>
      </c>
      <c r="T377" s="273"/>
      <c r="U377" s="299">
        <f t="shared" si="31"/>
        <v>0</v>
      </c>
      <c r="V377" s="22" t="s">
        <v>956</v>
      </c>
      <c r="W377" s="22" t="s">
        <v>957</v>
      </c>
      <c r="X377" s="22"/>
      <c r="Y377" s="22"/>
      <c r="Z377" s="29">
        <v>43283</v>
      </c>
      <c r="AA377" s="29"/>
      <c r="AB377" s="29">
        <v>43315</v>
      </c>
      <c r="AC377" s="29">
        <v>43385</v>
      </c>
      <c r="AD377" s="29"/>
      <c r="AE377" s="29"/>
      <c r="AF377" s="22" t="s">
        <v>958</v>
      </c>
      <c r="AG377" s="29" t="s">
        <v>98</v>
      </c>
      <c r="AH377" s="143">
        <f t="shared" si="32"/>
        <v>1473.4984615384615</v>
      </c>
      <c r="AI377" s="144"/>
      <c r="AJ377" s="143"/>
      <c r="AK377" s="143"/>
      <c r="AL377" s="143"/>
      <c r="AM377" s="143"/>
      <c r="AN377" s="143"/>
      <c r="AO377" s="143"/>
      <c r="AP377" s="143"/>
      <c r="AQ377" s="143"/>
      <c r="AR377" s="143"/>
    </row>
    <row r="378" spans="1:44" ht="12.75" customHeight="1" x14ac:dyDescent="0.25">
      <c r="A378" s="141" t="s">
        <v>953</v>
      </c>
      <c r="B378" s="352">
        <v>3</v>
      </c>
      <c r="C378" s="289">
        <v>5</v>
      </c>
      <c r="D378" s="382" t="s">
        <v>86</v>
      </c>
      <c r="E378" s="65"/>
      <c r="F378" s="22"/>
      <c r="G378" s="33" t="s">
        <v>981</v>
      </c>
      <c r="H378" s="33" t="s">
        <v>955</v>
      </c>
      <c r="I378" s="139" t="s">
        <v>941</v>
      </c>
      <c r="J378" s="22"/>
      <c r="K378" s="139">
        <v>1</v>
      </c>
      <c r="L378" s="25"/>
      <c r="M378" s="25"/>
      <c r="N378" s="68">
        <v>1</v>
      </c>
      <c r="O378" s="22"/>
      <c r="P378" s="291">
        <v>2988</v>
      </c>
      <c r="Q378" s="273">
        <f t="shared" si="30"/>
        <v>2988</v>
      </c>
      <c r="R378" s="35"/>
      <c r="S378" s="273">
        <v>2988</v>
      </c>
      <c r="T378" s="273"/>
      <c r="U378" s="299">
        <f t="shared" si="31"/>
        <v>0</v>
      </c>
      <c r="V378" s="22" t="s">
        <v>956</v>
      </c>
      <c r="W378" s="22" t="s">
        <v>957</v>
      </c>
      <c r="X378" s="22"/>
      <c r="Y378" s="22"/>
      <c r="Z378" s="29">
        <v>43283</v>
      </c>
      <c r="AA378" s="29"/>
      <c r="AB378" s="29">
        <v>43315</v>
      </c>
      <c r="AC378" s="29">
        <v>43385</v>
      </c>
      <c r="AD378" s="29"/>
      <c r="AE378" s="29"/>
      <c r="AF378" s="22" t="s">
        <v>958</v>
      </c>
      <c r="AG378" s="29" t="s">
        <v>98</v>
      </c>
      <c r="AH378" s="143">
        <f t="shared" si="32"/>
        <v>1473.4984615384615</v>
      </c>
      <c r="AI378" s="144"/>
      <c r="AJ378" s="143"/>
      <c r="AK378" s="143"/>
      <c r="AL378" s="143"/>
      <c r="AM378" s="143"/>
      <c r="AN378" s="143"/>
      <c r="AO378" s="143"/>
      <c r="AP378" s="143"/>
      <c r="AQ378" s="143"/>
      <c r="AR378" s="143"/>
    </row>
    <row r="379" spans="1:44" ht="12.75" customHeight="1" x14ac:dyDescent="0.25">
      <c r="A379" s="141" t="s">
        <v>953</v>
      </c>
      <c r="B379" s="352">
        <v>3</v>
      </c>
      <c r="C379" s="289">
        <v>5</v>
      </c>
      <c r="D379" s="382" t="s">
        <v>86</v>
      </c>
      <c r="E379" s="65"/>
      <c r="F379" s="22"/>
      <c r="G379" s="33" t="s">
        <v>982</v>
      </c>
      <c r="H379" s="33" t="s">
        <v>955</v>
      </c>
      <c r="I379" s="139" t="s">
        <v>941</v>
      </c>
      <c r="J379" s="22"/>
      <c r="K379" s="139">
        <v>10202</v>
      </c>
      <c r="L379" s="25"/>
      <c r="M379" s="25"/>
      <c r="N379" s="68">
        <v>1</v>
      </c>
      <c r="O379" s="22"/>
      <c r="P379" s="291">
        <v>5353</v>
      </c>
      <c r="Q379" s="273">
        <f t="shared" si="30"/>
        <v>5353</v>
      </c>
      <c r="R379" s="35"/>
      <c r="S379" s="273">
        <v>5353</v>
      </c>
      <c r="T379" s="273"/>
      <c r="U379" s="299">
        <f t="shared" si="31"/>
        <v>0</v>
      </c>
      <c r="V379" s="22" t="s">
        <v>956</v>
      </c>
      <c r="W379" s="22" t="s">
        <v>957</v>
      </c>
      <c r="X379" s="22"/>
      <c r="Y379" s="22"/>
      <c r="Z379" s="29">
        <v>43283</v>
      </c>
      <c r="AA379" s="29"/>
      <c r="AB379" s="29">
        <v>43315</v>
      </c>
      <c r="AC379" s="29">
        <v>43385</v>
      </c>
      <c r="AD379" s="29"/>
      <c r="AE379" s="29"/>
      <c r="AF379" s="22" t="s">
        <v>958</v>
      </c>
      <c r="AG379" s="29" t="s">
        <v>98</v>
      </c>
      <c r="AH379" s="143">
        <f t="shared" si="32"/>
        <v>1473.4984615384615</v>
      </c>
      <c r="AI379" s="144"/>
      <c r="AJ379" s="143"/>
      <c r="AK379" s="143"/>
      <c r="AL379" s="143"/>
      <c r="AM379" s="143"/>
      <c r="AN379" s="143"/>
      <c r="AO379" s="143"/>
      <c r="AP379" s="143"/>
      <c r="AQ379" s="143"/>
      <c r="AR379" s="143"/>
    </row>
    <row r="380" spans="1:44" ht="12.75" customHeight="1" x14ac:dyDescent="0.25">
      <c r="A380" s="141" t="s">
        <v>983</v>
      </c>
      <c r="B380" s="352">
        <v>3</v>
      </c>
      <c r="C380" s="289">
        <v>5</v>
      </c>
      <c r="D380" s="382" t="s">
        <v>86</v>
      </c>
      <c r="E380" s="65"/>
      <c r="F380" s="22"/>
      <c r="G380" s="33" t="s">
        <v>984</v>
      </c>
      <c r="H380" s="33" t="s">
        <v>985</v>
      </c>
      <c r="I380" s="139" t="s">
        <v>941</v>
      </c>
      <c r="J380" s="22"/>
      <c r="K380" s="139"/>
      <c r="L380" s="25"/>
      <c r="M380" s="25"/>
      <c r="N380" s="290">
        <v>1</v>
      </c>
      <c r="O380" s="22"/>
      <c r="P380" s="291">
        <v>6779</v>
      </c>
      <c r="Q380" s="273">
        <f t="shared" si="30"/>
        <v>6779</v>
      </c>
      <c r="R380" s="35"/>
      <c r="S380" s="273">
        <v>6779</v>
      </c>
      <c r="T380" s="273"/>
      <c r="U380" s="299">
        <f t="shared" si="31"/>
        <v>0</v>
      </c>
      <c r="V380" s="22" t="s">
        <v>986</v>
      </c>
      <c r="W380" s="22" t="s">
        <v>987</v>
      </c>
      <c r="X380" s="22"/>
      <c r="Y380" s="22"/>
      <c r="Z380" s="29">
        <v>43272</v>
      </c>
      <c r="AA380" s="29"/>
      <c r="AB380" s="29">
        <v>43287</v>
      </c>
      <c r="AC380" s="29">
        <v>43283</v>
      </c>
      <c r="AD380" s="29"/>
      <c r="AE380" s="29"/>
      <c r="AF380" s="22" t="s">
        <v>958</v>
      </c>
      <c r="AG380" s="29" t="s">
        <v>98</v>
      </c>
      <c r="AH380" s="519">
        <v>6779</v>
      </c>
      <c r="AI380" s="144"/>
      <c r="AJ380" s="143"/>
      <c r="AK380" s="143"/>
      <c r="AL380" s="143"/>
      <c r="AM380" s="143"/>
      <c r="AN380" s="143"/>
      <c r="AO380" s="143"/>
      <c r="AP380" s="143"/>
      <c r="AQ380" s="143"/>
      <c r="AR380" s="143"/>
    </row>
    <row r="381" spans="1:44" ht="12.6" customHeight="1" x14ac:dyDescent="0.25">
      <c r="A381" s="141"/>
      <c r="B381" s="352">
        <v>3</v>
      </c>
      <c r="C381" s="289">
        <v>5</v>
      </c>
      <c r="D381" s="382" t="s">
        <v>86</v>
      </c>
      <c r="E381" s="65"/>
      <c r="F381" s="22"/>
      <c r="G381" s="33" t="s">
        <v>988</v>
      </c>
      <c r="H381" s="33" t="s">
        <v>985</v>
      </c>
      <c r="I381" s="33"/>
      <c r="J381" s="22"/>
      <c r="K381" s="139"/>
      <c r="L381" s="25"/>
      <c r="M381" s="25"/>
      <c r="N381" s="290">
        <v>1</v>
      </c>
      <c r="O381" s="22"/>
      <c r="P381" s="291">
        <v>338.95</v>
      </c>
      <c r="Q381" s="273">
        <f t="shared" si="30"/>
        <v>338.95</v>
      </c>
      <c r="R381" s="35"/>
      <c r="S381" s="273">
        <v>339</v>
      </c>
      <c r="T381" s="273"/>
      <c r="U381" s="299">
        <f t="shared" si="31"/>
        <v>-5.0000000000011369E-2</v>
      </c>
      <c r="V381" s="22" t="s">
        <v>986</v>
      </c>
      <c r="W381" s="22" t="s">
        <v>987</v>
      </c>
      <c r="X381" s="22"/>
      <c r="Y381" s="22"/>
      <c r="Z381" s="29">
        <v>43272</v>
      </c>
      <c r="AA381" s="29"/>
      <c r="AB381" s="29">
        <v>43287</v>
      </c>
      <c r="AC381" s="29">
        <v>43283</v>
      </c>
      <c r="AD381" s="29"/>
      <c r="AE381" s="29"/>
      <c r="AF381" s="22" t="s">
        <v>958</v>
      </c>
      <c r="AG381" s="29" t="s">
        <v>98</v>
      </c>
      <c r="AH381" s="519">
        <v>339</v>
      </c>
      <c r="AI381" s="144"/>
      <c r="AJ381" s="143"/>
      <c r="AK381" s="143"/>
      <c r="AL381" s="143"/>
      <c r="AM381" s="143"/>
      <c r="AN381" s="143"/>
      <c r="AO381" s="143"/>
      <c r="AP381" s="143"/>
      <c r="AQ381" s="143"/>
      <c r="AR381" s="143"/>
    </row>
    <row r="382" spans="1:44" ht="12.75" customHeight="1" x14ac:dyDescent="0.25">
      <c r="A382" s="141" t="s">
        <v>823</v>
      </c>
      <c r="B382" s="352">
        <v>3</v>
      </c>
      <c r="C382" s="289">
        <v>5</v>
      </c>
      <c r="D382" s="382" t="s">
        <v>86</v>
      </c>
      <c r="E382" s="65"/>
      <c r="F382" s="22"/>
      <c r="G382" s="33" t="s">
        <v>989</v>
      </c>
      <c r="H382" s="33" t="s">
        <v>990</v>
      </c>
      <c r="I382" s="139" t="s">
        <v>941</v>
      </c>
      <c r="J382" s="22"/>
      <c r="K382" s="139" t="s">
        <v>991</v>
      </c>
      <c r="L382" s="25"/>
      <c r="M382" s="25"/>
      <c r="N382" s="290">
        <v>2</v>
      </c>
      <c r="O382" s="22"/>
      <c r="P382" s="300">
        <v>3693</v>
      </c>
      <c r="Q382" s="273">
        <f t="shared" si="30"/>
        <v>7386</v>
      </c>
      <c r="R382" s="35"/>
      <c r="S382" s="273">
        <v>7386</v>
      </c>
      <c r="T382" s="273"/>
      <c r="U382" s="299">
        <f t="shared" ref="U382:U384" si="33">Q382-S382</f>
        <v>0</v>
      </c>
      <c r="V382" s="22" t="s">
        <v>992</v>
      </c>
      <c r="W382" s="22" t="s">
        <v>993</v>
      </c>
      <c r="X382" s="22"/>
      <c r="Y382" s="22"/>
      <c r="Z382" s="29">
        <v>43332</v>
      </c>
      <c r="AA382" s="29"/>
      <c r="AB382" s="29">
        <v>43511</v>
      </c>
      <c r="AC382" s="29"/>
      <c r="AD382" s="29"/>
      <c r="AE382" s="29"/>
      <c r="AF382" s="22" t="s">
        <v>958</v>
      </c>
      <c r="AG382" s="29" t="s">
        <v>914</v>
      </c>
      <c r="AH382" s="519"/>
      <c r="AI382" s="144"/>
      <c r="AJ382" s="143"/>
      <c r="AK382" s="143"/>
      <c r="AL382" s="143"/>
      <c r="AM382" s="143">
        <f>S382</f>
        <v>7386</v>
      </c>
      <c r="AN382" s="143"/>
      <c r="AO382" s="143"/>
      <c r="AP382" s="143"/>
      <c r="AQ382" s="143"/>
      <c r="AR382" s="143"/>
    </row>
    <row r="383" spans="1:44" ht="14.25" customHeight="1" x14ac:dyDescent="0.35">
      <c r="A383" s="141"/>
      <c r="B383" s="352">
        <v>3</v>
      </c>
      <c r="C383" s="289">
        <v>5</v>
      </c>
      <c r="D383" s="382" t="s">
        <v>86</v>
      </c>
      <c r="E383" s="65"/>
      <c r="F383" s="22"/>
      <c r="G383" s="33" t="s">
        <v>994</v>
      </c>
      <c r="H383" s="33" t="s">
        <v>990</v>
      </c>
      <c r="I383" s="139" t="s">
        <v>941</v>
      </c>
      <c r="J383" s="22"/>
      <c r="K383" s="139"/>
      <c r="L383" s="25"/>
      <c r="M383" s="25"/>
      <c r="N383" s="290"/>
      <c r="O383" s="22"/>
      <c r="P383" s="301">
        <v>48</v>
      </c>
      <c r="Q383" s="273">
        <v>48</v>
      </c>
      <c r="R383" s="35"/>
      <c r="S383" s="273">
        <v>0</v>
      </c>
      <c r="T383" s="273"/>
      <c r="U383" s="299">
        <f t="shared" si="33"/>
        <v>48</v>
      </c>
      <c r="V383" s="22" t="s">
        <v>992</v>
      </c>
      <c r="W383" s="22" t="s">
        <v>993</v>
      </c>
      <c r="X383" s="22"/>
      <c r="Y383" s="22"/>
      <c r="Z383" s="29">
        <v>43332</v>
      </c>
      <c r="AA383" s="29"/>
      <c r="AB383" s="29">
        <v>43511</v>
      </c>
      <c r="AC383" s="29"/>
      <c r="AD383" s="29"/>
      <c r="AE383" s="29"/>
      <c r="AF383" s="22" t="s">
        <v>958</v>
      </c>
      <c r="AG383" s="29" t="s">
        <v>914</v>
      </c>
      <c r="AH383" s="519"/>
      <c r="AI383" s="144"/>
      <c r="AJ383" s="143"/>
      <c r="AK383" s="143"/>
      <c r="AL383" s="143"/>
      <c r="AM383" s="143">
        <f t="shared" ref="AM383:AM384" si="34">S383</f>
        <v>0</v>
      </c>
      <c r="AN383" s="143"/>
      <c r="AO383" s="143"/>
      <c r="AP383" s="143"/>
      <c r="AQ383" s="143"/>
      <c r="AR383" s="143"/>
    </row>
    <row r="384" spans="1:44" ht="12.75" customHeight="1" x14ac:dyDescent="0.25">
      <c r="A384" s="141" t="s">
        <v>823</v>
      </c>
      <c r="B384" s="352">
        <v>3</v>
      </c>
      <c r="C384" s="289">
        <v>5</v>
      </c>
      <c r="D384" s="382" t="s">
        <v>86</v>
      </c>
      <c r="E384" s="65"/>
      <c r="F384" s="22"/>
      <c r="G384" s="33" t="s">
        <v>995</v>
      </c>
      <c r="H384" s="33" t="s">
        <v>990</v>
      </c>
      <c r="I384" s="139" t="s">
        <v>941</v>
      </c>
      <c r="J384" s="22"/>
      <c r="K384" s="139" t="s">
        <v>996</v>
      </c>
      <c r="L384" s="25"/>
      <c r="M384" s="25"/>
      <c r="N384" s="290">
        <v>2</v>
      </c>
      <c r="O384" s="22"/>
      <c r="P384" s="291">
        <v>146</v>
      </c>
      <c r="Q384" s="273">
        <f>N384*P384</f>
        <v>292</v>
      </c>
      <c r="R384" s="35"/>
      <c r="S384" s="273">
        <v>292</v>
      </c>
      <c r="T384" s="273"/>
      <c r="U384" s="299">
        <f t="shared" si="33"/>
        <v>0</v>
      </c>
      <c r="V384" s="22" t="s">
        <v>992</v>
      </c>
      <c r="W384" s="22" t="s">
        <v>993</v>
      </c>
      <c r="X384" s="22"/>
      <c r="Y384" s="22"/>
      <c r="Z384" s="29">
        <v>43332</v>
      </c>
      <c r="AA384" s="29"/>
      <c r="AB384" s="29">
        <v>43511</v>
      </c>
      <c r="AC384" s="29"/>
      <c r="AD384" s="29"/>
      <c r="AE384" s="29"/>
      <c r="AF384" s="22" t="s">
        <v>958</v>
      </c>
      <c r="AG384" s="29" t="s">
        <v>914</v>
      </c>
      <c r="AH384" s="519"/>
      <c r="AI384" s="144"/>
      <c r="AJ384" s="143"/>
      <c r="AK384" s="143"/>
      <c r="AL384" s="143"/>
      <c r="AM384" s="143">
        <f t="shared" si="34"/>
        <v>292</v>
      </c>
      <c r="AN384" s="143"/>
      <c r="AO384" s="143"/>
      <c r="AP384" s="143"/>
      <c r="AQ384" s="143"/>
      <c r="AR384" s="143"/>
    </row>
    <row r="385" spans="1:44" ht="43.5" customHeight="1" x14ac:dyDescent="0.25">
      <c r="A385" s="93" t="s">
        <v>997</v>
      </c>
      <c r="B385" s="352">
        <v>3</v>
      </c>
      <c r="C385" s="289">
        <v>5</v>
      </c>
      <c r="D385" s="382" t="s">
        <v>86</v>
      </c>
      <c r="E385" s="65"/>
      <c r="F385" s="22"/>
      <c r="G385" s="33" t="s">
        <v>998</v>
      </c>
      <c r="H385" s="33" t="s">
        <v>999</v>
      </c>
      <c r="I385" s="25" t="s">
        <v>941</v>
      </c>
      <c r="J385" s="22"/>
      <c r="K385" s="139" t="s">
        <v>1000</v>
      </c>
      <c r="L385" s="25"/>
      <c r="M385" s="25"/>
      <c r="N385" s="290">
        <v>1</v>
      </c>
      <c r="O385" s="22"/>
      <c r="P385" s="291">
        <v>6485</v>
      </c>
      <c r="Q385" s="273">
        <f>N385*P385</f>
        <v>6485</v>
      </c>
      <c r="R385" s="35"/>
      <c r="S385" s="273">
        <v>6180</v>
      </c>
      <c r="T385" s="273"/>
      <c r="U385" s="273">
        <f>Q385-S385</f>
        <v>305</v>
      </c>
      <c r="V385" s="22" t="s">
        <v>1001</v>
      </c>
      <c r="W385" s="22" t="s">
        <v>1002</v>
      </c>
      <c r="X385" s="22"/>
      <c r="Y385" s="22"/>
      <c r="Z385" s="29">
        <v>43269</v>
      </c>
      <c r="AA385" s="29"/>
      <c r="AB385" s="29">
        <v>43301</v>
      </c>
      <c r="AC385" s="29">
        <v>43304</v>
      </c>
      <c r="AD385" s="29"/>
      <c r="AE385" s="29"/>
      <c r="AF385" s="22" t="s">
        <v>958</v>
      </c>
      <c r="AG385" s="29" t="s">
        <v>98</v>
      </c>
      <c r="AH385" s="519">
        <v>6180</v>
      </c>
      <c r="AI385" s="144"/>
      <c r="AJ385" s="143"/>
      <c r="AK385" s="143"/>
      <c r="AL385" s="143"/>
      <c r="AM385" s="143"/>
      <c r="AN385" s="143"/>
      <c r="AO385" s="143"/>
      <c r="AP385" s="143"/>
      <c r="AQ385" s="143"/>
      <c r="AR385" s="143"/>
    </row>
    <row r="386" spans="1:44" ht="43.5" customHeight="1" x14ac:dyDescent="0.25">
      <c r="A386" s="93"/>
      <c r="B386" s="352">
        <v>3</v>
      </c>
      <c r="C386" s="289">
        <v>5</v>
      </c>
      <c r="D386" s="382" t="s">
        <v>86</v>
      </c>
      <c r="E386" s="65"/>
      <c r="F386" s="22"/>
      <c r="G386" s="33" t="s">
        <v>438</v>
      </c>
      <c r="H386" s="33" t="s">
        <v>999</v>
      </c>
      <c r="I386" s="25"/>
      <c r="J386" s="22"/>
      <c r="K386" s="139" t="s">
        <v>438</v>
      </c>
      <c r="L386" s="25"/>
      <c r="M386" s="25"/>
      <c r="N386" s="290"/>
      <c r="O386" s="22"/>
      <c r="P386" s="291"/>
      <c r="Q386" s="273"/>
      <c r="R386" s="35"/>
      <c r="S386" s="273">
        <v>175</v>
      </c>
      <c r="T386" s="273"/>
      <c r="U386" s="273"/>
      <c r="V386" s="22" t="s">
        <v>1001</v>
      </c>
      <c r="W386" s="22" t="s">
        <v>1002</v>
      </c>
      <c r="X386" s="22"/>
      <c r="Y386" s="22"/>
      <c r="Z386" s="29">
        <v>43269</v>
      </c>
      <c r="AA386" s="29"/>
      <c r="AB386" s="29">
        <v>43301</v>
      </c>
      <c r="AC386" s="29">
        <v>43304</v>
      </c>
      <c r="AD386" s="29"/>
      <c r="AE386" s="29"/>
      <c r="AF386" s="22"/>
      <c r="AG386" s="29" t="s">
        <v>98</v>
      </c>
      <c r="AH386" s="519">
        <v>175</v>
      </c>
      <c r="AI386" s="144"/>
      <c r="AJ386" s="143"/>
      <c r="AK386" s="143"/>
      <c r="AL386" s="143"/>
      <c r="AM386" s="143"/>
      <c r="AN386" s="143"/>
      <c r="AO386" s="143"/>
      <c r="AP386" s="143"/>
      <c r="AQ386" s="143"/>
      <c r="AR386" s="143"/>
    </row>
    <row r="387" spans="1:44" ht="12.6" customHeight="1" x14ac:dyDescent="0.25">
      <c r="A387" s="92" t="s">
        <v>1003</v>
      </c>
      <c r="B387" s="352">
        <v>3</v>
      </c>
      <c r="C387" s="289">
        <v>5</v>
      </c>
      <c r="D387" s="382" t="s">
        <v>86</v>
      </c>
      <c r="E387" s="65"/>
      <c r="F387" s="22"/>
      <c r="G387" s="33" t="s">
        <v>1004</v>
      </c>
      <c r="H387" s="33" t="s">
        <v>1005</v>
      </c>
      <c r="I387" s="33" t="s">
        <v>98</v>
      </c>
      <c r="J387" s="22"/>
      <c r="K387" s="139" t="s">
        <v>1006</v>
      </c>
      <c r="L387" s="25"/>
      <c r="M387" s="25"/>
      <c r="N387" s="290">
        <v>8</v>
      </c>
      <c r="O387" s="22"/>
      <c r="P387" s="291">
        <v>2995</v>
      </c>
      <c r="Q387" s="273">
        <f>N387*P387</f>
        <v>23960</v>
      </c>
      <c r="R387" s="35"/>
      <c r="S387" s="273">
        <v>2995</v>
      </c>
      <c r="T387" s="273"/>
      <c r="U387" s="273">
        <f>Q387-S387</f>
        <v>20965</v>
      </c>
      <c r="V387" s="22" t="s">
        <v>1007</v>
      </c>
      <c r="W387" s="22" t="s">
        <v>1008</v>
      </c>
      <c r="X387" s="22"/>
      <c r="Y387" s="22"/>
      <c r="Z387" s="29">
        <v>43262</v>
      </c>
      <c r="AA387" s="29"/>
      <c r="AB387" s="29">
        <v>43269</v>
      </c>
      <c r="AC387" s="29">
        <v>43342</v>
      </c>
      <c r="AD387" s="29"/>
      <c r="AE387" s="29"/>
      <c r="AF387" s="86" t="s">
        <v>1009</v>
      </c>
      <c r="AG387" s="29" t="s">
        <v>98</v>
      </c>
      <c r="AH387" s="519">
        <v>2995</v>
      </c>
      <c r="AI387" s="144"/>
      <c r="AJ387" s="143"/>
      <c r="AK387" s="143"/>
      <c r="AL387" s="143"/>
      <c r="AM387" s="143"/>
      <c r="AN387" s="143"/>
      <c r="AO387" s="143"/>
      <c r="AP387" s="143"/>
      <c r="AQ387" s="143"/>
      <c r="AR387" s="143"/>
    </row>
    <row r="388" spans="1:44" ht="12.75" customHeight="1" x14ac:dyDescent="0.25">
      <c r="A388" s="92"/>
      <c r="B388" s="352">
        <v>3</v>
      </c>
      <c r="C388" s="289">
        <v>5</v>
      </c>
      <c r="D388" s="382" t="s">
        <v>86</v>
      </c>
      <c r="E388" s="65"/>
      <c r="F388" s="22"/>
      <c r="G388" s="33" t="s">
        <v>1010</v>
      </c>
      <c r="H388" s="33" t="s">
        <v>1005</v>
      </c>
      <c r="I388" s="33" t="s">
        <v>98</v>
      </c>
      <c r="J388" s="22"/>
      <c r="K388" s="139" t="s">
        <v>1011</v>
      </c>
      <c r="L388" s="25"/>
      <c r="M388" s="25"/>
      <c r="N388" s="290">
        <v>1</v>
      </c>
      <c r="O388" s="22"/>
      <c r="P388" s="291">
        <v>115</v>
      </c>
      <c r="Q388" s="273">
        <f>P388*N388</f>
        <v>115</v>
      </c>
      <c r="R388" s="35"/>
      <c r="S388" s="273">
        <v>115</v>
      </c>
      <c r="T388" s="273"/>
      <c r="U388" s="273">
        <f>Q388-S388</f>
        <v>0</v>
      </c>
      <c r="V388" s="22" t="s">
        <v>1007</v>
      </c>
      <c r="W388" s="22" t="s">
        <v>1008</v>
      </c>
      <c r="X388" s="22"/>
      <c r="Y388" s="22"/>
      <c r="Z388" s="29">
        <v>43262</v>
      </c>
      <c r="AA388" s="29"/>
      <c r="AB388" s="29">
        <v>43269</v>
      </c>
      <c r="AC388" s="29">
        <v>43342</v>
      </c>
      <c r="AD388" s="29"/>
      <c r="AE388" s="29"/>
      <c r="AF388" s="86" t="s">
        <v>1009</v>
      </c>
      <c r="AG388" s="29" t="s">
        <v>98</v>
      </c>
      <c r="AH388" s="519">
        <v>115</v>
      </c>
      <c r="AI388" s="144"/>
      <c r="AJ388" s="143"/>
      <c r="AK388" s="143"/>
      <c r="AL388" s="143"/>
      <c r="AM388" s="143"/>
      <c r="AN388" s="143"/>
      <c r="AO388" s="143"/>
      <c r="AP388" s="143"/>
      <c r="AQ388" s="143"/>
      <c r="AR388" s="143"/>
    </row>
    <row r="389" spans="1:44" ht="23.4" customHeight="1" x14ac:dyDescent="0.25">
      <c r="A389" s="92"/>
      <c r="B389" s="352">
        <v>3</v>
      </c>
      <c r="C389" s="289">
        <v>5</v>
      </c>
      <c r="D389" s="382" t="s">
        <v>86</v>
      </c>
      <c r="E389" s="65"/>
      <c r="F389" s="22"/>
      <c r="G389" s="33" t="s">
        <v>1012</v>
      </c>
      <c r="H389" s="33" t="s">
        <v>1005</v>
      </c>
      <c r="I389" s="33" t="s">
        <v>98</v>
      </c>
      <c r="J389" s="22"/>
      <c r="K389" s="139" t="s">
        <v>1013</v>
      </c>
      <c r="L389" s="25"/>
      <c r="M389" s="25"/>
      <c r="N389" s="290">
        <v>1</v>
      </c>
      <c r="O389" s="22"/>
      <c r="P389" s="291">
        <v>50</v>
      </c>
      <c r="Q389" s="273">
        <f>P389*N389</f>
        <v>50</v>
      </c>
      <c r="R389" s="35"/>
      <c r="S389" s="273">
        <v>50</v>
      </c>
      <c r="T389" s="273"/>
      <c r="U389" s="273">
        <f>Q389-S389</f>
        <v>0</v>
      </c>
      <c r="V389" s="22" t="s">
        <v>1007</v>
      </c>
      <c r="W389" s="22" t="s">
        <v>1008</v>
      </c>
      <c r="X389" s="22"/>
      <c r="Y389" s="22"/>
      <c r="Z389" s="29">
        <v>43262</v>
      </c>
      <c r="AA389" s="29"/>
      <c r="AB389" s="29">
        <v>43269</v>
      </c>
      <c r="AC389" s="29">
        <v>43342</v>
      </c>
      <c r="AD389" s="29"/>
      <c r="AE389" s="29"/>
      <c r="AF389" s="86" t="s">
        <v>1009</v>
      </c>
      <c r="AG389" s="29" t="s">
        <v>98</v>
      </c>
      <c r="AH389" s="519">
        <v>0</v>
      </c>
      <c r="AI389" s="144"/>
      <c r="AJ389" s="143"/>
      <c r="AK389" s="143"/>
      <c r="AL389" s="143"/>
      <c r="AM389" s="143"/>
      <c r="AN389" s="143"/>
      <c r="AO389" s="143"/>
      <c r="AP389" s="143"/>
      <c r="AQ389" s="143"/>
      <c r="AR389" s="143"/>
    </row>
    <row r="390" spans="1:44" ht="23.4" customHeight="1" x14ac:dyDescent="0.25">
      <c r="A390" s="92"/>
      <c r="B390" s="352">
        <v>3</v>
      </c>
      <c r="C390" s="289">
        <v>5</v>
      </c>
      <c r="D390" s="382" t="s">
        <v>86</v>
      </c>
      <c r="E390" s="65"/>
      <c r="F390" s="22"/>
      <c r="G390" s="33" t="s">
        <v>988</v>
      </c>
      <c r="H390" s="33" t="s">
        <v>1005</v>
      </c>
      <c r="I390" s="33" t="s">
        <v>98</v>
      </c>
      <c r="J390" s="22"/>
      <c r="K390" s="139"/>
      <c r="L390" s="25"/>
      <c r="M390" s="25"/>
      <c r="N390" s="290">
        <v>1</v>
      </c>
      <c r="O390" s="22"/>
      <c r="P390" s="291"/>
      <c r="Q390" s="273"/>
      <c r="R390" s="35"/>
      <c r="S390" s="273">
        <v>50</v>
      </c>
      <c r="T390" s="273"/>
      <c r="U390" s="273"/>
      <c r="V390" s="22" t="s">
        <v>1007</v>
      </c>
      <c r="W390" s="22" t="s">
        <v>1008</v>
      </c>
      <c r="X390" s="22"/>
      <c r="Y390" s="22"/>
      <c r="Z390" s="29">
        <v>43262</v>
      </c>
      <c r="AA390" s="29"/>
      <c r="AB390" s="29">
        <v>43269</v>
      </c>
      <c r="AC390" s="29">
        <v>43342</v>
      </c>
      <c r="AD390" s="29"/>
      <c r="AE390" s="29"/>
      <c r="AF390" s="22"/>
      <c r="AG390" s="29" t="s">
        <v>98</v>
      </c>
      <c r="AH390" s="519">
        <v>50</v>
      </c>
      <c r="AI390" s="144"/>
      <c r="AJ390" s="143"/>
      <c r="AK390" s="143"/>
      <c r="AL390" s="143"/>
      <c r="AM390" s="143"/>
      <c r="AN390" s="143"/>
      <c r="AO390" s="143"/>
      <c r="AP390" s="143"/>
      <c r="AQ390" s="143"/>
      <c r="AR390" s="143"/>
    </row>
    <row r="391" spans="1:44" ht="12.75" customHeight="1" x14ac:dyDescent="0.25">
      <c r="A391" s="141" t="s">
        <v>983</v>
      </c>
      <c r="B391" s="352">
        <v>3</v>
      </c>
      <c r="C391" s="289">
        <v>5</v>
      </c>
      <c r="D391" s="382" t="s">
        <v>86</v>
      </c>
      <c r="E391" s="65"/>
      <c r="F391" s="22"/>
      <c r="G391" s="33" t="s">
        <v>1014</v>
      </c>
      <c r="H391" s="33" t="s">
        <v>1015</v>
      </c>
      <c r="I391" s="33" t="s">
        <v>98</v>
      </c>
      <c r="J391" s="22"/>
      <c r="K391" s="139" t="s">
        <v>1016</v>
      </c>
      <c r="L391" s="25"/>
      <c r="M391" s="25"/>
      <c r="N391" s="68">
        <v>8</v>
      </c>
      <c r="O391" s="22"/>
      <c r="P391" s="291">
        <v>330</v>
      </c>
      <c r="Q391" s="273">
        <f>N391*P391</f>
        <v>2640</v>
      </c>
      <c r="R391" s="35"/>
      <c r="S391" s="273">
        <v>2640</v>
      </c>
      <c r="T391" s="273"/>
      <c r="U391" s="273">
        <f>Q391-S391</f>
        <v>0</v>
      </c>
      <c r="V391" s="22" t="s">
        <v>1017</v>
      </c>
      <c r="W391" s="22" t="s">
        <v>1018</v>
      </c>
      <c r="X391" s="22"/>
      <c r="Y391" s="22"/>
      <c r="Z391" s="29">
        <v>43259</v>
      </c>
      <c r="AA391" s="29"/>
      <c r="AB391" s="29">
        <v>43269</v>
      </c>
      <c r="AC391" s="29">
        <v>43270</v>
      </c>
      <c r="AD391" s="29"/>
      <c r="AE391" s="29"/>
      <c r="AF391" s="22" t="s">
        <v>958</v>
      </c>
      <c r="AG391" s="29" t="s">
        <v>98</v>
      </c>
      <c r="AH391" s="519">
        <v>2640</v>
      </c>
      <c r="AI391" s="144"/>
      <c r="AJ391" s="143"/>
      <c r="AK391" s="143"/>
      <c r="AL391" s="143"/>
      <c r="AM391" s="143"/>
      <c r="AN391" s="143"/>
      <c r="AO391" s="143"/>
      <c r="AP391" s="143"/>
      <c r="AQ391" s="143"/>
      <c r="AR391" s="143"/>
    </row>
    <row r="392" spans="1:44" ht="12.75" customHeight="1" x14ac:dyDescent="0.25">
      <c r="A392" s="141" t="s">
        <v>983</v>
      </c>
      <c r="B392" s="352">
        <v>3</v>
      </c>
      <c r="C392" s="289">
        <v>5</v>
      </c>
      <c r="D392" s="382" t="s">
        <v>86</v>
      </c>
      <c r="E392" s="65"/>
      <c r="F392" s="22"/>
      <c r="G392" s="296" t="s">
        <v>988</v>
      </c>
      <c r="H392" s="33" t="s">
        <v>1015</v>
      </c>
      <c r="I392" s="33"/>
      <c r="J392" s="22"/>
      <c r="K392" s="139"/>
      <c r="L392" s="25"/>
      <c r="M392" s="25"/>
      <c r="N392" s="68">
        <v>1</v>
      </c>
      <c r="O392" s="22"/>
      <c r="P392" s="291">
        <v>111.27</v>
      </c>
      <c r="Q392" s="273">
        <f>N392*P392</f>
        <v>111.27</v>
      </c>
      <c r="R392" s="35"/>
      <c r="S392" s="273">
        <v>22.44</v>
      </c>
      <c r="T392" s="273"/>
      <c r="U392" s="273">
        <f>Q392-S392</f>
        <v>88.83</v>
      </c>
      <c r="V392" s="22" t="s">
        <v>1017</v>
      </c>
      <c r="W392" s="22" t="s">
        <v>1018</v>
      </c>
      <c r="X392" s="22"/>
      <c r="Y392" s="22"/>
      <c r="Z392" s="29">
        <v>43259</v>
      </c>
      <c r="AA392" s="29"/>
      <c r="AB392" s="29">
        <v>43269</v>
      </c>
      <c r="AC392" s="29">
        <v>43270</v>
      </c>
      <c r="AD392" s="29"/>
      <c r="AE392" s="29"/>
      <c r="AF392" s="22" t="s">
        <v>958</v>
      </c>
      <c r="AG392" s="29" t="s">
        <v>98</v>
      </c>
      <c r="AH392" s="519">
        <v>22.44</v>
      </c>
      <c r="AI392" s="144"/>
      <c r="AJ392" s="143"/>
      <c r="AK392" s="143"/>
      <c r="AL392" s="143"/>
      <c r="AM392" s="143"/>
      <c r="AN392" s="143"/>
      <c r="AO392" s="143"/>
      <c r="AP392" s="143"/>
      <c r="AQ392" s="143"/>
      <c r="AR392" s="143"/>
    </row>
    <row r="393" spans="1:44" ht="38.25" customHeight="1" x14ac:dyDescent="0.25">
      <c r="A393" s="141" t="s">
        <v>823</v>
      </c>
      <c r="B393" s="352">
        <v>3</v>
      </c>
      <c r="C393" s="289">
        <v>5</v>
      </c>
      <c r="D393" s="382" t="s">
        <v>86</v>
      </c>
      <c r="E393" s="65"/>
      <c r="F393" s="22"/>
      <c r="G393" s="33" t="s">
        <v>1019</v>
      </c>
      <c r="H393" s="297" t="s">
        <v>1020</v>
      </c>
      <c r="I393" s="297" t="s">
        <v>941</v>
      </c>
      <c r="J393" s="22"/>
      <c r="K393" s="139" t="s">
        <v>1021</v>
      </c>
      <c r="L393" s="25"/>
      <c r="M393" s="25"/>
      <c r="N393" s="68">
        <v>2</v>
      </c>
      <c r="O393" s="22"/>
      <c r="P393" s="291"/>
      <c r="Q393" s="273"/>
      <c r="R393" s="35"/>
      <c r="S393" s="273">
        <v>1190</v>
      </c>
      <c r="T393" s="273"/>
      <c r="U393" s="273">
        <f>Q393-S393</f>
        <v>-1190</v>
      </c>
      <c r="V393" s="22" t="s">
        <v>1022</v>
      </c>
      <c r="W393" s="22" t="s">
        <v>1023</v>
      </c>
      <c r="X393" s="22"/>
      <c r="Y393" s="22"/>
      <c r="Z393" s="29">
        <v>43262</v>
      </c>
      <c r="AA393" s="29"/>
      <c r="AB393" s="29">
        <v>43280</v>
      </c>
      <c r="AC393" s="29">
        <v>43274</v>
      </c>
      <c r="AD393" s="29"/>
      <c r="AE393" s="29"/>
      <c r="AF393" s="22" t="s">
        <v>1024</v>
      </c>
      <c r="AG393" s="29" t="s">
        <v>98</v>
      </c>
      <c r="AH393" s="519">
        <v>1190</v>
      </c>
      <c r="AI393" s="144"/>
      <c r="AJ393" s="143"/>
      <c r="AK393" s="143"/>
      <c r="AL393" s="143"/>
      <c r="AM393" s="143"/>
      <c r="AN393" s="143"/>
      <c r="AO393" s="143"/>
      <c r="AP393" s="143"/>
      <c r="AQ393" s="143"/>
      <c r="AR393" s="143"/>
    </row>
    <row r="394" spans="1:44" ht="12.75" customHeight="1" x14ac:dyDescent="0.25">
      <c r="A394" s="141"/>
      <c r="B394" s="352">
        <v>3</v>
      </c>
      <c r="C394" s="289">
        <v>5</v>
      </c>
      <c r="D394" s="382" t="s">
        <v>86</v>
      </c>
      <c r="E394" s="65"/>
      <c r="F394" s="22"/>
      <c r="G394" s="33" t="s">
        <v>438</v>
      </c>
      <c r="H394" s="297" t="s">
        <v>1020</v>
      </c>
      <c r="I394" s="297"/>
      <c r="J394" s="22"/>
      <c r="K394" s="139"/>
      <c r="L394" s="25"/>
      <c r="M394" s="25"/>
      <c r="N394" s="68"/>
      <c r="O394" s="22"/>
      <c r="P394" s="291"/>
      <c r="Q394" s="273"/>
      <c r="R394" s="35"/>
      <c r="S394" s="273">
        <v>29.08</v>
      </c>
      <c r="T394" s="273"/>
      <c r="U394" s="273">
        <f>Q394-S394</f>
        <v>-29.08</v>
      </c>
      <c r="V394" s="22" t="s">
        <v>1022</v>
      </c>
      <c r="W394" s="22" t="s">
        <v>1023</v>
      </c>
      <c r="X394" s="22"/>
      <c r="Y394" s="22"/>
      <c r="Z394" s="29">
        <v>43262</v>
      </c>
      <c r="AA394" s="29"/>
      <c r="AB394" s="29">
        <v>43280</v>
      </c>
      <c r="AC394" s="29">
        <v>43274</v>
      </c>
      <c r="AD394" s="29"/>
      <c r="AE394" s="29"/>
      <c r="AF394" s="22"/>
      <c r="AG394" s="29" t="s">
        <v>98</v>
      </c>
      <c r="AH394" s="519">
        <v>29.08</v>
      </c>
      <c r="AI394" s="144"/>
      <c r="AJ394" s="143"/>
      <c r="AK394" s="143"/>
      <c r="AL394" s="143"/>
      <c r="AM394" s="143"/>
      <c r="AN394" s="143"/>
      <c r="AO394" s="143"/>
      <c r="AP394" s="143"/>
      <c r="AQ394" s="143"/>
      <c r="AR394" s="143"/>
    </row>
    <row r="395" spans="1:44" ht="12.75" customHeight="1" x14ac:dyDescent="0.25">
      <c r="A395" s="141" t="s">
        <v>983</v>
      </c>
      <c r="B395" s="352">
        <v>3</v>
      </c>
      <c r="C395" s="289">
        <v>5</v>
      </c>
      <c r="D395" s="382" t="s">
        <v>86</v>
      </c>
      <c r="E395" s="65"/>
      <c r="F395" s="22"/>
      <c r="G395" s="33" t="s">
        <v>1025</v>
      </c>
      <c r="H395" s="297" t="s">
        <v>1026</v>
      </c>
      <c r="I395" s="297" t="s">
        <v>98</v>
      </c>
      <c r="J395" s="22"/>
      <c r="K395" s="139">
        <v>4300266</v>
      </c>
      <c r="L395" s="25" t="s">
        <v>1026</v>
      </c>
      <c r="M395" s="25"/>
      <c r="N395" s="290">
        <v>2</v>
      </c>
      <c r="O395" s="22"/>
      <c r="P395" s="291">
        <v>170.99</v>
      </c>
      <c r="Q395" s="273">
        <f t="shared" ref="Q395:Q417" si="35">N395*P395</f>
        <v>341.98</v>
      </c>
      <c r="R395" s="35"/>
      <c r="S395" s="273">
        <v>1170</v>
      </c>
      <c r="T395" s="273"/>
      <c r="U395" s="273">
        <f t="shared" ref="U395:U417" si="36">Q395-S395</f>
        <v>-828.02</v>
      </c>
      <c r="V395" s="22" t="s">
        <v>1027</v>
      </c>
      <c r="W395" s="22" t="s">
        <v>1028</v>
      </c>
      <c r="X395" s="22"/>
      <c r="Y395" s="22"/>
      <c r="Z395" s="29">
        <v>43277</v>
      </c>
      <c r="AA395" s="29">
        <v>43294</v>
      </c>
      <c r="AB395" s="29">
        <v>43294</v>
      </c>
      <c r="AC395" s="29">
        <v>43294</v>
      </c>
      <c r="AD395" s="29"/>
      <c r="AE395" s="29"/>
      <c r="AF395" s="86" t="s">
        <v>1009</v>
      </c>
      <c r="AG395" s="29" t="s">
        <v>98</v>
      </c>
      <c r="AH395" s="519">
        <v>1170</v>
      </c>
      <c r="AI395" s="144"/>
      <c r="AJ395" s="143"/>
      <c r="AK395" s="143"/>
      <c r="AL395" s="143"/>
      <c r="AM395" s="143"/>
      <c r="AN395" s="143"/>
      <c r="AO395" s="143"/>
      <c r="AP395" s="143"/>
      <c r="AQ395" s="143"/>
      <c r="AR395" s="143"/>
    </row>
    <row r="396" spans="1:44" ht="12.75" customHeight="1" x14ac:dyDescent="0.25">
      <c r="A396" s="141" t="s">
        <v>983</v>
      </c>
      <c r="B396" s="352">
        <v>3</v>
      </c>
      <c r="C396" s="289">
        <v>5</v>
      </c>
      <c r="D396" s="382" t="s">
        <v>86</v>
      </c>
      <c r="E396" s="65"/>
      <c r="F396" s="22"/>
      <c r="G396" s="33" t="s">
        <v>1029</v>
      </c>
      <c r="H396" s="297" t="s">
        <v>1026</v>
      </c>
      <c r="I396" s="297"/>
      <c r="J396" s="22"/>
      <c r="K396" s="139">
        <v>3450208</v>
      </c>
      <c r="L396" s="25" t="s">
        <v>1026</v>
      </c>
      <c r="M396" s="25"/>
      <c r="N396" s="290">
        <v>1</v>
      </c>
      <c r="O396" s="22"/>
      <c r="P396" s="291">
        <v>402.79</v>
      </c>
      <c r="Q396" s="273">
        <f t="shared" si="35"/>
        <v>402.79</v>
      </c>
      <c r="R396" s="35"/>
      <c r="S396" s="273">
        <v>370.8</v>
      </c>
      <c r="T396" s="273"/>
      <c r="U396" s="273">
        <f t="shared" si="36"/>
        <v>31.990000000000009</v>
      </c>
      <c r="V396" s="22" t="s">
        <v>1030</v>
      </c>
      <c r="W396" s="22" t="s">
        <v>1031</v>
      </c>
      <c r="X396" s="22"/>
      <c r="Y396" s="22"/>
      <c r="Z396" s="29">
        <v>43278</v>
      </c>
      <c r="AA396" s="29"/>
      <c r="AB396" s="29">
        <v>43287</v>
      </c>
      <c r="AC396" s="29">
        <v>43304</v>
      </c>
      <c r="AD396" s="29"/>
      <c r="AE396" s="29"/>
      <c r="AF396" s="22" t="s">
        <v>1009</v>
      </c>
      <c r="AG396" s="29" t="s">
        <v>98</v>
      </c>
      <c r="AH396" s="519">
        <v>370.8</v>
      </c>
      <c r="AI396" s="312"/>
      <c r="AJ396" s="143"/>
      <c r="AK396" s="143"/>
      <c r="AL396" s="143"/>
      <c r="AM396" s="143"/>
      <c r="AN396" s="143"/>
      <c r="AO396" s="143"/>
      <c r="AP396" s="143"/>
      <c r="AQ396" s="143"/>
      <c r="AR396" s="143"/>
    </row>
    <row r="397" spans="1:44" ht="12.75" customHeight="1" x14ac:dyDescent="0.25">
      <c r="A397" s="141" t="s">
        <v>983</v>
      </c>
      <c r="B397" s="352">
        <v>3</v>
      </c>
      <c r="C397" s="289">
        <v>5</v>
      </c>
      <c r="D397" s="382" t="s">
        <v>86</v>
      </c>
      <c r="E397" s="65"/>
      <c r="F397" s="22"/>
      <c r="G397" s="33" t="s">
        <v>1032</v>
      </c>
      <c r="H397" s="297" t="s">
        <v>1026</v>
      </c>
      <c r="I397" s="297" t="s">
        <v>98</v>
      </c>
      <c r="J397" s="22"/>
      <c r="K397" s="139">
        <v>2124293</v>
      </c>
      <c r="L397" s="25" t="s">
        <v>1026</v>
      </c>
      <c r="M397" s="25"/>
      <c r="N397" s="290">
        <v>12</v>
      </c>
      <c r="O397" s="22"/>
      <c r="P397" s="291">
        <v>22.79</v>
      </c>
      <c r="Q397" s="273">
        <f t="shared" si="35"/>
        <v>273.48</v>
      </c>
      <c r="R397" s="35"/>
      <c r="S397" s="273">
        <v>2550</v>
      </c>
      <c r="T397" s="273"/>
      <c r="U397" s="273">
        <f t="shared" si="36"/>
        <v>-2276.52</v>
      </c>
      <c r="V397" s="22" t="s">
        <v>1027</v>
      </c>
      <c r="W397" s="22" t="s">
        <v>1028</v>
      </c>
      <c r="X397" s="22"/>
      <c r="Y397" s="22"/>
      <c r="Z397" s="29">
        <v>43277</v>
      </c>
      <c r="AA397" s="29"/>
      <c r="AB397" s="29">
        <v>43294</v>
      </c>
      <c r="AC397" s="29">
        <v>43294</v>
      </c>
      <c r="AD397" s="29"/>
      <c r="AE397" s="29"/>
      <c r="AF397" s="22" t="s">
        <v>1009</v>
      </c>
      <c r="AG397" s="29" t="s">
        <v>98</v>
      </c>
      <c r="AH397" s="519">
        <v>2550</v>
      </c>
      <c r="AI397" s="312"/>
      <c r="AJ397" s="143"/>
      <c r="AK397" s="143"/>
      <c r="AL397" s="143"/>
      <c r="AM397" s="143"/>
      <c r="AN397" s="143"/>
      <c r="AO397" s="143"/>
      <c r="AP397" s="143"/>
      <c r="AQ397" s="143"/>
      <c r="AR397" s="143"/>
    </row>
    <row r="398" spans="1:44" ht="25.5" customHeight="1" x14ac:dyDescent="0.25">
      <c r="A398" s="141" t="s">
        <v>983</v>
      </c>
      <c r="B398" s="352">
        <v>3</v>
      </c>
      <c r="C398" s="49">
        <v>5</v>
      </c>
      <c r="D398" s="382" t="s">
        <v>86</v>
      </c>
      <c r="E398" s="65"/>
      <c r="F398" s="22"/>
      <c r="G398" s="33" t="s">
        <v>1033</v>
      </c>
      <c r="H398" s="33" t="s">
        <v>1034</v>
      </c>
      <c r="I398" s="33" t="s">
        <v>941</v>
      </c>
      <c r="J398" s="22"/>
      <c r="K398" s="298" t="s">
        <v>1035</v>
      </c>
      <c r="L398" s="25"/>
      <c r="M398" s="25"/>
      <c r="N398" s="290">
        <v>1</v>
      </c>
      <c r="O398" s="22"/>
      <c r="P398" s="300">
        <v>368.5</v>
      </c>
      <c r="Q398" s="273">
        <f t="shared" si="35"/>
        <v>368.5</v>
      </c>
      <c r="R398" s="35"/>
      <c r="S398" s="273">
        <v>368.5</v>
      </c>
      <c r="T398" s="273"/>
      <c r="U398" s="273">
        <f t="shared" si="36"/>
        <v>0</v>
      </c>
      <c r="V398" s="22" t="s">
        <v>1036</v>
      </c>
      <c r="W398" s="22" t="s">
        <v>1037</v>
      </c>
      <c r="X398" s="22"/>
      <c r="Y398" s="22"/>
      <c r="Z398" s="29">
        <v>43270</v>
      </c>
      <c r="AA398" s="29"/>
      <c r="AB398" s="29">
        <v>43287</v>
      </c>
      <c r="AC398" s="29">
        <v>43284</v>
      </c>
      <c r="AD398" s="29"/>
      <c r="AE398" s="29"/>
      <c r="AF398" s="22" t="s">
        <v>1009</v>
      </c>
      <c r="AG398" s="29" t="s">
        <v>98</v>
      </c>
      <c r="AH398" s="519">
        <v>368.5</v>
      </c>
      <c r="AI398" s="144"/>
      <c r="AJ398" s="143"/>
      <c r="AK398" s="143"/>
      <c r="AL398" s="143"/>
      <c r="AM398" s="143"/>
      <c r="AN398" s="143"/>
      <c r="AO398" s="143"/>
      <c r="AP398" s="143"/>
      <c r="AQ398" s="143"/>
      <c r="AR398" s="143"/>
    </row>
    <row r="399" spans="1:44" ht="12.75" customHeight="1" x14ac:dyDescent="0.25">
      <c r="A399" s="141"/>
      <c r="B399" s="352">
        <v>3</v>
      </c>
      <c r="C399" s="49">
        <v>5</v>
      </c>
      <c r="D399" s="382" t="s">
        <v>86</v>
      </c>
      <c r="E399" s="65"/>
      <c r="F399" s="22"/>
      <c r="G399" s="33" t="s">
        <v>988</v>
      </c>
      <c r="H399" s="33" t="s">
        <v>1034</v>
      </c>
      <c r="I399" s="33" t="s">
        <v>941</v>
      </c>
      <c r="J399" s="22"/>
      <c r="K399" s="298" t="s">
        <v>438</v>
      </c>
      <c r="L399" s="25"/>
      <c r="M399" s="25"/>
      <c r="N399" s="290">
        <v>1</v>
      </c>
      <c r="O399" s="22"/>
      <c r="P399" s="300">
        <v>65.97</v>
      </c>
      <c r="Q399" s="273">
        <f t="shared" si="35"/>
        <v>65.97</v>
      </c>
      <c r="R399" s="35"/>
      <c r="S399" s="273">
        <v>63.97</v>
      </c>
      <c r="T399" s="273"/>
      <c r="U399" s="273">
        <f t="shared" si="36"/>
        <v>2</v>
      </c>
      <c r="V399" s="22" t="s">
        <v>1036</v>
      </c>
      <c r="W399" s="22" t="s">
        <v>1037</v>
      </c>
      <c r="X399" s="22"/>
      <c r="Y399" s="22"/>
      <c r="Z399" s="29">
        <v>43270</v>
      </c>
      <c r="AA399" s="29"/>
      <c r="AB399" s="29">
        <v>43287</v>
      </c>
      <c r="AC399" s="29">
        <v>43284</v>
      </c>
      <c r="AD399" s="29"/>
      <c r="AE399" s="29"/>
      <c r="AF399" s="22"/>
      <c r="AG399" s="29" t="s">
        <v>98</v>
      </c>
      <c r="AH399" s="519">
        <v>63.97</v>
      </c>
      <c r="AI399" s="144"/>
      <c r="AJ399" s="143"/>
      <c r="AK399" s="143"/>
      <c r="AL399" s="143"/>
      <c r="AM399" s="143"/>
      <c r="AN399" s="143"/>
      <c r="AO399" s="143"/>
      <c r="AP399" s="143"/>
      <c r="AQ399" s="143"/>
      <c r="AR399" s="143"/>
    </row>
    <row r="400" spans="1:44" ht="12.75" customHeight="1" x14ac:dyDescent="0.25">
      <c r="A400" s="141" t="s">
        <v>983</v>
      </c>
      <c r="B400" s="352">
        <v>3</v>
      </c>
      <c r="C400" s="49">
        <v>5</v>
      </c>
      <c r="D400" s="382" t="s">
        <v>86</v>
      </c>
      <c r="E400" s="65"/>
      <c r="F400" s="22"/>
      <c r="G400" s="33" t="s">
        <v>1038</v>
      </c>
      <c r="H400" s="33" t="s">
        <v>1039</v>
      </c>
      <c r="I400" s="33" t="s">
        <v>941</v>
      </c>
      <c r="J400" s="22"/>
      <c r="K400" s="31"/>
      <c r="L400" s="25"/>
      <c r="M400" s="25"/>
      <c r="N400" s="290">
        <v>1</v>
      </c>
      <c r="O400" s="22"/>
      <c r="P400" s="291">
        <v>124</v>
      </c>
      <c r="Q400" s="273">
        <f t="shared" si="35"/>
        <v>124</v>
      </c>
      <c r="R400" s="35"/>
      <c r="S400" s="273">
        <v>127.9</v>
      </c>
      <c r="T400" s="273"/>
      <c r="U400" s="273">
        <f t="shared" si="36"/>
        <v>-3.9000000000000057</v>
      </c>
      <c r="V400" s="22" t="s">
        <v>1040</v>
      </c>
      <c r="W400" s="22" t="s">
        <v>1041</v>
      </c>
      <c r="X400" s="22"/>
      <c r="Y400" s="22"/>
      <c r="Z400" s="29">
        <v>43269</v>
      </c>
      <c r="AA400" s="29"/>
      <c r="AB400" s="29">
        <v>43279</v>
      </c>
      <c r="AC400" s="29">
        <v>43272</v>
      </c>
      <c r="AD400" s="29"/>
      <c r="AE400" s="29"/>
      <c r="AF400" s="86" t="s">
        <v>1009</v>
      </c>
      <c r="AG400" s="29" t="s">
        <v>98</v>
      </c>
      <c r="AH400" s="519">
        <v>127.9</v>
      </c>
      <c r="AI400" s="312"/>
      <c r="AJ400" s="143"/>
      <c r="AK400" s="143"/>
      <c r="AL400" s="143"/>
      <c r="AM400" s="143"/>
      <c r="AN400" s="143"/>
      <c r="AO400" s="143"/>
      <c r="AP400" s="143"/>
      <c r="AQ400" s="143"/>
      <c r="AR400" s="143"/>
    </row>
    <row r="401" spans="1:44" ht="12.75" customHeight="1" x14ac:dyDescent="0.25">
      <c r="A401" s="141" t="s">
        <v>983</v>
      </c>
      <c r="B401" s="352">
        <v>3</v>
      </c>
      <c r="C401" s="49">
        <v>5</v>
      </c>
      <c r="D401" s="382" t="s">
        <v>86</v>
      </c>
      <c r="E401" s="65"/>
      <c r="F401" s="22"/>
      <c r="G401" s="136" t="s">
        <v>1042</v>
      </c>
      <c r="H401" s="297" t="s">
        <v>1026</v>
      </c>
      <c r="I401" s="297" t="s">
        <v>98</v>
      </c>
      <c r="J401" s="22"/>
      <c r="K401" s="298">
        <v>3755603</v>
      </c>
      <c r="L401" s="136" t="s">
        <v>1043</v>
      </c>
      <c r="M401" s="25"/>
      <c r="N401" s="290">
        <v>10</v>
      </c>
      <c r="O401" s="22"/>
      <c r="P401" s="291">
        <v>32.29</v>
      </c>
      <c r="Q401" s="273">
        <f t="shared" si="35"/>
        <v>322.89999999999998</v>
      </c>
      <c r="R401" s="35"/>
      <c r="S401" s="273">
        <v>1142</v>
      </c>
      <c r="T401" s="273"/>
      <c r="U401" s="273">
        <f t="shared" si="36"/>
        <v>-819.1</v>
      </c>
      <c r="V401" s="22" t="s">
        <v>1027</v>
      </c>
      <c r="W401" s="22" t="s">
        <v>1028</v>
      </c>
      <c r="X401" s="22"/>
      <c r="Y401" s="22"/>
      <c r="Z401" s="29">
        <v>43277</v>
      </c>
      <c r="AA401" s="29"/>
      <c r="AB401" s="29">
        <v>43294</v>
      </c>
      <c r="AC401" s="29">
        <v>43294</v>
      </c>
      <c r="AD401" s="29"/>
      <c r="AE401" s="29"/>
      <c r="AF401" s="86" t="s">
        <v>1009</v>
      </c>
      <c r="AG401" s="29" t="s">
        <v>98</v>
      </c>
      <c r="AH401" s="519">
        <v>1142</v>
      </c>
      <c r="AI401" s="144"/>
      <c r="AJ401" s="143"/>
      <c r="AK401" s="143"/>
      <c r="AL401" s="143"/>
      <c r="AM401" s="143"/>
      <c r="AN401" s="143"/>
      <c r="AO401" s="143"/>
      <c r="AP401" s="143"/>
      <c r="AQ401" s="143"/>
      <c r="AR401" s="143"/>
    </row>
    <row r="402" spans="1:44" ht="12.75" customHeight="1" x14ac:dyDescent="0.25">
      <c r="A402" s="141" t="s">
        <v>983</v>
      </c>
      <c r="B402" s="352">
        <v>3</v>
      </c>
      <c r="C402" s="49">
        <v>5</v>
      </c>
      <c r="D402" s="382" t="s">
        <v>86</v>
      </c>
      <c r="E402" s="65"/>
      <c r="F402" s="22"/>
      <c r="G402" s="136" t="s">
        <v>1044</v>
      </c>
      <c r="H402" s="297" t="s">
        <v>1026</v>
      </c>
      <c r="I402" s="297" t="s">
        <v>98</v>
      </c>
      <c r="J402" s="22"/>
      <c r="K402" s="298">
        <v>1561875</v>
      </c>
      <c r="L402" s="136" t="s">
        <v>1043</v>
      </c>
      <c r="M402" s="25"/>
      <c r="N402" s="290">
        <v>10</v>
      </c>
      <c r="O402" s="22"/>
      <c r="P402" s="291">
        <v>16.14</v>
      </c>
      <c r="Q402" s="273">
        <f t="shared" si="35"/>
        <v>161.4</v>
      </c>
      <c r="R402" s="35"/>
      <c r="S402" s="273">
        <v>138</v>
      </c>
      <c r="T402" s="273"/>
      <c r="U402" s="273">
        <f t="shared" si="36"/>
        <v>23.400000000000006</v>
      </c>
      <c r="V402" s="22" t="s">
        <v>1027</v>
      </c>
      <c r="W402" s="22" t="s">
        <v>1028</v>
      </c>
      <c r="X402" s="22"/>
      <c r="Y402" s="22"/>
      <c r="Z402" s="29">
        <v>43277</v>
      </c>
      <c r="AA402" s="29"/>
      <c r="AB402" s="29">
        <v>43294</v>
      </c>
      <c r="AC402" s="29">
        <v>43294</v>
      </c>
      <c r="AD402" s="29"/>
      <c r="AE402" s="29"/>
      <c r="AF402" s="86" t="s">
        <v>1009</v>
      </c>
      <c r="AG402" s="29" t="s">
        <v>98</v>
      </c>
      <c r="AH402" s="519">
        <v>138</v>
      </c>
      <c r="AI402" s="144"/>
      <c r="AJ402" s="143"/>
      <c r="AK402" s="143"/>
      <c r="AL402" s="143"/>
      <c r="AM402" s="143"/>
      <c r="AN402" s="143"/>
      <c r="AO402" s="143"/>
      <c r="AP402" s="143"/>
      <c r="AQ402" s="143"/>
      <c r="AR402" s="143"/>
    </row>
    <row r="403" spans="1:44" ht="12.75" customHeight="1" x14ac:dyDescent="0.25">
      <c r="A403" s="141" t="s">
        <v>983</v>
      </c>
      <c r="B403" s="352">
        <v>3</v>
      </c>
      <c r="C403" s="49">
        <v>5</v>
      </c>
      <c r="D403" s="382" t="s">
        <v>86</v>
      </c>
      <c r="E403" s="65"/>
      <c r="F403" s="22"/>
      <c r="G403" s="136" t="s">
        <v>1045</v>
      </c>
      <c r="H403" s="297" t="s">
        <v>1026</v>
      </c>
      <c r="I403" s="297" t="s">
        <v>98</v>
      </c>
      <c r="J403" s="22"/>
      <c r="K403" s="298">
        <v>1995678</v>
      </c>
      <c r="L403" s="136" t="s">
        <v>1043</v>
      </c>
      <c r="M403" s="25"/>
      <c r="N403" s="290">
        <v>10</v>
      </c>
      <c r="O403" s="22"/>
      <c r="P403" s="291">
        <v>18.04</v>
      </c>
      <c r="Q403" s="273">
        <f t="shared" si="35"/>
        <v>180.39999999999998</v>
      </c>
      <c r="R403" s="35"/>
      <c r="S403" s="273">
        <v>74</v>
      </c>
      <c r="T403" s="273"/>
      <c r="U403" s="273">
        <f t="shared" si="36"/>
        <v>106.39999999999998</v>
      </c>
      <c r="V403" s="22" t="s">
        <v>1027</v>
      </c>
      <c r="W403" s="22" t="s">
        <v>1028</v>
      </c>
      <c r="X403" s="22"/>
      <c r="Y403" s="22"/>
      <c r="Z403" s="29">
        <v>43277</v>
      </c>
      <c r="AA403" s="29"/>
      <c r="AB403" s="29">
        <v>43294</v>
      </c>
      <c r="AC403" s="29">
        <v>43294</v>
      </c>
      <c r="AD403" s="29"/>
      <c r="AE403" s="29"/>
      <c r="AF403" s="86" t="s">
        <v>1009</v>
      </c>
      <c r="AG403" s="29" t="s">
        <v>98</v>
      </c>
      <c r="AH403" s="519">
        <v>74</v>
      </c>
      <c r="AI403" s="144"/>
      <c r="AJ403" s="143"/>
      <c r="AK403" s="143"/>
      <c r="AL403" s="143"/>
      <c r="AM403" s="143"/>
      <c r="AN403" s="143"/>
      <c r="AO403" s="143"/>
      <c r="AP403" s="143"/>
      <c r="AQ403" s="143"/>
      <c r="AR403" s="143"/>
    </row>
    <row r="404" spans="1:44" ht="12.75" customHeight="1" x14ac:dyDescent="0.25">
      <c r="A404" s="141" t="s">
        <v>983</v>
      </c>
      <c r="B404" s="352">
        <v>3</v>
      </c>
      <c r="C404" s="49">
        <v>5</v>
      </c>
      <c r="D404" s="382" t="s">
        <v>86</v>
      </c>
      <c r="E404" s="65"/>
      <c r="F404" s="22"/>
      <c r="G404" s="136" t="s">
        <v>1046</v>
      </c>
      <c r="H404" s="297" t="s">
        <v>1026</v>
      </c>
      <c r="I404" s="297" t="s">
        <v>98</v>
      </c>
      <c r="J404" s="22"/>
      <c r="K404" s="25">
        <v>1685176</v>
      </c>
      <c r="L404" s="136" t="s">
        <v>1043</v>
      </c>
      <c r="M404" s="25"/>
      <c r="N404" s="290">
        <v>10</v>
      </c>
      <c r="O404" s="22"/>
      <c r="P404" s="300">
        <v>21.84</v>
      </c>
      <c r="Q404" s="273">
        <f t="shared" si="35"/>
        <v>218.4</v>
      </c>
      <c r="R404" s="35"/>
      <c r="S404" s="273">
        <v>132</v>
      </c>
      <c r="T404" s="273"/>
      <c r="U404" s="273">
        <f t="shared" si="36"/>
        <v>86.4</v>
      </c>
      <c r="V404" s="22" t="s">
        <v>1027</v>
      </c>
      <c r="W404" s="22" t="s">
        <v>1028</v>
      </c>
      <c r="X404" s="22"/>
      <c r="Y404" s="22"/>
      <c r="Z404" s="29">
        <v>43277</v>
      </c>
      <c r="AA404" s="29"/>
      <c r="AB404" s="29">
        <v>43294</v>
      </c>
      <c r="AC404" s="29">
        <v>43294</v>
      </c>
      <c r="AD404" s="29"/>
      <c r="AE404" s="29"/>
      <c r="AF404" s="86" t="s">
        <v>1009</v>
      </c>
      <c r="AG404" s="29" t="s">
        <v>98</v>
      </c>
      <c r="AH404" s="519">
        <v>132</v>
      </c>
      <c r="AI404" s="144"/>
      <c r="AJ404" s="143"/>
      <c r="AK404" s="143"/>
      <c r="AL404" s="143"/>
      <c r="AM404" s="143"/>
      <c r="AN404" s="143"/>
      <c r="AO404" s="143"/>
      <c r="AP404" s="143"/>
      <c r="AQ404" s="143"/>
      <c r="AR404" s="143"/>
    </row>
    <row r="405" spans="1:44" ht="12.75" customHeight="1" x14ac:dyDescent="0.25">
      <c r="A405" s="141" t="s">
        <v>983</v>
      </c>
      <c r="B405" s="352">
        <v>3</v>
      </c>
      <c r="C405" s="49">
        <v>5</v>
      </c>
      <c r="D405" s="382" t="s">
        <v>86</v>
      </c>
      <c r="E405" s="65"/>
      <c r="F405" s="22"/>
      <c r="G405" s="136" t="s">
        <v>1047</v>
      </c>
      <c r="H405" s="297" t="s">
        <v>1026</v>
      </c>
      <c r="I405" s="297" t="s">
        <v>98</v>
      </c>
      <c r="J405" s="22"/>
      <c r="K405" s="298">
        <v>1973897</v>
      </c>
      <c r="L405" s="136" t="s">
        <v>1043</v>
      </c>
      <c r="M405" s="25"/>
      <c r="N405" s="290">
        <v>10</v>
      </c>
      <c r="O405" s="22"/>
      <c r="P405" s="291">
        <v>11.39</v>
      </c>
      <c r="Q405" s="273">
        <f t="shared" si="35"/>
        <v>113.9</v>
      </c>
      <c r="R405" s="35"/>
      <c r="S405" s="273">
        <v>3666</v>
      </c>
      <c r="T405" s="273"/>
      <c r="U405" s="273">
        <f t="shared" si="36"/>
        <v>-3552.1</v>
      </c>
      <c r="V405" s="22" t="s">
        <v>1027</v>
      </c>
      <c r="W405" s="22" t="s">
        <v>1028</v>
      </c>
      <c r="X405" s="22"/>
      <c r="Y405" s="22"/>
      <c r="Z405" s="29">
        <v>43277</v>
      </c>
      <c r="AA405" s="29"/>
      <c r="AB405" s="29">
        <v>43294</v>
      </c>
      <c r="AC405" s="29">
        <v>43294</v>
      </c>
      <c r="AD405" s="29"/>
      <c r="AE405" s="29"/>
      <c r="AF405" s="86" t="s">
        <v>1009</v>
      </c>
      <c r="AG405" s="29" t="s">
        <v>98</v>
      </c>
      <c r="AH405" s="519">
        <v>3666</v>
      </c>
      <c r="AI405" s="144"/>
      <c r="AJ405" s="143"/>
      <c r="AK405" s="143"/>
      <c r="AL405" s="143"/>
      <c r="AM405" s="143"/>
      <c r="AN405" s="143"/>
      <c r="AO405" s="143"/>
      <c r="AP405" s="143"/>
      <c r="AQ405" s="143"/>
      <c r="AR405" s="143"/>
    </row>
    <row r="406" spans="1:44" ht="12.75" customHeight="1" x14ac:dyDescent="0.25">
      <c r="A406" s="141" t="s">
        <v>983</v>
      </c>
      <c r="B406" s="352">
        <v>3</v>
      </c>
      <c r="C406" s="49">
        <v>5</v>
      </c>
      <c r="D406" s="382" t="s">
        <v>86</v>
      </c>
      <c r="E406" s="65"/>
      <c r="F406" s="22"/>
      <c r="G406" s="136" t="s">
        <v>1048</v>
      </c>
      <c r="H406" s="297" t="s">
        <v>1026</v>
      </c>
      <c r="I406" s="297" t="s">
        <v>98</v>
      </c>
      <c r="J406" s="22"/>
      <c r="K406" s="298">
        <v>3946414</v>
      </c>
      <c r="L406" s="136" t="s">
        <v>1043</v>
      </c>
      <c r="M406" s="25"/>
      <c r="N406" s="290">
        <v>3</v>
      </c>
      <c r="O406" s="22"/>
      <c r="P406" s="300">
        <v>2227.7399999999998</v>
      </c>
      <c r="Q406" s="273">
        <f t="shared" si="35"/>
        <v>6683.2199999999993</v>
      </c>
      <c r="R406" s="35"/>
      <c r="S406" s="273">
        <v>295</v>
      </c>
      <c r="T406" s="273"/>
      <c r="U406" s="273">
        <f t="shared" si="36"/>
        <v>6388.2199999999993</v>
      </c>
      <c r="V406" s="22" t="s">
        <v>1027</v>
      </c>
      <c r="W406" s="22" t="s">
        <v>1028</v>
      </c>
      <c r="X406" s="22"/>
      <c r="Y406" s="22"/>
      <c r="Z406" s="29">
        <v>43277</v>
      </c>
      <c r="AA406" s="29"/>
      <c r="AB406" s="29">
        <v>43294</v>
      </c>
      <c r="AC406" s="29">
        <v>43294</v>
      </c>
      <c r="AD406" s="29"/>
      <c r="AE406" s="29"/>
      <c r="AF406" s="86" t="s">
        <v>1009</v>
      </c>
      <c r="AG406" s="29" t="s">
        <v>98</v>
      </c>
      <c r="AH406" s="519">
        <v>295</v>
      </c>
      <c r="AI406" s="144"/>
      <c r="AJ406" s="143"/>
      <c r="AK406" s="143"/>
      <c r="AL406" s="143"/>
      <c r="AM406" s="143"/>
      <c r="AN406" s="143"/>
      <c r="AO406" s="143"/>
      <c r="AP406" s="143"/>
      <c r="AQ406" s="143"/>
      <c r="AR406" s="143"/>
    </row>
    <row r="407" spans="1:44" ht="12.75" customHeight="1" x14ac:dyDescent="0.25">
      <c r="A407" s="141" t="s">
        <v>983</v>
      </c>
      <c r="B407" s="352">
        <v>3</v>
      </c>
      <c r="C407" s="49">
        <v>5</v>
      </c>
      <c r="D407" s="382" t="s">
        <v>86</v>
      </c>
      <c r="E407" s="65"/>
      <c r="F407" s="22"/>
      <c r="G407" s="136" t="s">
        <v>1049</v>
      </c>
      <c r="H407" s="297" t="s">
        <v>1026</v>
      </c>
      <c r="I407" s="297" t="s">
        <v>98</v>
      </c>
      <c r="J407" s="22"/>
      <c r="K407" s="298">
        <v>3035528</v>
      </c>
      <c r="L407" s="136" t="s">
        <v>1043</v>
      </c>
      <c r="M407" s="25"/>
      <c r="N407" s="290">
        <v>12</v>
      </c>
      <c r="O407" s="22"/>
      <c r="P407" s="300">
        <v>161.49</v>
      </c>
      <c r="Q407" s="273">
        <f t="shared" si="35"/>
        <v>1937.88</v>
      </c>
      <c r="R407" s="35"/>
      <c r="S407" s="273">
        <v>82.5</v>
      </c>
      <c r="T407" s="273"/>
      <c r="U407" s="273">
        <f t="shared" si="36"/>
        <v>1855.38</v>
      </c>
      <c r="V407" s="22" t="s">
        <v>1027</v>
      </c>
      <c r="W407" s="22" t="s">
        <v>1028</v>
      </c>
      <c r="X407" s="22"/>
      <c r="Y407" s="22"/>
      <c r="Z407" s="29">
        <v>43277</v>
      </c>
      <c r="AA407" s="29"/>
      <c r="AB407" s="29">
        <v>43294</v>
      </c>
      <c r="AC407" s="29">
        <v>43304</v>
      </c>
      <c r="AD407" s="29"/>
      <c r="AE407" s="29"/>
      <c r="AF407" s="86" t="s">
        <v>1009</v>
      </c>
      <c r="AG407" s="29" t="s">
        <v>98</v>
      </c>
      <c r="AH407" s="519">
        <v>82.5</v>
      </c>
      <c r="AI407" s="144"/>
      <c r="AJ407" s="143"/>
      <c r="AK407" s="143"/>
      <c r="AL407" s="143"/>
      <c r="AM407" s="143"/>
      <c r="AN407" s="143"/>
      <c r="AO407" s="143"/>
      <c r="AP407" s="143"/>
      <c r="AQ407" s="143"/>
      <c r="AR407" s="143"/>
    </row>
    <row r="408" spans="1:44" ht="12.75" customHeight="1" x14ac:dyDescent="0.25">
      <c r="A408" s="141"/>
      <c r="B408" s="352">
        <v>3</v>
      </c>
      <c r="C408" s="49">
        <v>5</v>
      </c>
      <c r="D408" s="382" t="s">
        <v>86</v>
      </c>
      <c r="E408" s="65"/>
      <c r="F408" s="22"/>
      <c r="G408" s="136" t="s">
        <v>1050</v>
      </c>
      <c r="H408" s="297" t="s">
        <v>1026</v>
      </c>
      <c r="I408" s="297" t="s">
        <v>98</v>
      </c>
      <c r="J408" s="22"/>
      <c r="K408" s="298">
        <v>2313278</v>
      </c>
      <c r="L408" s="136"/>
      <c r="M408" s="25"/>
      <c r="N408" s="290">
        <v>3</v>
      </c>
      <c r="O408" s="22"/>
      <c r="P408" s="300">
        <v>23.74</v>
      </c>
      <c r="Q408" s="273">
        <f t="shared" si="35"/>
        <v>71.22</v>
      </c>
      <c r="R408" s="35"/>
      <c r="S408" s="273">
        <v>120</v>
      </c>
      <c r="T408" s="273"/>
      <c r="U408" s="273">
        <f t="shared" si="36"/>
        <v>-48.78</v>
      </c>
      <c r="V408" s="22" t="s">
        <v>1027</v>
      </c>
      <c r="W408" s="22" t="s">
        <v>1028</v>
      </c>
      <c r="X408" s="22"/>
      <c r="Y408" s="22"/>
      <c r="Z408" s="29">
        <v>43277</v>
      </c>
      <c r="AA408" s="29"/>
      <c r="AB408" s="29">
        <v>43294</v>
      </c>
      <c r="AC408" s="29">
        <v>43294</v>
      </c>
      <c r="AD408" s="29"/>
      <c r="AE408" s="29"/>
      <c r="AF408" s="86" t="s">
        <v>1009</v>
      </c>
      <c r="AG408" s="29" t="s">
        <v>98</v>
      </c>
      <c r="AH408" s="519">
        <v>120</v>
      </c>
      <c r="AI408" s="144"/>
      <c r="AJ408" s="143"/>
      <c r="AK408" s="143"/>
      <c r="AL408" s="143"/>
      <c r="AM408" s="143"/>
      <c r="AN408" s="143"/>
      <c r="AO408" s="143"/>
      <c r="AP408" s="143"/>
      <c r="AQ408" s="143"/>
      <c r="AR408" s="143"/>
    </row>
    <row r="409" spans="1:44" ht="12.75" customHeight="1" x14ac:dyDescent="0.25">
      <c r="A409" s="141"/>
      <c r="B409" s="352">
        <v>3</v>
      </c>
      <c r="C409" s="49">
        <v>5</v>
      </c>
      <c r="D409" s="382" t="s">
        <v>86</v>
      </c>
      <c r="E409" s="65"/>
      <c r="F409" s="22"/>
      <c r="G409" s="136" t="s">
        <v>1051</v>
      </c>
      <c r="H409" s="297" t="s">
        <v>1026</v>
      </c>
      <c r="I409" s="297" t="s">
        <v>98</v>
      </c>
      <c r="J409" s="22"/>
      <c r="K409" s="298">
        <v>4570680</v>
      </c>
      <c r="L409" s="136"/>
      <c r="M409" s="25"/>
      <c r="N409" s="290">
        <v>2</v>
      </c>
      <c r="O409" s="22"/>
      <c r="P409" s="300">
        <v>2314.1999999999998</v>
      </c>
      <c r="Q409" s="273">
        <f t="shared" si="35"/>
        <v>4628.3999999999996</v>
      </c>
      <c r="R409" s="35"/>
      <c r="S409" s="273">
        <v>126.5</v>
      </c>
      <c r="T409" s="273"/>
      <c r="U409" s="273">
        <f t="shared" si="36"/>
        <v>4501.8999999999996</v>
      </c>
      <c r="V409" s="22" t="s">
        <v>1027</v>
      </c>
      <c r="W409" s="22" t="s">
        <v>1028</v>
      </c>
      <c r="X409" s="22"/>
      <c r="Y409" s="22"/>
      <c r="Z409" s="29">
        <v>43277</v>
      </c>
      <c r="AA409" s="29"/>
      <c r="AB409" s="29">
        <v>43294</v>
      </c>
      <c r="AC409" s="29">
        <v>43287</v>
      </c>
      <c r="AD409" s="29"/>
      <c r="AE409" s="29"/>
      <c r="AF409" s="86"/>
      <c r="AG409" s="29" t="s">
        <v>98</v>
      </c>
      <c r="AH409" s="519">
        <v>126.5</v>
      </c>
      <c r="AI409" s="144"/>
      <c r="AJ409" s="143"/>
      <c r="AK409" s="143"/>
      <c r="AL409" s="143"/>
      <c r="AM409" s="143"/>
      <c r="AN409" s="143"/>
      <c r="AO409" s="143"/>
      <c r="AP409" s="143"/>
      <c r="AQ409" s="143"/>
      <c r="AR409" s="143"/>
    </row>
    <row r="410" spans="1:44" ht="12.75" customHeight="1" x14ac:dyDescent="0.25">
      <c r="A410" s="141"/>
      <c r="B410" s="352">
        <v>3</v>
      </c>
      <c r="C410" s="49">
        <v>5</v>
      </c>
      <c r="D410" s="382" t="s">
        <v>86</v>
      </c>
      <c r="E410" s="65"/>
      <c r="F410" s="22"/>
      <c r="G410" s="136" t="s">
        <v>1052</v>
      </c>
      <c r="H410" s="297" t="s">
        <v>1026</v>
      </c>
      <c r="I410" s="297" t="s">
        <v>98</v>
      </c>
      <c r="J410" s="22"/>
      <c r="K410" s="298">
        <v>4354359</v>
      </c>
      <c r="L410" s="136"/>
      <c r="M410" s="25"/>
      <c r="N410" s="290">
        <v>12</v>
      </c>
      <c r="O410" s="22"/>
      <c r="P410" s="300">
        <v>18.04</v>
      </c>
      <c r="Q410" s="273">
        <f t="shared" si="35"/>
        <v>216.48</v>
      </c>
      <c r="R410" s="35"/>
      <c r="S410" s="273">
        <v>70</v>
      </c>
      <c r="T410" s="273"/>
      <c r="U410" s="273">
        <f t="shared" si="36"/>
        <v>146.47999999999999</v>
      </c>
      <c r="V410" s="22" t="s">
        <v>1027</v>
      </c>
      <c r="W410" s="22" t="s">
        <v>1028</v>
      </c>
      <c r="X410" s="22"/>
      <c r="Y410" s="22"/>
      <c r="Z410" s="29">
        <v>43277</v>
      </c>
      <c r="AA410" s="29"/>
      <c r="AB410" s="29">
        <v>43294</v>
      </c>
      <c r="AC410" s="29">
        <v>43294</v>
      </c>
      <c r="AD410" s="29"/>
      <c r="AE410" s="29"/>
      <c r="AF410" s="86"/>
      <c r="AG410" s="29" t="s">
        <v>98</v>
      </c>
      <c r="AH410" s="519">
        <v>70</v>
      </c>
      <c r="AI410" s="144"/>
      <c r="AJ410" s="143"/>
      <c r="AK410" s="143"/>
      <c r="AL410" s="143"/>
      <c r="AM410" s="143"/>
      <c r="AN410" s="143"/>
      <c r="AO410" s="143"/>
      <c r="AP410" s="143"/>
      <c r="AQ410" s="143"/>
      <c r="AR410" s="143"/>
    </row>
    <row r="411" spans="1:44" ht="12.75" customHeight="1" x14ac:dyDescent="0.25">
      <c r="A411" s="141"/>
      <c r="B411" s="352">
        <v>3</v>
      </c>
      <c r="C411" s="49">
        <v>5</v>
      </c>
      <c r="D411" s="382" t="s">
        <v>86</v>
      </c>
      <c r="E411" s="65"/>
      <c r="F411" s="22"/>
      <c r="G411" s="136" t="s">
        <v>1053</v>
      </c>
      <c r="H411" s="297" t="s">
        <v>1026</v>
      </c>
      <c r="I411" s="297" t="s">
        <v>98</v>
      </c>
      <c r="J411" s="22"/>
      <c r="K411" s="298">
        <v>3325734</v>
      </c>
      <c r="L411" s="136"/>
      <c r="M411" s="25"/>
      <c r="N411" s="290">
        <v>4</v>
      </c>
      <c r="O411" s="22"/>
      <c r="P411" s="300">
        <v>30.39</v>
      </c>
      <c r="Q411" s="273">
        <f t="shared" si="35"/>
        <v>121.56</v>
      </c>
      <c r="R411" s="35"/>
      <c r="S411" s="273">
        <v>6477</v>
      </c>
      <c r="T411" s="273"/>
      <c r="U411" s="273">
        <f t="shared" si="36"/>
        <v>-6355.44</v>
      </c>
      <c r="V411" s="22" t="s">
        <v>1027</v>
      </c>
      <c r="W411" s="22" t="s">
        <v>1028</v>
      </c>
      <c r="X411" s="22"/>
      <c r="Y411" s="22"/>
      <c r="Z411" s="29">
        <v>43277</v>
      </c>
      <c r="AA411" s="29"/>
      <c r="AB411" s="29">
        <v>43294</v>
      </c>
      <c r="AC411" s="29">
        <v>43294</v>
      </c>
      <c r="AD411" s="29"/>
      <c r="AE411" s="29"/>
      <c r="AF411" s="86"/>
      <c r="AG411" s="29" t="s">
        <v>98</v>
      </c>
      <c r="AH411" s="519">
        <v>6477</v>
      </c>
      <c r="AI411" s="144"/>
      <c r="AJ411" s="143"/>
      <c r="AK411" s="143"/>
      <c r="AL411" s="143"/>
      <c r="AM411" s="143"/>
      <c r="AN411" s="143"/>
      <c r="AO411" s="143"/>
      <c r="AP411" s="143"/>
      <c r="AQ411" s="143"/>
      <c r="AR411" s="143"/>
    </row>
    <row r="412" spans="1:44" ht="12.75" customHeight="1" x14ac:dyDescent="0.25">
      <c r="A412" s="141"/>
      <c r="B412" s="352">
        <v>3</v>
      </c>
      <c r="C412" s="49">
        <v>5</v>
      </c>
      <c r="D412" s="382" t="s">
        <v>86</v>
      </c>
      <c r="E412" s="65"/>
      <c r="F412" s="22"/>
      <c r="G412" s="136" t="s">
        <v>1054</v>
      </c>
      <c r="H412" s="297" t="s">
        <v>1026</v>
      </c>
      <c r="I412" s="297" t="s">
        <v>98</v>
      </c>
      <c r="J412" s="22"/>
      <c r="K412" s="298">
        <v>4354209</v>
      </c>
      <c r="L412" s="136"/>
      <c r="M412" s="25"/>
      <c r="N412" s="290">
        <v>12</v>
      </c>
      <c r="O412" s="22"/>
      <c r="P412" s="300">
        <v>18.04</v>
      </c>
      <c r="Q412" s="273">
        <f t="shared" si="35"/>
        <v>216.48</v>
      </c>
      <c r="R412" s="35"/>
      <c r="S412" s="273">
        <v>1800</v>
      </c>
      <c r="T412" s="273"/>
      <c r="U412" s="273">
        <f t="shared" si="36"/>
        <v>-1583.52</v>
      </c>
      <c r="V412" s="22" t="s">
        <v>1027</v>
      </c>
      <c r="W412" s="22" t="s">
        <v>1028</v>
      </c>
      <c r="X412" s="22"/>
      <c r="Y412" s="22"/>
      <c r="Z412" s="29">
        <v>43277</v>
      </c>
      <c r="AA412" s="29"/>
      <c r="AB412" s="29">
        <v>43294</v>
      </c>
      <c r="AC412" s="29">
        <v>43294</v>
      </c>
      <c r="AD412" s="29"/>
      <c r="AE412" s="29"/>
      <c r="AF412" s="86"/>
      <c r="AG412" s="29" t="s">
        <v>98</v>
      </c>
      <c r="AH412" s="519">
        <v>1800</v>
      </c>
      <c r="AI412" s="144"/>
      <c r="AJ412" s="143"/>
      <c r="AK412" s="143"/>
      <c r="AL412" s="143"/>
      <c r="AM412" s="143"/>
      <c r="AN412" s="143"/>
      <c r="AO412" s="143"/>
      <c r="AP412" s="143"/>
      <c r="AQ412" s="143"/>
      <c r="AR412" s="143"/>
    </row>
    <row r="413" spans="1:44" ht="12.75" customHeight="1" x14ac:dyDescent="0.25">
      <c r="A413" s="141"/>
      <c r="B413" s="352">
        <v>3</v>
      </c>
      <c r="C413" s="49">
        <v>5</v>
      </c>
      <c r="D413" s="382" t="s">
        <v>86</v>
      </c>
      <c r="E413" s="65"/>
      <c r="F413" s="22"/>
      <c r="G413" s="136" t="s">
        <v>1055</v>
      </c>
      <c r="H413" s="297" t="s">
        <v>1026</v>
      </c>
      <c r="I413" s="297" t="s">
        <v>98</v>
      </c>
      <c r="J413" s="22"/>
      <c r="K413" s="298">
        <v>2980344</v>
      </c>
      <c r="L413" s="136"/>
      <c r="M413" s="25"/>
      <c r="N413" s="290">
        <v>1</v>
      </c>
      <c r="O413" s="22"/>
      <c r="P413" s="300">
        <v>1331.89</v>
      </c>
      <c r="Q413" s="273">
        <f t="shared" si="35"/>
        <v>1331.89</v>
      </c>
      <c r="R413" s="35"/>
      <c r="S413" s="273">
        <v>350</v>
      </c>
      <c r="T413" s="273"/>
      <c r="U413" s="273">
        <f t="shared" si="36"/>
        <v>981.8900000000001</v>
      </c>
      <c r="V413" s="22" t="s">
        <v>1027</v>
      </c>
      <c r="W413" s="22" t="s">
        <v>1028</v>
      </c>
      <c r="X413" s="22"/>
      <c r="Y413" s="22"/>
      <c r="Z413" s="29">
        <v>43277</v>
      </c>
      <c r="AA413" s="29"/>
      <c r="AB413" s="29">
        <v>43294</v>
      </c>
      <c r="AC413" s="29">
        <v>43294</v>
      </c>
      <c r="AD413" s="29"/>
      <c r="AE413" s="29"/>
      <c r="AF413" s="86"/>
      <c r="AG413" s="29" t="s">
        <v>98</v>
      </c>
      <c r="AH413" s="519">
        <v>350</v>
      </c>
      <c r="AI413" s="144"/>
      <c r="AJ413" s="143"/>
      <c r="AK413" s="143"/>
      <c r="AL413" s="143"/>
      <c r="AM413" s="143"/>
      <c r="AN413" s="143"/>
      <c r="AO413" s="143"/>
      <c r="AP413" s="143"/>
      <c r="AQ413" s="143"/>
      <c r="AR413" s="143"/>
    </row>
    <row r="414" spans="1:44" ht="12.75" customHeight="1" x14ac:dyDescent="0.25">
      <c r="A414" s="141"/>
      <c r="B414" s="352">
        <v>3</v>
      </c>
      <c r="C414" s="49">
        <v>5</v>
      </c>
      <c r="D414" s="382" t="s">
        <v>86</v>
      </c>
      <c r="E414" s="65"/>
      <c r="F414" s="22"/>
      <c r="G414" s="136" t="s">
        <v>1056</v>
      </c>
      <c r="H414" s="297" t="s">
        <v>1026</v>
      </c>
      <c r="I414" s="297" t="s">
        <v>98</v>
      </c>
      <c r="J414" s="22"/>
      <c r="K414" s="298">
        <v>2950417</v>
      </c>
      <c r="L414" s="136"/>
      <c r="M414" s="25"/>
      <c r="N414" s="290">
        <v>10</v>
      </c>
      <c r="O414" s="22"/>
      <c r="P414" s="300">
        <v>293.54000000000002</v>
      </c>
      <c r="Q414" s="273">
        <f t="shared" si="35"/>
        <v>2935.4</v>
      </c>
      <c r="R414" s="35"/>
      <c r="S414" s="273">
        <v>180</v>
      </c>
      <c r="T414" s="273"/>
      <c r="U414" s="273">
        <f t="shared" si="36"/>
        <v>2755.4</v>
      </c>
      <c r="V414" s="22" t="s">
        <v>1027</v>
      </c>
      <c r="W414" s="22" t="s">
        <v>1028</v>
      </c>
      <c r="X414" s="22"/>
      <c r="Y414" s="22"/>
      <c r="Z414" s="29">
        <v>43277</v>
      </c>
      <c r="AA414" s="29"/>
      <c r="AB414" s="29">
        <v>43294</v>
      </c>
      <c r="AC414" s="29">
        <v>43294</v>
      </c>
      <c r="AD414" s="29"/>
      <c r="AE414" s="29"/>
      <c r="AF414" s="86"/>
      <c r="AG414" s="29" t="s">
        <v>98</v>
      </c>
      <c r="AH414" s="519">
        <v>180</v>
      </c>
      <c r="AI414" s="144"/>
      <c r="AJ414" s="143"/>
      <c r="AK414" s="143"/>
      <c r="AL414" s="143"/>
      <c r="AM414" s="143"/>
      <c r="AN414" s="143"/>
      <c r="AO414" s="143"/>
      <c r="AP414" s="143"/>
      <c r="AQ414" s="143"/>
      <c r="AR414" s="143"/>
    </row>
    <row r="415" spans="1:44" ht="12.75" customHeight="1" x14ac:dyDescent="0.25">
      <c r="A415" s="141"/>
      <c r="B415" s="352">
        <v>3</v>
      </c>
      <c r="C415" s="49">
        <v>5</v>
      </c>
      <c r="D415" s="382" t="s">
        <v>86</v>
      </c>
      <c r="E415" s="65"/>
      <c r="F415" s="22"/>
      <c r="G415" s="136" t="s">
        <v>1057</v>
      </c>
      <c r="H415" s="297" t="s">
        <v>1026</v>
      </c>
      <c r="I415" s="297" t="s">
        <v>98</v>
      </c>
      <c r="J415" s="22"/>
      <c r="K415" s="298">
        <v>2947705</v>
      </c>
      <c r="L415" s="136"/>
      <c r="M415" s="25"/>
      <c r="N415" s="290">
        <v>3</v>
      </c>
      <c r="O415" s="22"/>
      <c r="P415" s="300">
        <v>455.99</v>
      </c>
      <c r="Q415" s="273">
        <f t="shared" si="35"/>
        <v>1367.97</v>
      </c>
      <c r="R415" s="35"/>
      <c r="S415" s="273">
        <v>114</v>
      </c>
      <c r="T415" s="273"/>
      <c r="U415" s="273">
        <f t="shared" si="36"/>
        <v>1253.97</v>
      </c>
      <c r="V415" s="22" t="s">
        <v>1027</v>
      </c>
      <c r="W415" s="22" t="s">
        <v>1028</v>
      </c>
      <c r="X415" s="22"/>
      <c r="Y415" s="22"/>
      <c r="Z415" s="29">
        <v>43277</v>
      </c>
      <c r="AA415" s="29"/>
      <c r="AB415" s="29">
        <v>43294</v>
      </c>
      <c r="AC415" s="29">
        <v>43294</v>
      </c>
      <c r="AD415" s="29"/>
      <c r="AE415" s="29"/>
      <c r="AF415" s="86"/>
      <c r="AG415" s="29" t="s">
        <v>98</v>
      </c>
      <c r="AH415" s="519">
        <v>114</v>
      </c>
      <c r="AI415" s="144"/>
      <c r="AJ415" s="143"/>
      <c r="AK415" s="143"/>
      <c r="AL415" s="143"/>
      <c r="AM415" s="143"/>
      <c r="AN415" s="143"/>
      <c r="AO415" s="143"/>
      <c r="AP415" s="143"/>
      <c r="AQ415" s="143"/>
      <c r="AR415" s="143"/>
    </row>
    <row r="416" spans="1:44" ht="12.75" customHeight="1" x14ac:dyDescent="0.25">
      <c r="A416" s="141"/>
      <c r="B416" s="352">
        <v>3</v>
      </c>
      <c r="C416" s="49">
        <v>5</v>
      </c>
      <c r="D416" s="382" t="s">
        <v>86</v>
      </c>
      <c r="E416" s="65"/>
      <c r="F416" s="22"/>
      <c r="G416" s="136" t="s">
        <v>988</v>
      </c>
      <c r="H416" s="297" t="s">
        <v>1026</v>
      </c>
      <c r="I416" s="297" t="s">
        <v>98</v>
      </c>
      <c r="J416" s="22"/>
      <c r="K416" s="139"/>
      <c r="L416" s="136"/>
      <c r="M416" s="25"/>
      <c r="N416" s="290">
        <v>1</v>
      </c>
      <c r="O416" s="22"/>
      <c r="P416" s="291">
        <v>521.36</v>
      </c>
      <c r="Q416" s="273">
        <f t="shared" si="35"/>
        <v>521.36</v>
      </c>
      <c r="R416" s="35"/>
      <c r="S416" s="273">
        <v>63</v>
      </c>
      <c r="T416" s="273"/>
      <c r="U416" s="273">
        <f t="shared" si="36"/>
        <v>458.36</v>
      </c>
      <c r="V416" s="22" t="s">
        <v>1027</v>
      </c>
      <c r="W416" s="22" t="s">
        <v>1028</v>
      </c>
      <c r="X416" s="22"/>
      <c r="Y416" s="22"/>
      <c r="Z416" s="29">
        <v>43277</v>
      </c>
      <c r="AA416" s="29"/>
      <c r="AB416" s="29">
        <v>43294</v>
      </c>
      <c r="AC416" s="29">
        <v>43294</v>
      </c>
      <c r="AD416" s="29"/>
      <c r="AE416" s="29"/>
      <c r="AF416" s="86"/>
      <c r="AG416" s="29" t="s">
        <v>98</v>
      </c>
      <c r="AH416" s="519">
        <v>63</v>
      </c>
      <c r="AI416" s="144"/>
      <c r="AJ416" s="143"/>
      <c r="AK416" s="143"/>
      <c r="AL416" s="143"/>
      <c r="AM416" s="143"/>
      <c r="AN416" s="143"/>
      <c r="AO416" s="143"/>
      <c r="AP416" s="143"/>
      <c r="AQ416" s="143"/>
      <c r="AR416" s="143"/>
    </row>
    <row r="417" spans="1:44" ht="12.75" customHeight="1" x14ac:dyDescent="0.25">
      <c r="A417" s="141"/>
      <c r="B417" s="352">
        <v>3</v>
      </c>
      <c r="C417" s="49">
        <v>5</v>
      </c>
      <c r="D417" s="382" t="s">
        <v>86</v>
      </c>
      <c r="E417" s="65"/>
      <c r="F417" s="22"/>
      <c r="G417" s="65" t="s">
        <v>1058</v>
      </c>
      <c r="H417" s="65" t="s">
        <v>88</v>
      </c>
      <c r="I417" s="65" t="s">
        <v>98</v>
      </c>
      <c r="J417" s="22"/>
      <c r="K417" s="65" t="s">
        <v>1059</v>
      </c>
      <c r="L417" s="136"/>
      <c r="M417" s="25"/>
      <c r="N417" s="65">
        <v>1</v>
      </c>
      <c r="O417" s="22"/>
      <c r="P417" s="273">
        <v>2651.82</v>
      </c>
      <c r="Q417" s="273">
        <f t="shared" si="35"/>
        <v>2651.82</v>
      </c>
      <c r="R417" s="35"/>
      <c r="S417" s="273">
        <v>2787.71</v>
      </c>
      <c r="T417" s="273"/>
      <c r="U417" s="273">
        <f t="shared" si="36"/>
        <v>-135.88999999999987</v>
      </c>
      <c r="V417" s="65" t="s">
        <v>1060</v>
      </c>
      <c r="W417" s="65" t="s">
        <v>1061</v>
      </c>
      <c r="X417" s="22"/>
      <c r="Y417" s="22"/>
      <c r="Z417" s="29">
        <v>43252</v>
      </c>
      <c r="AA417" s="29"/>
      <c r="AB417" s="29">
        <v>43280</v>
      </c>
      <c r="AC417" s="29">
        <v>43262</v>
      </c>
      <c r="AD417" s="29"/>
      <c r="AE417" s="29"/>
      <c r="AF417" s="86"/>
      <c r="AG417" s="29" t="s">
        <v>98</v>
      </c>
      <c r="AH417" s="519">
        <v>2787.71</v>
      </c>
      <c r="AI417" s="144"/>
      <c r="AJ417" s="143"/>
      <c r="AK417" s="143"/>
      <c r="AL417" s="143"/>
      <c r="AM417" s="143"/>
      <c r="AN417" s="143"/>
      <c r="AO417" s="143"/>
      <c r="AP417" s="143"/>
      <c r="AQ417" s="143"/>
      <c r="AR417" s="143"/>
    </row>
    <row r="418" spans="1:44" ht="12.75" customHeight="1" x14ac:dyDescent="0.25">
      <c r="A418" s="141"/>
      <c r="B418" s="352">
        <v>3</v>
      </c>
      <c r="C418" s="49">
        <v>5</v>
      </c>
      <c r="D418" s="382" t="s">
        <v>86</v>
      </c>
      <c r="E418" s="65"/>
      <c r="F418" s="22"/>
      <c r="G418" s="22" t="s">
        <v>1062</v>
      </c>
      <c r="H418" s="22" t="s">
        <v>825</v>
      </c>
      <c r="I418" s="22" t="s">
        <v>914</v>
      </c>
      <c r="J418" s="22"/>
      <c r="K418" s="22" t="s">
        <v>1063</v>
      </c>
      <c r="L418" s="136"/>
      <c r="M418" s="25"/>
      <c r="N418" s="22">
        <v>10</v>
      </c>
      <c r="O418" s="22"/>
      <c r="P418" s="273">
        <v>7.26</v>
      </c>
      <c r="Q418" s="273">
        <f t="shared" ref="Q418:Q451" si="37">P418*N418</f>
        <v>72.599999999999994</v>
      </c>
      <c r="R418" s="35"/>
      <c r="S418" s="273">
        <v>61.1</v>
      </c>
      <c r="T418" s="273"/>
      <c r="U418" s="273">
        <f>Q418-S418</f>
        <v>11.499999999999993</v>
      </c>
      <c r="V418" s="22" t="s">
        <v>1064</v>
      </c>
      <c r="W418" s="22" t="s">
        <v>1065</v>
      </c>
      <c r="X418" s="22"/>
      <c r="Y418" s="22"/>
      <c r="Z418" s="29">
        <v>43314</v>
      </c>
      <c r="AA418" s="29"/>
      <c r="AB418" s="29">
        <v>43329</v>
      </c>
      <c r="AC418" s="29">
        <v>43326</v>
      </c>
      <c r="AD418" s="29"/>
      <c r="AE418" s="29"/>
      <c r="AF418" s="86"/>
      <c r="AG418" s="29" t="s">
        <v>98</v>
      </c>
      <c r="AH418" s="519">
        <v>61.1</v>
      </c>
      <c r="AI418" s="144"/>
      <c r="AJ418" s="143"/>
      <c r="AK418" s="143"/>
      <c r="AL418" s="143"/>
      <c r="AM418" s="143"/>
      <c r="AN418" s="143"/>
      <c r="AO418" s="143"/>
      <c r="AP418" s="143"/>
      <c r="AQ418" s="143"/>
      <c r="AR418" s="143"/>
    </row>
    <row r="419" spans="1:44" ht="12.75" customHeight="1" x14ac:dyDescent="0.25">
      <c r="A419" s="141"/>
      <c r="B419" s="352">
        <v>3</v>
      </c>
      <c r="C419" s="49">
        <v>5</v>
      </c>
      <c r="D419" s="382" t="s">
        <v>86</v>
      </c>
      <c r="E419" s="65"/>
      <c r="F419" s="22"/>
      <c r="G419" s="22" t="s">
        <v>1066</v>
      </c>
      <c r="H419" s="22" t="s">
        <v>825</v>
      </c>
      <c r="I419" s="22" t="s">
        <v>914</v>
      </c>
      <c r="J419" s="22"/>
      <c r="K419" s="25" t="s">
        <v>1067</v>
      </c>
      <c r="L419" s="136"/>
      <c r="M419" s="25"/>
      <c r="N419" s="22">
        <v>6</v>
      </c>
      <c r="O419" s="22"/>
      <c r="P419" s="273">
        <v>27.27</v>
      </c>
      <c r="Q419" s="273">
        <f t="shared" si="37"/>
        <v>163.62</v>
      </c>
      <c r="R419" s="35"/>
      <c r="S419" s="273">
        <v>157.62</v>
      </c>
      <c r="T419" s="273"/>
      <c r="U419" s="273">
        <f t="shared" ref="U419:U452" si="38">Q419-S419</f>
        <v>6</v>
      </c>
      <c r="V419" s="22" t="s">
        <v>1064</v>
      </c>
      <c r="W419" s="22" t="s">
        <v>1065</v>
      </c>
      <c r="X419" s="22"/>
      <c r="Y419" s="22"/>
      <c r="Z419" s="29">
        <v>43314</v>
      </c>
      <c r="AA419" s="29"/>
      <c r="AB419" s="29">
        <v>43329</v>
      </c>
      <c r="AC419" s="29">
        <v>43326</v>
      </c>
      <c r="AD419" s="29"/>
      <c r="AE419" s="29"/>
      <c r="AF419" s="86"/>
      <c r="AG419" s="29" t="s">
        <v>98</v>
      </c>
      <c r="AH419" s="519">
        <v>157.62</v>
      </c>
      <c r="AI419" s="144"/>
      <c r="AJ419" s="143"/>
      <c r="AK419" s="143"/>
      <c r="AL419" s="143"/>
      <c r="AM419" s="143"/>
      <c r="AN419" s="143"/>
      <c r="AO419" s="143"/>
      <c r="AP419" s="143"/>
      <c r="AQ419" s="143"/>
      <c r="AR419" s="143"/>
    </row>
    <row r="420" spans="1:44" ht="12.75" customHeight="1" x14ac:dyDescent="0.25">
      <c r="A420" s="141"/>
      <c r="B420" s="352">
        <v>3</v>
      </c>
      <c r="C420" s="49">
        <v>5</v>
      </c>
      <c r="D420" s="382" t="s">
        <v>86</v>
      </c>
      <c r="E420" s="65"/>
      <c r="F420" s="22"/>
      <c r="G420" s="22" t="s">
        <v>1068</v>
      </c>
      <c r="H420" s="22" t="s">
        <v>825</v>
      </c>
      <c r="I420" s="22" t="s">
        <v>914</v>
      </c>
      <c r="J420" s="22"/>
      <c r="K420" s="25" t="s">
        <v>1069</v>
      </c>
      <c r="L420" s="136"/>
      <c r="M420" s="25"/>
      <c r="N420" s="22">
        <v>4</v>
      </c>
      <c r="O420" s="22"/>
      <c r="P420" s="273">
        <v>35.659999999999997</v>
      </c>
      <c r="Q420" s="273">
        <f t="shared" si="37"/>
        <v>142.63999999999999</v>
      </c>
      <c r="R420" s="35"/>
      <c r="S420" s="273">
        <v>138.63999999999999</v>
      </c>
      <c r="T420" s="273"/>
      <c r="U420" s="273">
        <f t="shared" si="38"/>
        <v>4</v>
      </c>
      <c r="V420" s="22" t="s">
        <v>1064</v>
      </c>
      <c r="W420" s="22" t="s">
        <v>1065</v>
      </c>
      <c r="X420" s="22"/>
      <c r="Y420" s="22"/>
      <c r="Z420" s="29">
        <v>43314</v>
      </c>
      <c r="AA420" s="29"/>
      <c r="AB420" s="29">
        <v>43329</v>
      </c>
      <c r="AC420" s="29">
        <v>43326</v>
      </c>
      <c r="AD420" s="29"/>
      <c r="AE420" s="29"/>
      <c r="AF420" s="86"/>
      <c r="AG420" s="29" t="s">
        <v>98</v>
      </c>
      <c r="AH420" s="519">
        <v>138.63999999999999</v>
      </c>
      <c r="AI420" s="144"/>
      <c r="AJ420" s="143"/>
      <c r="AK420" s="143"/>
      <c r="AL420" s="143"/>
      <c r="AM420" s="143"/>
      <c r="AN420" s="143"/>
      <c r="AO420" s="143"/>
      <c r="AP420" s="143"/>
      <c r="AQ420" s="143"/>
      <c r="AR420" s="143"/>
    </row>
    <row r="421" spans="1:44" ht="12.75" customHeight="1" x14ac:dyDescent="0.25">
      <c r="A421" s="141"/>
      <c r="B421" s="352">
        <v>3</v>
      </c>
      <c r="C421" s="49">
        <v>5</v>
      </c>
      <c r="D421" s="382" t="s">
        <v>86</v>
      </c>
      <c r="E421" s="65"/>
      <c r="F421" s="22"/>
      <c r="G421" s="22" t="s">
        <v>1070</v>
      </c>
      <c r="H421" s="22" t="s">
        <v>825</v>
      </c>
      <c r="I421" s="22" t="s">
        <v>914</v>
      </c>
      <c r="J421" s="22"/>
      <c r="K421" s="25" t="s">
        <v>1071</v>
      </c>
      <c r="L421" s="136"/>
      <c r="M421" s="25"/>
      <c r="N421" s="22">
        <v>2</v>
      </c>
      <c r="O421" s="22"/>
      <c r="P421" s="273">
        <v>54.1</v>
      </c>
      <c r="Q421" s="273">
        <f t="shared" si="37"/>
        <v>108.2</v>
      </c>
      <c r="R421" s="35"/>
      <c r="S421" s="273">
        <v>106.2</v>
      </c>
      <c r="T421" s="273"/>
      <c r="U421" s="273">
        <f t="shared" si="38"/>
        <v>2</v>
      </c>
      <c r="V421" s="22" t="s">
        <v>1064</v>
      </c>
      <c r="W421" s="22" t="s">
        <v>1065</v>
      </c>
      <c r="X421" s="22"/>
      <c r="Y421" s="22"/>
      <c r="Z421" s="29">
        <v>43314</v>
      </c>
      <c r="AA421" s="29"/>
      <c r="AB421" s="29">
        <v>43329</v>
      </c>
      <c r="AC421" s="29">
        <v>43326</v>
      </c>
      <c r="AD421" s="29"/>
      <c r="AE421" s="29"/>
      <c r="AF421" s="86"/>
      <c r="AG421" s="29" t="s">
        <v>98</v>
      </c>
      <c r="AH421" s="519">
        <v>106.2</v>
      </c>
      <c r="AI421" s="144"/>
      <c r="AJ421" s="143"/>
      <c r="AK421" s="143"/>
      <c r="AL421" s="143"/>
      <c r="AM421" s="143"/>
      <c r="AN421" s="143"/>
      <c r="AO421" s="143"/>
      <c r="AP421" s="143"/>
      <c r="AQ421" s="143"/>
      <c r="AR421" s="143"/>
    </row>
    <row r="422" spans="1:44" ht="12.75" customHeight="1" x14ac:dyDescent="0.25">
      <c r="A422" s="141"/>
      <c r="B422" s="352">
        <v>3</v>
      </c>
      <c r="C422" s="49">
        <v>5</v>
      </c>
      <c r="D422" s="382" t="s">
        <v>86</v>
      </c>
      <c r="E422" s="65"/>
      <c r="F422" s="22"/>
      <c r="G422" s="22" t="s">
        <v>1072</v>
      </c>
      <c r="H422" s="22" t="s">
        <v>825</v>
      </c>
      <c r="I422" s="22" t="s">
        <v>914</v>
      </c>
      <c r="J422" s="22"/>
      <c r="K422" s="25" t="s">
        <v>1073</v>
      </c>
      <c r="L422" s="136"/>
      <c r="M422" s="25"/>
      <c r="N422" s="22">
        <v>4</v>
      </c>
      <c r="O422" s="22"/>
      <c r="P422" s="273">
        <v>24.81</v>
      </c>
      <c r="Q422" s="273">
        <f t="shared" si="37"/>
        <v>99.24</v>
      </c>
      <c r="R422" s="35"/>
      <c r="S422" s="273">
        <v>95.24</v>
      </c>
      <c r="T422" s="273"/>
      <c r="U422" s="273">
        <f t="shared" si="38"/>
        <v>4</v>
      </c>
      <c r="V422" s="22" t="s">
        <v>1064</v>
      </c>
      <c r="W422" s="22" t="s">
        <v>1065</v>
      </c>
      <c r="X422" s="22"/>
      <c r="Y422" s="22"/>
      <c r="Z422" s="29">
        <v>43314</v>
      </c>
      <c r="AA422" s="29"/>
      <c r="AB422" s="29">
        <v>43329</v>
      </c>
      <c r="AC422" s="29">
        <v>43326</v>
      </c>
      <c r="AD422" s="29"/>
      <c r="AE422" s="29"/>
      <c r="AF422" s="86"/>
      <c r="AG422" s="29" t="s">
        <v>98</v>
      </c>
      <c r="AH422" s="519">
        <v>95.24</v>
      </c>
      <c r="AI422" s="144"/>
      <c r="AJ422" s="143"/>
      <c r="AK422" s="143"/>
      <c r="AL422" s="143"/>
      <c r="AM422" s="143"/>
      <c r="AN422" s="143"/>
      <c r="AO422" s="143"/>
      <c r="AP422" s="143"/>
      <c r="AQ422" s="143"/>
      <c r="AR422" s="143"/>
    </row>
    <row r="423" spans="1:44" ht="12.75" customHeight="1" x14ac:dyDescent="0.25">
      <c r="A423" s="141"/>
      <c r="B423" s="352">
        <v>3</v>
      </c>
      <c r="C423" s="49">
        <v>5</v>
      </c>
      <c r="D423" s="382" t="s">
        <v>86</v>
      </c>
      <c r="E423" s="65"/>
      <c r="F423" s="22"/>
      <c r="G423" s="22" t="s">
        <v>1074</v>
      </c>
      <c r="H423" s="22" t="s">
        <v>825</v>
      </c>
      <c r="I423" s="22" t="s">
        <v>914</v>
      </c>
      <c r="J423" s="22"/>
      <c r="K423" s="25" t="s">
        <v>1075</v>
      </c>
      <c r="L423" s="136"/>
      <c r="M423" s="25"/>
      <c r="N423" s="22">
        <v>4</v>
      </c>
      <c r="O423" s="22"/>
      <c r="P423" s="273">
        <v>28.77</v>
      </c>
      <c r="Q423" s="273">
        <f t="shared" si="37"/>
        <v>115.08</v>
      </c>
      <c r="R423" s="35"/>
      <c r="S423" s="273">
        <v>111.08</v>
      </c>
      <c r="T423" s="273"/>
      <c r="U423" s="273">
        <f t="shared" si="38"/>
        <v>4</v>
      </c>
      <c r="V423" s="22" t="s">
        <v>1064</v>
      </c>
      <c r="W423" s="22" t="s">
        <v>1065</v>
      </c>
      <c r="X423" s="22"/>
      <c r="Y423" s="22"/>
      <c r="Z423" s="29">
        <v>43314</v>
      </c>
      <c r="AA423" s="29"/>
      <c r="AB423" s="29">
        <v>43329</v>
      </c>
      <c r="AC423" s="29">
        <v>43326</v>
      </c>
      <c r="AD423" s="29"/>
      <c r="AE423" s="29"/>
      <c r="AF423" s="86"/>
      <c r="AG423" s="29" t="s">
        <v>98</v>
      </c>
      <c r="AH423" s="519">
        <v>111.08</v>
      </c>
      <c r="AI423" s="144"/>
      <c r="AJ423" s="143"/>
      <c r="AK423" s="143"/>
      <c r="AL423" s="143"/>
      <c r="AM423" s="143"/>
      <c r="AN423" s="143"/>
      <c r="AO423" s="143"/>
      <c r="AP423" s="143"/>
      <c r="AQ423" s="143"/>
      <c r="AR423" s="143"/>
    </row>
    <row r="424" spans="1:44" ht="12.75" customHeight="1" x14ac:dyDescent="0.25">
      <c r="A424" s="141"/>
      <c r="B424" s="352">
        <v>3</v>
      </c>
      <c r="C424" s="49">
        <v>5</v>
      </c>
      <c r="D424" s="382" t="s">
        <v>86</v>
      </c>
      <c r="E424" s="65"/>
      <c r="F424" s="22"/>
      <c r="G424" s="22" t="s">
        <v>1076</v>
      </c>
      <c r="H424" s="22" t="s">
        <v>825</v>
      </c>
      <c r="I424" s="22" t="s">
        <v>914</v>
      </c>
      <c r="J424" s="22"/>
      <c r="K424" s="25" t="s">
        <v>1077</v>
      </c>
      <c r="L424" s="136"/>
      <c r="M424" s="25"/>
      <c r="N424" s="22">
        <v>4</v>
      </c>
      <c r="O424" s="22"/>
      <c r="P424" s="273">
        <v>37.15</v>
      </c>
      <c r="Q424" s="273">
        <f t="shared" si="37"/>
        <v>148.6</v>
      </c>
      <c r="R424" s="35"/>
      <c r="S424" s="273">
        <v>144.6</v>
      </c>
      <c r="T424" s="273"/>
      <c r="U424" s="273">
        <f t="shared" si="38"/>
        <v>4</v>
      </c>
      <c r="V424" s="22" t="s">
        <v>1064</v>
      </c>
      <c r="W424" s="22" t="s">
        <v>1065</v>
      </c>
      <c r="X424" s="22"/>
      <c r="Y424" s="22"/>
      <c r="Z424" s="29">
        <v>43314</v>
      </c>
      <c r="AA424" s="29"/>
      <c r="AB424" s="29">
        <v>43329</v>
      </c>
      <c r="AC424" s="29">
        <v>43326</v>
      </c>
      <c r="AD424" s="29"/>
      <c r="AE424" s="29"/>
      <c r="AF424" s="86"/>
      <c r="AG424" s="29" t="s">
        <v>98</v>
      </c>
      <c r="AH424" s="519">
        <v>144.6</v>
      </c>
      <c r="AI424" s="144"/>
      <c r="AJ424" s="143"/>
      <c r="AK424" s="143"/>
      <c r="AL424" s="143"/>
      <c r="AM424" s="143"/>
      <c r="AN424" s="143"/>
      <c r="AO424" s="143"/>
      <c r="AP424" s="143"/>
      <c r="AQ424" s="143"/>
      <c r="AR424" s="143"/>
    </row>
    <row r="425" spans="1:44" ht="12.75" customHeight="1" x14ac:dyDescent="0.25">
      <c r="A425" s="141"/>
      <c r="B425" s="352">
        <v>3</v>
      </c>
      <c r="C425" s="49">
        <v>5</v>
      </c>
      <c r="D425" s="382" t="s">
        <v>86</v>
      </c>
      <c r="E425" s="65"/>
      <c r="F425" s="22"/>
      <c r="G425" s="22" t="s">
        <v>1078</v>
      </c>
      <c r="H425" s="22" t="s">
        <v>825</v>
      </c>
      <c r="I425" s="22" t="s">
        <v>914</v>
      </c>
      <c r="J425" s="22"/>
      <c r="K425" s="25" t="s">
        <v>1079</v>
      </c>
      <c r="L425" s="136"/>
      <c r="M425" s="25"/>
      <c r="N425" s="22">
        <v>2</v>
      </c>
      <c r="O425" s="22"/>
      <c r="P425" s="273">
        <v>55.59</v>
      </c>
      <c r="Q425" s="273">
        <f t="shared" si="37"/>
        <v>111.18</v>
      </c>
      <c r="R425" s="35"/>
      <c r="S425" s="273">
        <v>99.18</v>
      </c>
      <c r="T425" s="273"/>
      <c r="U425" s="273">
        <f t="shared" si="38"/>
        <v>12</v>
      </c>
      <c r="V425" s="22" t="s">
        <v>1064</v>
      </c>
      <c r="W425" s="22" t="s">
        <v>1065</v>
      </c>
      <c r="X425" s="22"/>
      <c r="Y425" s="22"/>
      <c r="Z425" s="29">
        <v>43314</v>
      </c>
      <c r="AA425" s="29"/>
      <c r="AB425" s="29">
        <v>43329</v>
      </c>
      <c r="AC425" s="29">
        <v>43326</v>
      </c>
      <c r="AD425" s="29"/>
      <c r="AE425" s="29"/>
      <c r="AF425" s="86"/>
      <c r="AG425" s="29" t="s">
        <v>98</v>
      </c>
      <c r="AH425" s="519">
        <v>99.18</v>
      </c>
      <c r="AI425" s="144"/>
      <c r="AJ425" s="143"/>
      <c r="AK425" s="143"/>
      <c r="AL425" s="143"/>
      <c r="AM425" s="143"/>
      <c r="AN425" s="143"/>
      <c r="AO425" s="143"/>
      <c r="AP425" s="143"/>
      <c r="AQ425" s="143"/>
      <c r="AR425" s="143"/>
    </row>
    <row r="426" spans="1:44" ht="12.75" customHeight="1" x14ac:dyDescent="0.25">
      <c r="A426" s="141"/>
      <c r="B426" s="352">
        <v>3</v>
      </c>
      <c r="C426" s="49">
        <v>5</v>
      </c>
      <c r="D426" s="382" t="s">
        <v>86</v>
      </c>
      <c r="E426" s="65"/>
      <c r="F426" s="22"/>
      <c r="G426" s="22" t="s">
        <v>1080</v>
      </c>
      <c r="H426" s="22" t="s">
        <v>825</v>
      </c>
      <c r="I426" s="22" t="s">
        <v>914</v>
      </c>
      <c r="J426" s="22"/>
      <c r="K426" s="25" t="s">
        <v>1081</v>
      </c>
      <c r="L426" s="136"/>
      <c r="M426" s="25"/>
      <c r="N426" s="22">
        <v>2</v>
      </c>
      <c r="O426" s="22"/>
      <c r="P426" s="273">
        <v>136.72999999999999</v>
      </c>
      <c r="Q426" s="273">
        <f t="shared" si="37"/>
        <v>273.45999999999998</v>
      </c>
      <c r="R426" s="35"/>
      <c r="S426" s="273">
        <v>253.46</v>
      </c>
      <c r="T426" s="273"/>
      <c r="U426" s="273">
        <f t="shared" si="38"/>
        <v>19.999999999999972</v>
      </c>
      <c r="V426" s="22" t="s">
        <v>1064</v>
      </c>
      <c r="W426" s="22" t="s">
        <v>1065</v>
      </c>
      <c r="X426" s="22"/>
      <c r="Y426" s="22"/>
      <c r="Z426" s="29">
        <v>43314</v>
      </c>
      <c r="AA426" s="29"/>
      <c r="AB426" s="29">
        <v>43329</v>
      </c>
      <c r="AC426" s="29">
        <v>43326</v>
      </c>
      <c r="AD426" s="29"/>
      <c r="AE426" s="29"/>
      <c r="AF426" s="86"/>
      <c r="AG426" s="29" t="s">
        <v>98</v>
      </c>
      <c r="AH426" s="519">
        <v>253.46</v>
      </c>
      <c r="AI426" s="144"/>
      <c r="AJ426" s="143"/>
      <c r="AK426" s="143"/>
      <c r="AL426" s="143"/>
      <c r="AM426" s="143"/>
      <c r="AN426" s="143"/>
      <c r="AO426" s="143"/>
      <c r="AP426" s="143"/>
      <c r="AQ426" s="143"/>
      <c r="AR426" s="143"/>
    </row>
    <row r="427" spans="1:44" ht="12.75" customHeight="1" x14ac:dyDescent="0.25">
      <c r="A427" s="141"/>
      <c r="B427" s="352">
        <v>3</v>
      </c>
      <c r="C427" s="49">
        <v>5</v>
      </c>
      <c r="D427" s="382" t="s">
        <v>86</v>
      </c>
      <c r="E427" s="65"/>
      <c r="F427" s="22"/>
      <c r="G427" s="22" t="s">
        <v>1082</v>
      </c>
      <c r="H427" s="22" t="s">
        <v>825</v>
      </c>
      <c r="I427" s="22" t="s">
        <v>914</v>
      </c>
      <c r="J427" s="22"/>
      <c r="K427" s="25" t="s">
        <v>1083</v>
      </c>
      <c r="L427" s="136"/>
      <c r="M427" s="25"/>
      <c r="N427" s="22">
        <v>2</v>
      </c>
      <c r="O427" s="22"/>
      <c r="P427" s="273">
        <v>136.72999999999999</v>
      </c>
      <c r="Q427" s="273">
        <f t="shared" si="37"/>
        <v>273.45999999999998</v>
      </c>
      <c r="R427" s="35"/>
      <c r="S427" s="273">
        <v>253.46</v>
      </c>
      <c r="T427" s="273"/>
      <c r="U427" s="273">
        <f t="shared" si="38"/>
        <v>19.999999999999972</v>
      </c>
      <c r="V427" s="22" t="s">
        <v>1064</v>
      </c>
      <c r="W427" s="22" t="s">
        <v>1065</v>
      </c>
      <c r="X427" s="22"/>
      <c r="Y427" s="22"/>
      <c r="Z427" s="29">
        <v>43314</v>
      </c>
      <c r="AA427" s="29"/>
      <c r="AB427" s="29">
        <v>43329</v>
      </c>
      <c r="AC427" s="29">
        <v>43326</v>
      </c>
      <c r="AD427" s="29"/>
      <c r="AE427" s="29"/>
      <c r="AF427" s="86"/>
      <c r="AG427" s="29" t="s">
        <v>98</v>
      </c>
      <c r="AH427" s="519">
        <v>253.46</v>
      </c>
      <c r="AI427" s="144"/>
      <c r="AJ427" s="143"/>
      <c r="AK427" s="143"/>
      <c r="AL427" s="143"/>
      <c r="AM427" s="143"/>
      <c r="AN427" s="143"/>
      <c r="AO427" s="143"/>
      <c r="AP427" s="143"/>
      <c r="AQ427" s="143"/>
      <c r="AR427" s="143"/>
    </row>
    <row r="428" spans="1:44" ht="12.75" customHeight="1" x14ac:dyDescent="0.25">
      <c r="A428" s="141"/>
      <c r="B428" s="352">
        <v>3</v>
      </c>
      <c r="C428" s="49">
        <v>5</v>
      </c>
      <c r="D428" s="382" t="s">
        <v>86</v>
      </c>
      <c r="E428" s="65"/>
      <c r="F428" s="22"/>
      <c r="G428" s="22" t="s">
        <v>1084</v>
      </c>
      <c r="H428" s="22" t="s">
        <v>825</v>
      </c>
      <c r="I428" s="22" t="s">
        <v>914</v>
      </c>
      <c r="J428" s="22"/>
      <c r="K428" s="25" t="s">
        <v>1085</v>
      </c>
      <c r="L428" s="136"/>
      <c r="M428" s="25"/>
      <c r="N428" s="22">
        <v>4</v>
      </c>
      <c r="O428" s="22"/>
      <c r="P428" s="273">
        <v>44.89</v>
      </c>
      <c r="Q428" s="273">
        <f t="shared" si="37"/>
        <v>179.56</v>
      </c>
      <c r="R428" s="35"/>
      <c r="S428" s="273">
        <v>159.56</v>
      </c>
      <c r="T428" s="273"/>
      <c r="U428" s="273">
        <f t="shared" si="38"/>
        <v>20</v>
      </c>
      <c r="V428" s="22" t="s">
        <v>1064</v>
      </c>
      <c r="W428" s="22" t="s">
        <v>1065</v>
      </c>
      <c r="X428" s="22"/>
      <c r="Y428" s="22"/>
      <c r="Z428" s="29">
        <v>43314</v>
      </c>
      <c r="AA428" s="29"/>
      <c r="AB428" s="29">
        <v>43329</v>
      </c>
      <c r="AC428" s="29">
        <v>43326</v>
      </c>
      <c r="AD428" s="29"/>
      <c r="AE428" s="29"/>
      <c r="AF428" s="86"/>
      <c r="AG428" s="29" t="s">
        <v>98</v>
      </c>
      <c r="AH428" s="519">
        <v>159.56</v>
      </c>
      <c r="AI428" s="144"/>
      <c r="AJ428" s="143"/>
      <c r="AK428" s="143"/>
      <c r="AL428" s="143"/>
      <c r="AM428" s="143"/>
      <c r="AN428" s="143"/>
      <c r="AO428" s="143"/>
      <c r="AP428" s="143"/>
      <c r="AQ428" s="143"/>
      <c r="AR428" s="143"/>
    </row>
    <row r="429" spans="1:44" ht="12.75" customHeight="1" x14ac:dyDescent="0.25">
      <c r="A429" s="141"/>
      <c r="B429" s="352">
        <v>3</v>
      </c>
      <c r="C429" s="49">
        <v>5</v>
      </c>
      <c r="D429" s="382" t="s">
        <v>86</v>
      </c>
      <c r="E429" s="65"/>
      <c r="F429" s="22"/>
      <c r="G429" s="22" t="s">
        <v>1086</v>
      </c>
      <c r="H429" s="22" t="s">
        <v>825</v>
      </c>
      <c r="I429" s="22" t="s">
        <v>914</v>
      </c>
      <c r="J429" s="22"/>
      <c r="K429" s="25" t="s">
        <v>1087</v>
      </c>
      <c r="L429" s="136"/>
      <c r="M429" s="25"/>
      <c r="N429" s="22">
        <v>4</v>
      </c>
      <c r="O429" s="22"/>
      <c r="P429" s="273">
        <v>36.32</v>
      </c>
      <c r="Q429" s="273">
        <f t="shared" si="37"/>
        <v>145.28</v>
      </c>
      <c r="R429" s="35"/>
      <c r="S429" s="273">
        <v>145.28</v>
      </c>
      <c r="T429" s="273"/>
      <c r="U429" s="273">
        <f t="shared" si="38"/>
        <v>0</v>
      </c>
      <c r="V429" s="22" t="s">
        <v>1064</v>
      </c>
      <c r="W429" s="22" t="s">
        <v>1065</v>
      </c>
      <c r="X429" s="22"/>
      <c r="Y429" s="22"/>
      <c r="Z429" s="29">
        <v>43314</v>
      </c>
      <c r="AA429" s="29"/>
      <c r="AB429" s="29">
        <v>43329</v>
      </c>
      <c r="AC429" s="29">
        <v>43326</v>
      </c>
      <c r="AD429" s="29"/>
      <c r="AE429" s="29"/>
      <c r="AF429" s="86"/>
      <c r="AG429" s="29" t="s">
        <v>98</v>
      </c>
      <c r="AH429" s="519">
        <v>145.28</v>
      </c>
      <c r="AI429" s="144"/>
      <c r="AJ429" s="143"/>
      <c r="AK429" s="143"/>
      <c r="AL429" s="143"/>
      <c r="AM429" s="143"/>
      <c r="AN429" s="143"/>
      <c r="AO429" s="143"/>
      <c r="AP429" s="143"/>
      <c r="AQ429" s="143"/>
      <c r="AR429" s="143"/>
    </row>
    <row r="430" spans="1:44" ht="12.75" customHeight="1" x14ac:dyDescent="0.25">
      <c r="A430" s="141"/>
      <c r="B430" s="352">
        <v>3</v>
      </c>
      <c r="C430" s="49">
        <v>5</v>
      </c>
      <c r="D430" s="382" t="s">
        <v>86</v>
      </c>
      <c r="E430" s="65"/>
      <c r="F430" s="22"/>
      <c r="G430" s="22" t="s">
        <v>1088</v>
      </c>
      <c r="H430" s="22" t="s">
        <v>825</v>
      </c>
      <c r="I430" s="22" t="s">
        <v>914</v>
      </c>
      <c r="J430" s="22"/>
      <c r="K430" s="25" t="s">
        <v>1089</v>
      </c>
      <c r="L430" s="136"/>
      <c r="M430" s="25"/>
      <c r="N430" s="22">
        <v>4</v>
      </c>
      <c r="O430" s="22"/>
      <c r="P430" s="273">
        <v>39.54</v>
      </c>
      <c r="Q430" s="273">
        <f t="shared" si="37"/>
        <v>158.16</v>
      </c>
      <c r="R430" s="35"/>
      <c r="S430" s="273">
        <v>158.16</v>
      </c>
      <c r="T430" s="273"/>
      <c r="U430" s="273">
        <f t="shared" si="38"/>
        <v>0</v>
      </c>
      <c r="V430" s="22" t="s">
        <v>1064</v>
      </c>
      <c r="W430" s="22" t="s">
        <v>1065</v>
      </c>
      <c r="X430" s="22"/>
      <c r="Y430" s="22"/>
      <c r="Z430" s="29">
        <v>43314</v>
      </c>
      <c r="AA430" s="29"/>
      <c r="AB430" s="29">
        <v>43329</v>
      </c>
      <c r="AC430" s="29">
        <v>43326</v>
      </c>
      <c r="AD430" s="29"/>
      <c r="AE430" s="29"/>
      <c r="AF430" s="86"/>
      <c r="AG430" s="29" t="s">
        <v>98</v>
      </c>
      <c r="AH430" s="519">
        <v>158.16</v>
      </c>
      <c r="AI430" s="144"/>
      <c r="AJ430" s="143"/>
      <c r="AK430" s="143"/>
      <c r="AL430" s="143"/>
      <c r="AM430" s="143"/>
      <c r="AN430" s="143"/>
      <c r="AO430" s="143"/>
      <c r="AP430" s="143"/>
      <c r="AQ430" s="143"/>
      <c r="AR430" s="143"/>
    </row>
    <row r="431" spans="1:44" ht="12.75" customHeight="1" x14ac:dyDescent="0.25">
      <c r="A431" s="141"/>
      <c r="B431" s="352">
        <v>3</v>
      </c>
      <c r="C431" s="49">
        <v>5</v>
      </c>
      <c r="D431" s="382" t="s">
        <v>86</v>
      </c>
      <c r="E431" s="65"/>
      <c r="F431" s="22"/>
      <c r="G431" s="22" t="s">
        <v>1090</v>
      </c>
      <c r="H431" s="22" t="s">
        <v>825</v>
      </c>
      <c r="I431" s="22" t="s">
        <v>914</v>
      </c>
      <c r="J431" s="22"/>
      <c r="K431" s="25" t="s">
        <v>1091</v>
      </c>
      <c r="L431" s="136"/>
      <c r="M431" s="25"/>
      <c r="N431" s="22">
        <v>2</v>
      </c>
      <c r="O431" s="22"/>
      <c r="P431" s="273">
        <v>56.67</v>
      </c>
      <c r="Q431" s="273">
        <f t="shared" si="37"/>
        <v>113.34</v>
      </c>
      <c r="R431" s="35"/>
      <c r="S431" s="273">
        <v>99.34</v>
      </c>
      <c r="T431" s="273"/>
      <c r="U431" s="273">
        <f t="shared" si="38"/>
        <v>14</v>
      </c>
      <c r="V431" s="22" t="s">
        <v>1064</v>
      </c>
      <c r="W431" s="22" t="s">
        <v>1065</v>
      </c>
      <c r="X431" s="22"/>
      <c r="Y431" s="22"/>
      <c r="Z431" s="29">
        <v>43314</v>
      </c>
      <c r="AA431" s="29"/>
      <c r="AB431" s="29">
        <v>43329</v>
      </c>
      <c r="AC431" s="29">
        <v>43326</v>
      </c>
      <c r="AD431" s="29"/>
      <c r="AE431" s="29"/>
      <c r="AF431" s="86"/>
      <c r="AG431" s="29" t="s">
        <v>98</v>
      </c>
      <c r="AH431" s="519">
        <v>99.34</v>
      </c>
      <c r="AI431" s="144"/>
      <c r="AJ431" s="143"/>
      <c r="AK431" s="143"/>
      <c r="AL431" s="143"/>
      <c r="AM431" s="143"/>
      <c r="AN431" s="143"/>
      <c r="AO431" s="143"/>
      <c r="AP431" s="143"/>
      <c r="AQ431" s="143"/>
      <c r="AR431" s="143"/>
    </row>
    <row r="432" spans="1:44" ht="12.75" customHeight="1" x14ac:dyDescent="0.25">
      <c r="A432" s="141"/>
      <c r="B432" s="352">
        <v>3</v>
      </c>
      <c r="C432" s="49">
        <v>5</v>
      </c>
      <c r="D432" s="382" t="s">
        <v>86</v>
      </c>
      <c r="E432" s="65"/>
      <c r="F432" s="22"/>
      <c r="G432" s="22" t="s">
        <v>1092</v>
      </c>
      <c r="H432" s="22" t="s">
        <v>825</v>
      </c>
      <c r="I432" s="22" t="s">
        <v>914</v>
      </c>
      <c r="J432" s="22"/>
      <c r="K432" s="25" t="s">
        <v>1093</v>
      </c>
      <c r="L432" s="136"/>
      <c r="M432" s="25"/>
      <c r="N432" s="22">
        <v>4</v>
      </c>
      <c r="O432" s="22"/>
      <c r="P432" s="273">
        <v>36.409999999999997</v>
      </c>
      <c r="Q432" s="273">
        <f t="shared" si="37"/>
        <v>145.63999999999999</v>
      </c>
      <c r="R432" s="35"/>
      <c r="S432" s="273">
        <v>121.64</v>
      </c>
      <c r="T432" s="273"/>
      <c r="U432" s="273">
        <f t="shared" si="38"/>
        <v>23.999999999999986</v>
      </c>
      <c r="V432" s="22" t="s">
        <v>1064</v>
      </c>
      <c r="W432" s="22" t="s">
        <v>1065</v>
      </c>
      <c r="X432" s="22"/>
      <c r="Y432" s="22"/>
      <c r="Z432" s="29">
        <v>43314</v>
      </c>
      <c r="AA432" s="29"/>
      <c r="AB432" s="29">
        <v>43329</v>
      </c>
      <c r="AC432" s="29">
        <v>43326</v>
      </c>
      <c r="AD432" s="29"/>
      <c r="AE432" s="29"/>
      <c r="AF432" s="86"/>
      <c r="AG432" s="29" t="s">
        <v>98</v>
      </c>
      <c r="AH432" s="519">
        <v>121.64</v>
      </c>
      <c r="AI432" s="144"/>
      <c r="AJ432" s="143"/>
      <c r="AK432" s="143"/>
      <c r="AL432" s="143"/>
      <c r="AM432" s="143"/>
      <c r="AN432" s="143"/>
      <c r="AO432" s="143"/>
      <c r="AP432" s="143"/>
      <c r="AQ432" s="143"/>
      <c r="AR432" s="143"/>
    </row>
    <row r="433" spans="1:44" ht="12.75" customHeight="1" x14ac:dyDescent="0.25">
      <c r="A433" s="141"/>
      <c r="B433" s="352">
        <v>3</v>
      </c>
      <c r="C433" s="49">
        <v>5</v>
      </c>
      <c r="D433" s="382" t="s">
        <v>86</v>
      </c>
      <c r="E433" s="65"/>
      <c r="F433" s="22"/>
      <c r="G433" s="22" t="s">
        <v>1094</v>
      </c>
      <c r="H433" s="22" t="s">
        <v>825</v>
      </c>
      <c r="I433" s="22" t="s">
        <v>914</v>
      </c>
      <c r="J433" s="22"/>
      <c r="K433" s="25" t="s">
        <v>1095</v>
      </c>
      <c r="L433" s="136"/>
      <c r="M433" s="25"/>
      <c r="N433" s="22">
        <v>4</v>
      </c>
      <c r="O433" s="22"/>
      <c r="P433" s="273">
        <v>39.619999999999997</v>
      </c>
      <c r="Q433" s="273">
        <f t="shared" si="37"/>
        <v>158.47999999999999</v>
      </c>
      <c r="R433" s="35"/>
      <c r="S433" s="273">
        <v>158.47999999999999</v>
      </c>
      <c r="T433" s="273"/>
      <c r="U433" s="273">
        <f t="shared" si="38"/>
        <v>0</v>
      </c>
      <c r="V433" s="22" t="s">
        <v>1064</v>
      </c>
      <c r="W433" s="22" t="s">
        <v>1065</v>
      </c>
      <c r="X433" s="22"/>
      <c r="Y433" s="22"/>
      <c r="Z433" s="29">
        <v>43314</v>
      </c>
      <c r="AA433" s="29"/>
      <c r="AB433" s="29">
        <v>43329</v>
      </c>
      <c r="AC433" s="29">
        <v>43326</v>
      </c>
      <c r="AD433" s="29"/>
      <c r="AE433" s="29"/>
      <c r="AF433" s="86"/>
      <c r="AG433" s="29" t="s">
        <v>98</v>
      </c>
      <c r="AH433" s="519">
        <v>158.47999999999999</v>
      </c>
      <c r="AI433" s="144"/>
      <c r="AJ433" s="143"/>
      <c r="AK433" s="143"/>
      <c r="AL433" s="143"/>
      <c r="AM433" s="143"/>
      <c r="AN433" s="143"/>
      <c r="AO433" s="143"/>
      <c r="AP433" s="143"/>
      <c r="AQ433" s="143"/>
      <c r="AR433" s="143"/>
    </row>
    <row r="434" spans="1:44" ht="12.75" customHeight="1" x14ac:dyDescent="0.25">
      <c r="A434" s="141"/>
      <c r="B434" s="352">
        <v>3</v>
      </c>
      <c r="C434" s="49">
        <v>5</v>
      </c>
      <c r="D434" s="382" t="s">
        <v>86</v>
      </c>
      <c r="E434" s="65"/>
      <c r="F434" s="22"/>
      <c r="G434" s="22" t="s">
        <v>1096</v>
      </c>
      <c r="H434" s="22" t="s">
        <v>825</v>
      </c>
      <c r="I434" s="22" t="s">
        <v>914</v>
      </c>
      <c r="J434" s="22"/>
      <c r="K434" s="25" t="s">
        <v>1097</v>
      </c>
      <c r="L434" s="136"/>
      <c r="M434" s="25"/>
      <c r="N434" s="22">
        <v>4</v>
      </c>
      <c r="O434" s="22"/>
      <c r="P434" s="273">
        <v>44.98</v>
      </c>
      <c r="Q434" s="273">
        <f t="shared" si="37"/>
        <v>179.92</v>
      </c>
      <c r="R434" s="35"/>
      <c r="S434" s="273">
        <v>167.92</v>
      </c>
      <c r="T434" s="273"/>
      <c r="U434" s="273">
        <f t="shared" si="38"/>
        <v>12</v>
      </c>
      <c r="V434" s="22" t="s">
        <v>1064</v>
      </c>
      <c r="W434" s="22" t="s">
        <v>1065</v>
      </c>
      <c r="X434" s="22"/>
      <c r="Y434" s="22"/>
      <c r="Z434" s="29">
        <v>43314</v>
      </c>
      <c r="AA434" s="29"/>
      <c r="AB434" s="29">
        <v>43329</v>
      </c>
      <c r="AC434" s="29">
        <v>43326</v>
      </c>
      <c r="AD434" s="29"/>
      <c r="AE434" s="29"/>
      <c r="AF434" s="86"/>
      <c r="AG434" s="29" t="s">
        <v>98</v>
      </c>
      <c r="AH434" s="519">
        <v>167.92</v>
      </c>
      <c r="AI434" s="144"/>
      <c r="AJ434" s="143"/>
      <c r="AK434" s="143"/>
      <c r="AL434" s="143"/>
      <c r="AM434" s="143"/>
      <c r="AN434" s="143"/>
      <c r="AO434" s="143"/>
      <c r="AP434" s="143"/>
      <c r="AQ434" s="143"/>
      <c r="AR434" s="143"/>
    </row>
    <row r="435" spans="1:44" ht="12.75" customHeight="1" x14ac:dyDescent="0.25">
      <c r="A435" s="141"/>
      <c r="B435" s="352">
        <v>3</v>
      </c>
      <c r="C435" s="49">
        <v>5</v>
      </c>
      <c r="D435" s="382" t="s">
        <v>86</v>
      </c>
      <c r="E435" s="65"/>
      <c r="F435" s="22"/>
      <c r="G435" s="22" t="s">
        <v>1098</v>
      </c>
      <c r="H435" s="22" t="s">
        <v>825</v>
      </c>
      <c r="I435" s="22" t="s">
        <v>914</v>
      </c>
      <c r="J435" s="22"/>
      <c r="K435" s="25" t="s">
        <v>1099</v>
      </c>
      <c r="L435" s="136"/>
      <c r="M435" s="25"/>
      <c r="N435" s="22">
        <v>2</v>
      </c>
      <c r="O435" s="22"/>
      <c r="P435" s="273">
        <v>56.76</v>
      </c>
      <c r="Q435" s="273">
        <f t="shared" si="37"/>
        <v>113.52</v>
      </c>
      <c r="R435" s="35"/>
      <c r="S435" s="273">
        <v>99.52</v>
      </c>
      <c r="T435" s="273"/>
      <c r="U435" s="273">
        <f t="shared" si="38"/>
        <v>14</v>
      </c>
      <c r="V435" s="22" t="s">
        <v>1064</v>
      </c>
      <c r="W435" s="22" t="s">
        <v>1065</v>
      </c>
      <c r="X435" s="22"/>
      <c r="Y435" s="22"/>
      <c r="Z435" s="29">
        <v>43314</v>
      </c>
      <c r="AA435" s="29"/>
      <c r="AB435" s="29">
        <v>43329</v>
      </c>
      <c r="AC435" s="29">
        <v>43326</v>
      </c>
      <c r="AD435" s="29"/>
      <c r="AE435" s="29"/>
      <c r="AF435" s="86"/>
      <c r="AG435" s="29" t="s">
        <v>98</v>
      </c>
      <c r="AH435" s="519">
        <v>99.52</v>
      </c>
      <c r="AI435" s="144"/>
      <c r="AJ435" s="143"/>
      <c r="AK435" s="143"/>
      <c r="AL435" s="143"/>
      <c r="AM435" s="143"/>
      <c r="AN435" s="143"/>
      <c r="AO435" s="143"/>
      <c r="AP435" s="143"/>
      <c r="AQ435" s="143"/>
      <c r="AR435" s="143"/>
    </row>
    <row r="436" spans="1:44" ht="12.75" customHeight="1" x14ac:dyDescent="0.25">
      <c r="A436" s="141"/>
      <c r="B436" s="352">
        <v>3</v>
      </c>
      <c r="C436" s="49">
        <v>5</v>
      </c>
      <c r="D436" s="382" t="s">
        <v>86</v>
      </c>
      <c r="E436" s="65"/>
      <c r="F436" s="22"/>
      <c r="G436" s="22" t="s">
        <v>1100</v>
      </c>
      <c r="H436" s="22" t="s">
        <v>825</v>
      </c>
      <c r="I436" s="22" t="s">
        <v>914</v>
      </c>
      <c r="J436" s="22"/>
      <c r="K436" s="25" t="s">
        <v>1101</v>
      </c>
      <c r="L436" s="136"/>
      <c r="M436" s="25"/>
      <c r="N436" s="22">
        <v>2</v>
      </c>
      <c r="O436" s="22"/>
      <c r="P436" s="273">
        <v>115.33</v>
      </c>
      <c r="Q436" s="273">
        <f t="shared" si="37"/>
        <v>230.66</v>
      </c>
      <c r="R436" s="35"/>
      <c r="S436" s="273">
        <v>215.66</v>
      </c>
      <c r="T436" s="273"/>
      <c r="U436" s="273">
        <f t="shared" si="38"/>
        <v>15</v>
      </c>
      <c r="V436" s="22" t="s">
        <v>1064</v>
      </c>
      <c r="W436" s="22" t="s">
        <v>1065</v>
      </c>
      <c r="X436" s="22"/>
      <c r="Y436" s="22"/>
      <c r="Z436" s="29">
        <v>43314</v>
      </c>
      <c r="AA436" s="29"/>
      <c r="AB436" s="29">
        <v>43329</v>
      </c>
      <c r="AC436" s="29">
        <v>43326</v>
      </c>
      <c r="AD436" s="29"/>
      <c r="AE436" s="29"/>
      <c r="AF436" s="86"/>
      <c r="AG436" s="29" t="s">
        <v>98</v>
      </c>
      <c r="AH436" s="519">
        <v>215.66</v>
      </c>
      <c r="AI436" s="144"/>
      <c r="AJ436" s="143"/>
      <c r="AK436" s="143"/>
      <c r="AL436" s="143"/>
      <c r="AM436" s="143"/>
      <c r="AN436" s="143"/>
      <c r="AO436" s="143"/>
      <c r="AP436" s="143"/>
      <c r="AQ436" s="143"/>
      <c r="AR436" s="143"/>
    </row>
    <row r="437" spans="1:44" ht="12.75" customHeight="1" x14ac:dyDescent="0.25">
      <c r="A437" s="141"/>
      <c r="B437" s="352">
        <v>3</v>
      </c>
      <c r="C437" s="49">
        <v>5</v>
      </c>
      <c r="D437" s="382" t="s">
        <v>86</v>
      </c>
      <c r="E437" s="65"/>
      <c r="F437" s="22"/>
      <c r="G437" s="22" t="s">
        <v>1102</v>
      </c>
      <c r="H437" s="22" t="s">
        <v>825</v>
      </c>
      <c r="I437" s="22" t="s">
        <v>914</v>
      </c>
      <c r="J437" s="22"/>
      <c r="K437" s="25" t="s">
        <v>1103</v>
      </c>
      <c r="L437" s="136"/>
      <c r="M437" s="25"/>
      <c r="N437" s="22">
        <v>2</v>
      </c>
      <c r="O437" s="22"/>
      <c r="P437" s="273">
        <v>115.33</v>
      </c>
      <c r="Q437" s="273">
        <f t="shared" si="37"/>
        <v>230.66</v>
      </c>
      <c r="R437" s="35"/>
      <c r="S437" s="273">
        <v>215.66</v>
      </c>
      <c r="T437" s="273"/>
      <c r="U437" s="273">
        <f t="shared" si="38"/>
        <v>15</v>
      </c>
      <c r="V437" s="22" t="s">
        <v>1064</v>
      </c>
      <c r="W437" s="22" t="s">
        <v>1065</v>
      </c>
      <c r="X437" s="22"/>
      <c r="Y437" s="22"/>
      <c r="Z437" s="29">
        <v>43314</v>
      </c>
      <c r="AA437" s="29"/>
      <c r="AB437" s="29">
        <v>43329</v>
      </c>
      <c r="AC437" s="29">
        <v>43326</v>
      </c>
      <c r="AD437" s="29"/>
      <c r="AE437" s="29"/>
      <c r="AF437" s="86"/>
      <c r="AG437" s="29" t="s">
        <v>98</v>
      </c>
      <c r="AH437" s="519">
        <v>215.66</v>
      </c>
      <c r="AI437" s="144"/>
      <c r="AJ437" s="143"/>
      <c r="AK437" s="143"/>
      <c r="AL437" s="143"/>
      <c r="AM437" s="143"/>
      <c r="AN437" s="143"/>
      <c r="AO437" s="143"/>
      <c r="AP437" s="143"/>
      <c r="AQ437" s="143"/>
      <c r="AR437" s="143"/>
    </row>
    <row r="438" spans="1:44" ht="12.75" customHeight="1" x14ac:dyDescent="0.25">
      <c r="A438" s="141"/>
      <c r="B438" s="352">
        <v>3</v>
      </c>
      <c r="C438" s="49">
        <v>5</v>
      </c>
      <c r="D438" s="382" t="s">
        <v>86</v>
      </c>
      <c r="E438" s="65"/>
      <c r="F438" s="22"/>
      <c r="G438" s="22" t="s">
        <v>1104</v>
      </c>
      <c r="H438" s="22" t="s">
        <v>825</v>
      </c>
      <c r="I438" s="22" t="s">
        <v>914</v>
      </c>
      <c r="J438" s="22"/>
      <c r="K438" s="25" t="s">
        <v>1105</v>
      </c>
      <c r="L438" s="136"/>
      <c r="M438" s="25"/>
      <c r="N438" s="22">
        <v>4</v>
      </c>
      <c r="O438" s="22"/>
      <c r="P438" s="273">
        <v>23.26</v>
      </c>
      <c r="Q438" s="273">
        <f t="shared" si="37"/>
        <v>93.04</v>
      </c>
      <c r="R438" s="35"/>
      <c r="S438" s="273">
        <v>81.040000000000006</v>
      </c>
      <c r="T438" s="273"/>
      <c r="U438" s="273">
        <f t="shared" si="38"/>
        <v>12</v>
      </c>
      <c r="V438" s="22" t="s">
        <v>1064</v>
      </c>
      <c r="W438" s="22" t="s">
        <v>1065</v>
      </c>
      <c r="X438" s="22"/>
      <c r="Y438" s="22"/>
      <c r="Z438" s="29">
        <v>43314</v>
      </c>
      <c r="AA438" s="29"/>
      <c r="AB438" s="29">
        <v>43329</v>
      </c>
      <c r="AC438" s="29">
        <v>43326</v>
      </c>
      <c r="AD438" s="29"/>
      <c r="AE438" s="29"/>
      <c r="AF438" s="86"/>
      <c r="AG438" s="29" t="s">
        <v>98</v>
      </c>
      <c r="AH438" s="519">
        <v>81.040000000000006</v>
      </c>
      <c r="AI438" s="144"/>
      <c r="AJ438" s="143"/>
      <c r="AK438" s="143"/>
      <c r="AL438" s="143"/>
      <c r="AM438" s="143"/>
      <c r="AN438" s="143"/>
      <c r="AO438" s="143"/>
      <c r="AP438" s="143"/>
      <c r="AQ438" s="143"/>
      <c r="AR438" s="143"/>
    </row>
    <row r="439" spans="1:44" ht="12.75" customHeight="1" x14ac:dyDescent="0.25">
      <c r="A439" s="141"/>
      <c r="B439" s="352">
        <v>3</v>
      </c>
      <c r="C439" s="49">
        <v>5</v>
      </c>
      <c r="D439" s="382" t="s">
        <v>86</v>
      </c>
      <c r="E439" s="65"/>
      <c r="F439" s="22"/>
      <c r="G439" s="22" t="s">
        <v>1106</v>
      </c>
      <c r="H439" s="22" t="s">
        <v>825</v>
      </c>
      <c r="I439" s="22" t="s">
        <v>914</v>
      </c>
      <c r="J439" s="22"/>
      <c r="K439" s="25" t="s">
        <v>1107</v>
      </c>
      <c r="L439" s="136"/>
      <c r="M439" s="25"/>
      <c r="N439" s="22">
        <v>50</v>
      </c>
      <c r="O439" s="22"/>
      <c r="P439" s="273">
        <v>5.98</v>
      </c>
      <c r="Q439" s="273">
        <f t="shared" si="37"/>
        <v>299</v>
      </c>
      <c r="R439" s="35"/>
      <c r="S439" s="273">
        <v>259</v>
      </c>
      <c r="T439" s="273"/>
      <c r="U439" s="273">
        <f t="shared" si="38"/>
        <v>40</v>
      </c>
      <c r="V439" s="22" t="s">
        <v>1064</v>
      </c>
      <c r="W439" s="22" t="s">
        <v>1065</v>
      </c>
      <c r="X439" s="22"/>
      <c r="Y439" s="22"/>
      <c r="Z439" s="29">
        <v>43314</v>
      </c>
      <c r="AA439" s="29"/>
      <c r="AB439" s="29">
        <v>43329</v>
      </c>
      <c r="AC439" s="29">
        <v>43326</v>
      </c>
      <c r="AD439" s="29"/>
      <c r="AE439" s="29"/>
      <c r="AF439" s="86"/>
      <c r="AG439" s="29" t="s">
        <v>98</v>
      </c>
      <c r="AH439" s="519">
        <v>259</v>
      </c>
      <c r="AI439" s="144"/>
      <c r="AJ439" s="143"/>
      <c r="AK439" s="143"/>
      <c r="AL439" s="143"/>
      <c r="AM439" s="143"/>
      <c r="AN439" s="143"/>
      <c r="AO439" s="143"/>
      <c r="AP439" s="143"/>
      <c r="AQ439" s="143"/>
      <c r="AR439" s="143"/>
    </row>
    <row r="440" spans="1:44" ht="12.75" customHeight="1" x14ac:dyDescent="0.25">
      <c r="A440" s="141"/>
      <c r="B440" s="352">
        <v>3</v>
      </c>
      <c r="C440" s="49">
        <v>5</v>
      </c>
      <c r="D440" s="382" t="s">
        <v>86</v>
      </c>
      <c r="E440" s="65"/>
      <c r="F440" s="22"/>
      <c r="G440" s="22" t="s">
        <v>1108</v>
      </c>
      <c r="H440" s="22" t="s">
        <v>825</v>
      </c>
      <c r="I440" s="22" t="s">
        <v>914</v>
      </c>
      <c r="J440" s="22"/>
      <c r="K440" s="25" t="s">
        <v>1109</v>
      </c>
      <c r="L440" s="136"/>
      <c r="M440" s="25"/>
      <c r="N440" s="22">
        <v>10</v>
      </c>
      <c r="O440" s="22"/>
      <c r="P440" s="273">
        <v>25.88</v>
      </c>
      <c r="Q440" s="273">
        <f t="shared" si="37"/>
        <v>258.8</v>
      </c>
      <c r="R440" s="35"/>
      <c r="S440" s="273">
        <v>253.6</v>
      </c>
      <c r="T440" s="273"/>
      <c r="U440" s="273">
        <f t="shared" si="38"/>
        <v>5.2000000000000171</v>
      </c>
      <c r="V440" s="22" t="s">
        <v>1064</v>
      </c>
      <c r="W440" s="22" t="s">
        <v>1065</v>
      </c>
      <c r="X440" s="22"/>
      <c r="Y440" s="22"/>
      <c r="Z440" s="29">
        <v>43314</v>
      </c>
      <c r="AA440" s="29"/>
      <c r="AB440" s="29">
        <v>43329</v>
      </c>
      <c r="AC440" s="29">
        <v>43326</v>
      </c>
      <c r="AD440" s="29"/>
      <c r="AE440" s="29"/>
      <c r="AF440" s="86"/>
      <c r="AG440" s="29" t="s">
        <v>98</v>
      </c>
      <c r="AH440" s="519">
        <v>253.6</v>
      </c>
      <c r="AI440" s="144"/>
      <c r="AJ440" s="143"/>
      <c r="AK440" s="143"/>
      <c r="AL440" s="143"/>
      <c r="AM440" s="143"/>
      <c r="AN440" s="143"/>
      <c r="AO440" s="143"/>
      <c r="AP440" s="143"/>
      <c r="AQ440" s="143"/>
      <c r="AR440" s="143"/>
    </row>
    <row r="441" spans="1:44" ht="12.75" customHeight="1" x14ac:dyDescent="0.25">
      <c r="A441" s="141"/>
      <c r="B441" s="352">
        <v>3</v>
      </c>
      <c r="C441" s="49">
        <v>5</v>
      </c>
      <c r="D441" s="382" t="s">
        <v>86</v>
      </c>
      <c r="E441" s="65"/>
      <c r="F441" s="22"/>
      <c r="G441" s="22" t="s">
        <v>1110</v>
      </c>
      <c r="H441" s="22" t="s">
        <v>825</v>
      </c>
      <c r="I441" s="22" t="s">
        <v>914</v>
      </c>
      <c r="J441" s="22"/>
      <c r="K441" s="25" t="s">
        <v>1111</v>
      </c>
      <c r="L441" s="136"/>
      <c r="M441" s="25"/>
      <c r="N441" s="22">
        <v>10</v>
      </c>
      <c r="O441" s="22"/>
      <c r="P441" s="273">
        <v>8.02</v>
      </c>
      <c r="Q441" s="273">
        <f t="shared" si="37"/>
        <v>80.199999999999989</v>
      </c>
      <c r="R441" s="35"/>
      <c r="S441" s="273">
        <v>78.599999999999994</v>
      </c>
      <c r="T441" s="273"/>
      <c r="U441" s="273">
        <f t="shared" si="38"/>
        <v>1.5999999999999943</v>
      </c>
      <c r="V441" s="22" t="s">
        <v>1064</v>
      </c>
      <c r="W441" s="22" t="s">
        <v>1065</v>
      </c>
      <c r="X441" s="22"/>
      <c r="Y441" s="22"/>
      <c r="Z441" s="29">
        <v>43314</v>
      </c>
      <c r="AA441" s="29"/>
      <c r="AB441" s="29">
        <v>43329</v>
      </c>
      <c r="AC441" s="29">
        <v>43326</v>
      </c>
      <c r="AD441" s="29"/>
      <c r="AE441" s="29"/>
      <c r="AF441" s="86"/>
      <c r="AG441" s="29" t="s">
        <v>98</v>
      </c>
      <c r="AH441" s="519">
        <v>78.599999999999994</v>
      </c>
      <c r="AI441" s="144"/>
      <c r="AJ441" s="143"/>
      <c r="AK441" s="143"/>
      <c r="AL441" s="143"/>
      <c r="AM441" s="143"/>
      <c r="AN441" s="143"/>
      <c r="AO441" s="143"/>
      <c r="AP441" s="143"/>
      <c r="AQ441" s="143"/>
      <c r="AR441" s="143"/>
    </row>
    <row r="442" spans="1:44" ht="12.75" customHeight="1" x14ac:dyDescent="0.25">
      <c r="A442" s="141"/>
      <c r="B442" s="352">
        <v>3</v>
      </c>
      <c r="C442" s="49">
        <v>5</v>
      </c>
      <c r="D442" s="382" t="s">
        <v>86</v>
      </c>
      <c r="E442" s="65"/>
      <c r="F442" s="22"/>
      <c r="G442" s="22" t="s">
        <v>1112</v>
      </c>
      <c r="H442" s="22" t="s">
        <v>825</v>
      </c>
      <c r="I442" s="22" t="s">
        <v>914</v>
      </c>
      <c r="J442" s="22"/>
      <c r="K442" s="25" t="s">
        <v>1113</v>
      </c>
      <c r="L442" s="136"/>
      <c r="M442" s="25"/>
      <c r="N442" s="22">
        <v>10</v>
      </c>
      <c r="O442" s="22"/>
      <c r="P442" s="273">
        <v>25.88</v>
      </c>
      <c r="Q442" s="273">
        <f t="shared" si="37"/>
        <v>258.8</v>
      </c>
      <c r="R442" s="35"/>
      <c r="S442" s="273">
        <v>253.6</v>
      </c>
      <c r="T442" s="273"/>
      <c r="U442" s="273">
        <f t="shared" si="38"/>
        <v>5.2000000000000171</v>
      </c>
      <c r="V442" s="22" t="s">
        <v>1064</v>
      </c>
      <c r="W442" s="22" t="s">
        <v>1065</v>
      </c>
      <c r="X442" s="22"/>
      <c r="Y442" s="22"/>
      <c r="Z442" s="29">
        <v>43314</v>
      </c>
      <c r="AA442" s="29"/>
      <c r="AB442" s="29">
        <v>43329</v>
      </c>
      <c r="AC442" s="29">
        <v>43326</v>
      </c>
      <c r="AD442" s="29"/>
      <c r="AE442" s="29"/>
      <c r="AF442" s="86"/>
      <c r="AG442" s="29" t="s">
        <v>98</v>
      </c>
      <c r="AH442" s="519">
        <v>253.6</v>
      </c>
      <c r="AI442" s="144"/>
      <c r="AJ442" s="143"/>
      <c r="AK442" s="143"/>
      <c r="AL442" s="143"/>
      <c r="AM442" s="143"/>
      <c r="AN442" s="143"/>
      <c r="AO442" s="143"/>
      <c r="AP442" s="143"/>
      <c r="AQ442" s="143"/>
      <c r="AR442" s="143"/>
    </row>
    <row r="443" spans="1:44" ht="12.75" customHeight="1" x14ac:dyDescent="0.25">
      <c r="A443" s="141"/>
      <c r="B443" s="352">
        <v>3</v>
      </c>
      <c r="C443" s="49">
        <v>5</v>
      </c>
      <c r="D443" s="382" t="s">
        <v>86</v>
      </c>
      <c r="E443" s="65"/>
      <c r="F443" s="22"/>
      <c r="G443" s="22" t="s">
        <v>1114</v>
      </c>
      <c r="H443" s="22" t="s">
        <v>825</v>
      </c>
      <c r="I443" s="22" t="s">
        <v>914</v>
      </c>
      <c r="J443" s="22"/>
      <c r="K443" s="25" t="s">
        <v>1115</v>
      </c>
      <c r="L443" s="136"/>
      <c r="M443" s="25"/>
      <c r="N443" s="22">
        <v>10</v>
      </c>
      <c r="O443" s="22"/>
      <c r="P443" s="273">
        <v>8.02</v>
      </c>
      <c r="Q443" s="273">
        <f t="shared" si="37"/>
        <v>80.199999999999989</v>
      </c>
      <c r="R443" s="35"/>
      <c r="S443" s="273">
        <v>78.599999999999994</v>
      </c>
      <c r="T443" s="273"/>
      <c r="U443" s="273">
        <f t="shared" si="38"/>
        <v>1.5999999999999943</v>
      </c>
      <c r="V443" s="22" t="s">
        <v>1064</v>
      </c>
      <c r="W443" s="22" t="s">
        <v>1065</v>
      </c>
      <c r="X443" s="22"/>
      <c r="Y443" s="22"/>
      <c r="Z443" s="29">
        <v>43314</v>
      </c>
      <c r="AA443" s="29"/>
      <c r="AB443" s="29">
        <v>43329</v>
      </c>
      <c r="AC443" s="29">
        <v>43326</v>
      </c>
      <c r="AD443" s="29"/>
      <c r="AE443" s="29"/>
      <c r="AF443" s="86"/>
      <c r="AG443" s="29" t="s">
        <v>98</v>
      </c>
      <c r="AH443" s="519">
        <v>78.599999999999994</v>
      </c>
      <c r="AI443" s="144"/>
      <c r="AJ443" s="143"/>
      <c r="AK443" s="143"/>
      <c r="AL443" s="143"/>
      <c r="AM443" s="143"/>
      <c r="AN443" s="143"/>
      <c r="AO443" s="143"/>
      <c r="AP443" s="143"/>
      <c r="AQ443" s="143"/>
      <c r="AR443" s="143"/>
    </row>
    <row r="444" spans="1:44" ht="12.75" customHeight="1" x14ac:dyDescent="0.25">
      <c r="A444" s="141"/>
      <c r="B444" s="352">
        <v>3</v>
      </c>
      <c r="C444" s="49">
        <v>5</v>
      </c>
      <c r="D444" s="382" t="s">
        <v>86</v>
      </c>
      <c r="E444" s="65"/>
      <c r="F444" s="22"/>
      <c r="G444" s="22" t="s">
        <v>1116</v>
      </c>
      <c r="H444" s="22" t="s">
        <v>825</v>
      </c>
      <c r="I444" s="22" t="s">
        <v>914</v>
      </c>
      <c r="J444" s="22"/>
      <c r="K444" s="25" t="s">
        <v>1117</v>
      </c>
      <c r="L444" s="136"/>
      <c r="M444" s="25"/>
      <c r="N444" s="22">
        <v>10</v>
      </c>
      <c r="O444" s="22"/>
      <c r="P444" s="273">
        <v>16.38</v>
      </c>
      <c r="Q444" s="273">
        <f t="shared" si="37"/>
        <v>163.79999999999998</v>
      </c>
      <c r="R444" s="35"/>
      <c r="S444" s="273">
        <v>160.5</v>
      </c>
      <c r="T444" s="273"/>
      <c r="U444" s="273">
        <f t="shared" si="38"/>
        <v>3.2999999999999829</v>
      </c>
      <c r="V444" s="22" t="s">
        <v>1064</v>
      </c>
      <c r="W444" s="22" t="s">
        <v>1065</v>
      </c>
      <c r="X444" s="22"/>
      <c r="Y444" s="22"/>
      <c r="Z444" s="29">
        <v>43314</v>
      </c>
      <c r="AA444" s="29"/>
      <c r="AB444" s="29">
        <v>43329</v>
      </c>
      <c r="AC444" s="29">
        <v>43326</v>
      </c>
      <c r="AD444" s="29"/>
      <c r="AE444" s="29"/>
      <c r="AF444" s="86"/>
      <c r="AG444" s="29" t="s">
        <v>98</v>
      </c>
      <c r="AH444" s="519">
        <v>160.5</v>
      </c>
      <c r="AI444" s="144"/>
      <c r="AJ444" s="143"/>
      <c r="AK444" s="143"/>
      <c r="AL444" s="143"/>
      <c r="AM444" s="143"/>
      <c r="AN444" s="143"/>
      <c r="AO444" s="143"/>
      <c r="AP444" s="143"/>
      <c r="AQ444" s="143"/>
      <c r="AR444" s="143"/>
    </row>
    <row r="445" spans="1:44" ht="12.75" customHeight="1" x14ac:dyDescent="0.25">
      <c r="A445" s="141"/>
      <c r="B445" s="352">
        <v>3</v>
      </c>
      <c r="C445" s="49">
        <v>5</v>
      </c>
      <c r="D445" s="382" t="s">
        <v>86</v>
      </c>
      <c r="E445" s="65"/>
      <c r="F445" s="22"/>
      <c r="G445" s="22" t="s">
        <v>1118</v>
      </c>
      <c r="H445" s="22" t="s">
        <v>825</v>
      </c>
      <c r="I445" s="22" t="s">
        <v>914</v>
      </c>
      <c r="J445" s="22"/>
      <c r="K445" s="25" t="s">
        <v>1119</v>
      </c>
      <c r="L445" s="136"/>
      <c r="M445" s="25"/>
      <c r="N445" s="22">
        <v>10</v>
      </c>
      <c r="O445" s="22"/>
      <c r="P445" s="273">
        <v>10.68</v>
      </c>
      <c r="Q445" s="273">
        <f t="shared" si="37"/>
        <v>106.8</v>
      </c>
      <c r="R445" s="35"/>
      <c r="S445" s="273">
        <v>104.6</v>
      </c>
      <c r="T445" s="273"/>
      <c r="U445" s="273">
        <f t="shared" si="38"/>
        <v>2.2000000000000028</v>
      </c>
      <c r="V445" s="22" t="s">
        <v>1064</v>
      </c>
      <c r="W445" s="22" t="s">
        <v>1065</v>
      </c>
      <c r="X445" s="22"/>
      <c r="Y445" s="22"/>
      <c r="Z445" s="29">
        <v>43314</v>
      </c>
      <c r="AA445" s="29"/>
      <c r="AB445" s="29">
        <v>43329</v>
      </c>
      <c r="AC445" s="29">
        <v>43326</v>
      </c>
      <c r="AD445" s="29"/>
      <c r="AE445" s="29"/>
      <c r="AF445" s="86"/>
      <c r="AG445" s="29" t="s">
        <v>98</v>
      </c>
      <c r="AH445" s="519">
        <v>104.6</v>
      </c>
      <c r="AI445" s="144"/>
      <c r="AJ445" s="143"/>
      <c r="AK445" s="143"/>
      <c r="AL445" s="143"/>
      <c r="AM445" s="143"/>
      <c r="AN445" s="143"/>
      <c r="AO445" s="143"/>
      <c r="AP445" s="143"/>
      <c r="AQ445" s="143"/>
      <c r="AR445" s="143"/>
    </row>
    <row r="446" spans="1:44" ht="12.75" customHeight="1" x14ac:dyDescent="0.25">
      <c r="A446" s="141"/>
      <c r="B446" s="352">
        <v>3</v>
      </c>
      <c r="C446" s="49">
        <v>5</v>
      </c>
      <c r="D446" s="382" t="s">
        <v>86</v>
      </c>
      <c r="E446" s="65"/>
      <c r="F446" s="22"/>
      <c r="G446" s="22" t="s">
        <v>1120</v>
      </c>
      <c r="H446" s="22" t="s">
        <v>825</v>
      </c>
      <c r="I446" s="22" t="s">
        <v>914</v>
      </c>
      <c r="J446" s="22"/>
      <c r="K446" s="25" t="s">
        <v>1121</v>
      </c>
      <c r="L446" s="136"/>
      <c r="M446" s="25"/>
      <c r="N446" s="22">
        <v>10</v>
      </c>
      <c r="O446" s="22"/>
      <c r="P446" s="273">
        <v>16.38</v>
      </c>
      <c r="Q446" s="273">
        <f t="shared" si="37"/>
        <v>163.79999999999998</v>
      </c>
      <c r="R446" s="35"/>
      <c r="S446" s="273">
        <v>160.5</v>
      </c>
      <c r="T446" s="273"/>
      <c r="U446" s="273">
        <f t="shared" si="38"/>
        <v>3.2999999999999829</v>
      </c>
      <c r="V446" s="22" t="s">
        <v>1064</v>
      </c>
      <c r="W446" s="22" t="s">
        <v>1065</v>
      </c>
      <c r="X446" s="22"/>
      <c r="Y446" s="22"/>
      <c r="Z446" s="29">
        <v>43314</v>
      </c>
      <c r="AA446" s="29"/>
      <c r="AB446" s="29">
        <v>43329</v>
      </c>
      <c r="AC446" s="29">
        <v>43326</v>
      </c>
      <c r="AD446" s="29"/>
      <c r="AE446" s="29"/>
      <c r="AF446" s="86"/>
      <c r="AG446" s="29" t="s">
        <v>98</v>
      </c>
      <c r="AH446" s="519">
        <v>160.5</v>
      </c>
      <c r="AI446" s="144"/>
      <c r="AJ446" s="143"/>
      <c r="AK446" s="143"/>
      <c r="AL446" s="143"/>
      <c r="AM446" s="143"/>
      <c r="AN446" s="143"/>
      <c r="AO446" s="143"/>
      <c r="AP446" s="143"/>
      <c r="AQ446" s="143"/>
      <c r="AR446" s="143"/>
    </row>
    <row r="447" spans="1:44" ht="12.75" customHeight="1" x14ac:dyDescent="0.25">
      <c r="A447" s="141"/>
      <c r="B447" s="352">
        <v>3</v>
      </c>
      <c r="C447" s="49">
        <v>5</v>
      </c>
      <c r="D447" s="382" t="s">
        <v>86</v>
      </c>
      <c r="E447" s="65"/>
      <c r="F447" s="22"/>
      <c r="G447" s="22" t="s">
        <v>1122</v>
      </c>
      <c r="H447" s="22" t="s">
        <v>825</v>
      </c>
      <c r="I447" s="22" t="s">
        <v>914</v>
      </c>
      <c r="J447" s="22"/>
      <c r="K447" s="25" t="s">
        <v>1123</v>
      </c>
      <c r="L447" s="136"/>
      <c r="M447" s="25"/>
      <c r="N447" s="22">
        <v>10</v>
      </c>
      <c r="O447" s="22"/>
      <c r="P447" s="273">
        <v>10.68</v>
      </c>
      <c r="Q447" s="273">
        <f t="shared" si="37"/>
        <v>106.8</v>
      </c>
      <c r="R447" s="35"/>
      <c r="S447" s="273">
        <v>104.6</v>
      </c>
      <c r="T447" s="273"/>
      <c r="U447" s="273">
        <f t="shared" si="38"/>
        <v>2.2000000000000028</v>
      </c>
      <c r="V447" s="22" t="s">
        <v>1064</v>
      </c>
      <c r="W447" s="22" t="s">
        <v>1065</v>
      </c>
      <c r="X447" s="22"/>
      <c r="Y447" s="22"/>
      <c r="Z447" s="29">
        <v>43314</v>
      </c>
      <c r="AA447" s="29"/>
      <c r="AB447" s="29">
        <v>43329</v>
      </c>
      <c r="AC447" s="29">
        <v>43326</v>
      </c>
      <c r="AD447" s="29"/>
      <c r="AE447" s="29"/>
      <c r="AF447" s="86"/>
      <c r="AG447" s="29" t="s">
        <v>98</v>
      </c>
      <c r="AH447" s="519">
        <v>104.6</v>
      </c>
      <c r="AI447" s="144"/>
      <c r="AJ447" s="143"/>
      <c r="AK447" s="143"/>
      <c r="AL447" s="143"/>
      <c r="AM447" s="143"/>
      <c r="AN447" s="143"/>
      <c r="AO447" s="143"/>
      <c r="AP447" s="143"/>
      <c r="AQ447" s="143"/>
      <c r="AR447" s="143"/>
    </row>
    <row r="448" spans="1:44" ht="12.75" customHeight="1" x14ac:dyDescent="0.25">
      <c r="A448" s="141"/>
      <c r="B448" s="352">
        <v>3</v>
      </c>
      <c r="C448" s="49">
        <v>5</v>
      </c>
      <c r="D448" s="382" t="s">
        <v>86</v>
      </c>
      <c r="E448" s="65"/>
      <c r="F448" s="22"/>
      <c r="G448" s="22" t="s">
        <v>1124</v>
      </c>
      <c r="H448" s="22" t="s">
        <v>825</v>
      </c>
      <c r="I448" s="22" t="s">
        <v>914</v>
      </c>
      <c r="J448" s="22"/>
      <c r="K448" s="25" t="s">
        <v>1125</v>
      </c>
      <c r="L448" s="136"/>
      <c r="M448" s="25"/>
      <c r="N448" s="22">
        <v>10</v>
      </c>
      <c r="O448" s="22"/>
      <c r="P448" s="273">
        <v>12.58</v>
      </c>
      <c r="Q448" s="273">
        <f t="shared" si="37"/>
        <v>125.8</v>
      </c>
      <c r="R448" s="35"/>
      <c r="S448" s="273">
        <v>123.2</v>
      </c>
      <c r="T448" s="273"/>
      <c r="U448" s="273">
        <f t="shared" si="38"/>
        <v>2.5999999999999943</v>
      </c>
      <c r="V448" s="22" t="s">
        <v>1064</v>
      </c>
      <c r="W448" s="22" t="s">
        <v>1065</v>
      </c>
      <c r="X448" s="22"/>
      <c r="Y448" s="22"/>
      <c r="Z448" s="29">
        <v>43314</v>
      </c>
      <c r="AA448" s="29"/>
      <c r="AB448" s="29">
        <v>43329</v>
      </c>
      <c r="AC448" s="29">
        <v>43326</v>
      </c>
      <c r="AD448" s="29"/>
      <c r="AE448" s="29"/>
      <c r="AF448" s="86"/>
      <c r="AG448" s="29" t="s">
        <v>98</v>
      </c>
      <c r="AH448" s="519">
        <v>123.2</v>
      </c>
      <c r="AI448" s="144"/>
      <c r="AJ448" s="143"/>
      <c r="AK448" s="143"/>
      <c r="AL448" s="143"/>
      <c r="AM448" s="143"/>
      <c r="AN448" s="143"/>
      <c r="AO448" s="143"/>
      <c r="AP448" s="143"/>
      <c r="AQ448" s="143"/>
      <c r="AR448" s="143"/>
    </row>
    <row r="449" spans="1:44" ht="12.75" customHeight="1" x14ac:dyDescent="0.25">
      <c r="A449" s="141"/>
      <c r="B449" s="352">
        <v>3</v>
      </c>
      <c r="C449" s="49">
        <v>5</v>
      </c>
      <c r="D449" s="382" t="s">
        <v>86</v>
      </c>
      <c r="E449" s="65"/>
      <c r="F449" s="22"/>
      <c r="G449" s="22" t="s">
        <v>1126</v>
      </c>
      <c r="H449" s="22" t="s">
        <v>825</v>
      </c>
      <c r="I449" s="22" t="s">
        <v>914</v>
      </c>
      <c r="J449" s="22"/>
      <c r="K449" s="25" t="s">
        <v>1127</v>
      </c>
      <c r="L449" s="136"/>
      <c r="M449" s="25"/>
      <c r="N449" s="22">
        <v>10</v>
      </c>
      <c r="O449" s="22"/>
      <c r="P449" s="273">
        <v>7.26</v>
      </c>
      <c r="Q449" s="273">
        <f t="shared" si="37"/>
        <v>72.599999999999994</v>
      </c>
      <c r="R449" s="35"/>
      <c r="S449" s="273">
        <v>71.099999999999994</v>
      </c>
      <c r="T449" s="273"/>
      <c r="U449" s="273">
        <f t="shared" si="38"/>
        <v>1.5</v>
      </c>
      <c r="V449" s="22" t="s">
        <v>1064</v>
      </c>
      <c r="W449" s="22" t="s">
        <v>1065</v>
      </c>
      <c r="X449" s="22"/>
      <c r="Y449" s="22"/>
      <c r="Z449" s="29">
        <v>43314</v>
      </c>
      <c r="AA449" s="29"/>
      <c r="AB449" s="29">
        <v>43329</v>
      </c>
      <c r="AC449" s="29">
        <v>43326</v>
      </c>
      <c r="AD449" s="29"/>
      <c r="AE449" s="29"/>
      <c r="AF449" s="86"/>
      <c r="AG449" s="29" t="s">
        <v>98</v>
      </c>
      <c r="AH449" s="519">
        <v>71.099999999999994</v>
      </c>
      <c r="AI449" s="144"/>
      <c r="AJ449" s="143"/>
      <c r="AK449" s="143"/>
      <c r="AL449" s="143"/>
      <c r="AM449" s="143"/>
      <c r="AN449" s="143"/>
      <c r="AO449" s="143"/>
      <c r="AP449" s="143"/>
      <c r="AQ449" s="143"/>
      <c r="AR449" s="143"/>
    </row>
    <row r="450" spans="1:44" ht="12.75" customHeight="1" x14ac:dyDescent="0.25">
      <c r="A450" s="141"/>
      <c r="B450" s="352">
        <v>3</v>
      </c>
      <c r="C450" s="49">
        <v>5</v>
      </c>
      <c r="D450" s="382" t="s">
        <v>86</v>
      </c>
      <c r="E450" s="65"/>
      <c r="F450" s="22"/>
      <c r="G450" s="38" t="s">
        <v>1128</v>
      </c>
      <c r="H450" s="38" t="s">
        <v>825</v>
      </c>
      <c r="I450" s="22" t="s">
        <v>914</v>
      </c>
      <c r="J450" s="22"/>
      <c r="K450" s="39" t="s">
        <v>1129</v>
      </c>
      <c r="L450" s="136"/>
      <c r="M450" s="25"/>
      <c r="N450" s="38">
        <v>10</v>
      </c>
      <c r="O450" s="22"/>
      <c r="P450" s="310">
        <v>12.58</v>
      </c>
      <c r="Q450" s="310">
        <f t="shared" si="37"/>
        <v>125.8</v>
      </c>
      <c r="R450" s="35"/>
      <c r="S450" s="273">
        <v>123.2</v>
      </c>
      <c r="T450" s="273"/>
      <c r="U450" s="273">
        <f t="shared" si="38"/>
        <v>2.5999999999999943</v>
      </c>
      <c r="V450" s="38" t="s">
        <v>1064</v>
      </c>
      <c r="W450" s="38" t="s">
        <v>1065</v>
      </c>
      <c r="X450" s="22"/>
      <c r="Y450" s="22"/>
      <c r="Z450" s="41">
        <v>43314</v>
      </c>
      <c r="AA450" s="29"/>
      <c r="AB450" s="41">
        <v>43329</v>
      </c>
      <c r="AC450" s="29">
        <v>43326</v>
      </c>
      <c r="AD450" s="29"/>
      <c r="AE450" s="29"/>
      <c r="AF450" s="86"/>
      <c r="AG450" s="29" t="s">
        <v>98</v>
      </c>
      <c r="AH450" s="519">
        <v>123.2</v>
      </c>
      <c r="AI450" s="144"/>
      <c r="AJ450" s="143"/>
      <c r="AK450" s="143"/>
      <c r="AL450" s="143"/>
      <c r="AM450" s="143"/>
      <c r="AN450" s="143"/>
      <c r="AO450" s="143"/>
      <c r="AP450" s="143"/>
      <c r="AQ450" s="143"/>
      <c r="AR450" s="143"/>
    </row>
    <row r="451" spans="1:44" ht="12.75" customHeight="1" x14ac:dyDescent="0.25">
      <c r="A451" s="141"/>
      <c r="B451" s="352">
        <v>3</v>
      </c>
      <c r="C451" s="49">
        <v>4</v>
      </c>
      <c r="D451" s="382" t="s">
        <v>86</v>
      </c>
      <c r="E451" s="65"/>
      <c r="F451" s="22"/>
      <c r="G451" s="22" t="s">
        <v>1130</v>
      </c>
      <c r="H451" s="22" t="s">
        <v>1131</v>
      </c>
      <c r="I451" s="22"/>
      <c r="J451" s="22"/>
      <c r="K451" s="298"/>
      <c r="L451" s="136"/>
      <c r="M451" s="25"/>
      <c r="N451" s="22">
        <v>2</v>
      </c>
      <c r="O451" s="22"/>
      <c r="P451" s="273">
        <v>249.99</v>
      </c>
      <c r="Q451" s="273">
        <f t="shared" si="37"/>
        <v>499.98</v>
      </c>
      <c r="R451" s="35"/>
      <c r="S451" s="273">
        <v>374</v>
      </c>
      <c r="T451" s="273"/>
      <c r="U451" s="273">
        <f>Q451-S451</f>
        <v>125.98000000000002</v>
      </c>
      <c r="V451" s="22" t="s">
        <v>1132</v>
      </c>
      <c r="W451" s="22" t="s">
        <v>1133</v>
      </c>
      <c r="X451" s="22"/>
      <c r="Y451" s="22"/>
      <c r="Z451" s="29">
        <v>43347</v>
      </c>
      <c r="AA451" s="29"/>
      <c r="AB451" s="29">
        <v>43350</v>
      </c>
      <c r="AC451" s="29">
        <v>43398</v>
      </c>
      <c r="AD451" s="29"/>
      <c r="AE451" s="29"/>
      <c r="AF451" s="86"/>
      <c r="AG451" s="29" t="s">
        <v>98</v>
      </c>
      <c r="AH451" s="519">
        <v>374</v>
      </c>
      <c r="AI451" s="144"/>
      <c r="AJ451" s="143"/>
      <c r="AK451" s="143"/>
      <c r="AL451" s="143"/>
      <c r="AM451" s="143"/>
      <c r="AN451" s="143"/>
      <c r="AO451" s="143"/>
      <c r="AP451" s="143"/>
      <c r="AQ451" s="143"/>
      <c r="AR451" s="143"/>
    </row>
    <row r="452" spans="1:44" ht="12.75" customHeight="1" x14ac:dyDescent="0.25">
      <c r="A452" s="141"/>
      <c r="B452" s="352">
        <v>3</v>
      </c>
      <c r="C452" s="49">
        <v>4</v>
      </c>
      <c r="D452" s="382" t="s">
        <v>86</v>
      </c>
      <c r="E452" s="65"/>
      <c r="F452" s="22"/>
      <c r="G452" s="22" t="s">
        <v>475</v>
      </c>
      <c r="H452" s="22" t="s">
        <v>155</v>
      </c>
      <c r="I452" s="22"/>
      <c r="J452" s="22"/>
      <c r="K452" s="298"/>
      <c r="L452" s="136"/>
      <c r="M452" s="25"/>
      <c r="N452" s="22">
        <v>2</v>
      </c>
      <c r="O452" s="22"/>
      <c r="P452" s="273">
        <v>199.99</v>
      </c>
      <c r="Q452" s="273">
        <f t="shared" ref="Q452:Q471" si="39">N452*P452</f>
        <v>399.98</v>
      </c>
      <c r="R452" s="35"/>
      <c r="S452" s="273">
        <v>446</v>
      </c>
      <c r="T452" s="273"/>
      <c r="U452" s="273">
        <f t="shared" si="38"/>
        <v>-46.019999999999982</v>
      </c>
      <c r="V452" s="22" t="s">
        <v>1134</v>
      </c>
      <c r="W452" s="29" t="s">
        <v>1133</v>
      </c>
      <c r="X452" s="22"/>
      <c r="Y452" s="22"/>
      <c r="Z452" s="29">
        <v>43347</v>
      </c>
      <c r="AA452" s="29"/>
      <c r="AB452" s="29">
        <v>43350</v>
      </c>
      <c r="AC452" s="29">
        <v>43398</v>
      </c>
      <c r="AD452" s="29"/>
      <c r="AE452" s="29"/>
      <c r="AF452" s="86"/>
      <c r="AG452" s="29" t="s">
        <v>98</v>
      </c>
      <c r="AH452" s="519">
        <v>446</v>
      </c>
      <c r="AI452" s="144"/>
      <c r="AJ452" s="143"/>
      <c r="AK452" s="143"/>
      <c r="AL452" s="143"/>
      <c r="AM452" s="143"/>
      <c r="AN452" s="143"/>
      <c r="AO452" s="143"/>
      <c r="AP452" s="143"/>
      <c r="AQ452" s="143"/>
      <c r="AR452" s="143"/>
    </row>
    <row r="453" spans="1:44" ht="12.75" customHeight="1" x14ac:dyDescent="0.25">
      <c r="A453" s="141"/>
      <c r="B453" s="352">
        <v>3</v>
      </c>
      <c r="C453" s="289">
        <v>5</v>
      </c>
      <c r="D453" s="382" t="s">
        <v>86</v>
      </c>
      <c r="E453" s="65"/>
      <c r="F453" s="22"/>
      <c r="G453" s="136" t="s">
        <v>1135</v>
      </c>
      <c r="H453" s="297" t="s">
        <v>1026</v>
      </c>
      <c r="I453" s="297" t="s">
        <v>98</v>
      </c>
      <c r="J453" s="22"/>
      <c r="K453" s="298">
        <v>3839168</v>
      </c>
      <c r="L453" s="136"/>
      <c r="M453" s="25"/>
      <c r="N453" s="290">
        <v>3</v>
      </c>
      <c r="O453" s="22"/>
      <c r="P453" s="300">
        <v>42.74</v>
      </c>
      <c r="Q453" s="273">
        <f t="shared" si="39"/>
        <v>128.22</v>
      </c>
      <c r="R453" s="35"/>
      <c r="S453" s="273">
        <v>192</v>
      </c>
      <c r="T453" s="273"/>
      <c r="U453" s="273">
        <f>Q453-S453</f>
        <v>-63.78</v>
      </c>
      <c r="V453" s="22" t="s">
        <v>1027</v>
      </c>
      <c r="W453" s="22" t="s">
        <v>1028</v>
      </c>
      <c r="X453" s="22"/>
      <c r="Y453" s="22"/>
      <c r="Z453" s="29">
        <v>43277</v>
      </c>
      <c r="AA453" s="29"/>
      <c r="AB453" s="29">
        <v>43294</v>
      </c>
      <c r="AC453" s="29">
        <v>43294</v>
      </c>
      <c r="AD453" s="29"/>
      <c r="AE453" s="29"/>
      <c r="AF453" s="86" t="s">
        <v>1009</v>
      </c>
      <c r="AG453" s="29" t="s">
        <v>98</v>
      </c>
      <c r="AH453" s="143">
        <v>192</v>
      </c>
      <c r="AI453" s="144"/>
      <c r="AJ453" s="143"/>
      <c r="AK453" s="143"/>
      <c r="AL453" s="143"/>
      <c r="AM453" s="143"/>
      <c r="AN453" s="143"/>
      <c r="AO453" s="143"/>
      <c r="AP453" s="143"/>
      <c r="AQ453" s="143"/>
      <c r="AR453" s="143"/>
    </row>
    <row r="454" spans="1:44" ht="12.75" hidden="1" customHeight="1" x14ac:dyDescent="0.25">
      <c r="A454" s="22"/>
      <c r="B454" s="352">
        <v>9</v>
      </c>
      <c r="C454" s="49" t="s">
        <v>392</v>
      </c>
      <c r="D454" s="382" t="s">
        <v>86</v>
      </c>
      <c r="E454" s="65"/>
      <c r="F454" s="22"/>
      <c r="G454" s="33" t="s">
        <v>1136</v>
      </c>
      <c r="H454" s="33" t="s">
        <v>432</v>
      </c>
      <c r="I454" s="33"/>
      <c r="J454" s="22"/>
      <c r="K454" s="33" t="s">
        <v>433</v>
      </c>
      <c r="L454" s="25"/>
      <c r="M454" s="25"/>
      <c r="N454" s="52">
        <v>1</v>
      </c>
      <c r="O454" s="22"/>
      <c r="P454" s="51">
        <v>49304</v>
      </c>
      <c r="Q454" s="28">
        <f t="shared" si="39"/>
        <v>49304</v>
      </c>
      <c r="R454" s="35"/>
      <c r="S454" s="35"/>
      <c r="T454" s="35"/>
      <c r="U454" s="35"/>
      <c r="V454" s="22"/>
      <c r="W454" s="22"/>
      <c r="X454" s="22"/>
      <c r="Y454" s="22"/>
      <c r="Z454" s="29"/>
      <c r="AA454" s="29"/>
      <c r="AB454" s="29"/>
      <c r="AC454" s="29"/>
      <c r="AD454" s="29"/>
      <c r="AE454" s="29"/>
      <c r="AF454" s="22"/>
      <c r="AG454" s="29"/>
      <c r="AH454" s="145"/>
      <c r="AI454" s="22"/>
      <c r="AJ454" s="28"/>
      <c r="AK454" s="28"/>
      <c r="AL454" s="22"/>
      <c r="AM454" s="22"/>
      <c r="AN454" s="22"/>
      <c r="AO454" s="22"/>
      <c r="AP454" s="22"/>
      <c r="AQ454" s="22"/>
      <c r="AR454" s="22"/>
    </row>
    <row r="455" spans="1:44" ht="12.75" hidden="1" customHeight="1" x14ac:dyDescent="0.25">
      <c r="A455" s="22"/>
      <c r="B455" s="352">
        <v>9</v>
      </c>
      <c r="C455" s="49">
        <v>3</v>
      </c>
      <c r="D455" s="382" t="s">
        <v>86</v>
      </c>
      <c r="E455" s="65"/>
      <c r="F455" s="22"/>
      <c r="G455" s="33" t="s">
        <v>1137</v>
      </c>
      <c r="H455" s="33" t="s">
        <v>412</v>
      </c>
      <c r="I455" s="33"/>
      <c r="J455" s="22"/>
      <c r="K455" s="33" t="s">
        <v>413</v>
      </c>
      <c r="L455" s="25"/>
      <c r="M455" s="25"/>
      <c r="N455" s="52">
        <v>1</v>
      </c>
      <c r="O455" s="22"/>
      <c r="P455" s="84">
        <v>217.75</v>
      </c>
      <c r="Q455" s="28">
        <f t="shared" si="39"/>
        <v>217.75</v>
      </c>
      <c r="R455" s="35"/>
      <c r="S455" s="35"/>
      <c r="T455" s="35"/>
      <c r="U455" s="35"/>
      <c r="V455" s="22"/>
      <c r="W455" s="22"/>
      <c r="X455" s="22"/>
      <c r="Y455" s="22"/>
      <c r="Z455" s="29"/>
      <c r="AA455" s="29"/>
      <c r="AB455" s="29"/>
      <c r="AC455" s="29"/>
      <c r="AD455" s="29"/>
      <c r="AE455" s="29"/>
      <c r="AF455" s="22"/>
      <c r="AG455" s="29"/>
      <c r="AH455" s="145"/>
      <c r="AI455" s="22"/>
      <c r="AJ455" s="28"/>
      <c r="AK455" s="28"/>
      <c r="AL455" s="22"/>
      <c r="AM455" s="22"/>
      <c r="AN455" s="22"/>
      <c r="AO455" s="22"/>
      <c r="AP455" s="22"/>
      <c r="AQ455" s="22"/>
      <c r="AR455" s="22"/>
    </row>
    <row r="456" spans="1:44" ht="25.5" hidden="1" customHeight="1" x14ac:dyDescent="0.25">
      <c r="A456" s="22" t="s">
        <v>1138</v>
      </c>
      <c r="B456" s="352">
        <v>8</v>
      </c>
      <c r="C456" s="49">
        <v>3</v>
      </c>
      <c r="D456" s="382" t="s">
        <v>86</v>
      </c>
      <c r="E456" s="65"/>
      <c r="F456" s="22"/>
      <c r="G456" s="33" t="s">
        <v>1139</v>
      </c>
      <c r="H456" s="33" t="s">
        <v>412</v>
      </c>
      <c r="I456" s="33"/>
      <c r="J456" s="22"/>
      <c r="K456" s="33" t="s">
        <v>418</v>
      </c>
      <c r="L456" s="25"/>
      <c r="M456" s="25"/>
      <c r="N456" s="52">
        <v>6</v>
      </c>
      <c r="O456" s="22"/>
      <c r="P456" s="51">
        <v>98.75</v>
      </c>
      <c r="Q456" s="28">
        <f t="shared" si="39"/>
        <v>592.5</v>
      </c>
      <c r="R456" s="35"/>
      <c r="S456" s="35"/>
      <c r="T456" s="35"/>
      <c r="U456" s="35"/>
      <c r="V456" s="22"/>
      <c r="W456" s="22"/>
      <c r="X456" s="22"/>
      <c r="Y456" s="22"/>
      <c r="Z456" s="29"/>
      <c r="AA456" s="29"/>
      <c r="AB456" s="29"/>
      <c r="AC456" s="29"/>
      <c r="AD456" s="29"/>
      <c r="AE456" s="29"/>
      <c r="AF456" s="22"/>
      <c r="AG456" s="29"/>
      <c r="AH456" s="145"/>
      <c r="AI456" s="22"/>
      <c r="AJ456" s="28"/>
      <c r="AK456" s="28"/>
      <c r="AL456" s="22"/>
      <c r="AM456" s="22"/>
      <c r="AN456" s="22"/>
      <c r="AO456" s="22"/>
      <c r="AP456" s="22"/>
      <c r="AQ456" s="22"/>
      <c r="AR456" s="22"/>
    </row>
    <row r="457" spans="1:44" ht="12.75" hidden="1" customHeight="1" x14ac:dyDescent="0.25">
      <c r="A457" s="22"/>
      <c r="B457" s="352">
        <v>9</v>
      </c>
      <c r="C457" s="49">
        <v>3</v>
      </c>
      <c r="D457" s="382" t="s">
        <v>86</v>
      </c>
      <c r="E457" s="65"/>
      <c r="F457" s="22"/>
      <c r="G457" s="33" t="s">
        <v>1140</v>
      </c>
      <c r="H457" s="33" t="s">
        <v>412</v>
      </c>
      <c r="I457" s="33"/>
      <c r="J457" s="22"/>
      <c r="K457" s="33" t="s">
        <v>421</v>
      </c>
      <c r="L457" s="25"/>
      <c r="M457" s="25"/>
      <c r="N457" s="52">
        <v>1</v>
      </c>
      <c r="O457" s="22"/>
      <c r="P457" s="51">
        <v>147.5</v>
      </c>
      <c r="Q457" s="28">
        <f t="shared" si="39"/>
        <v>147.5</v>
      </c>
      <c r="R457" s="35"/>
      <c r="S457" s="35"/>
      <c r="T457" s="35"/>
      <c r="U457" s="35"/>
      <c r="V457" s="22"/>
      <c r="W457" s="22"/>
      <c r="X457" s="22"/>
      <c r="Y457" s="22"/>
      <c r="Z457" s="29"/>
      <c r="AA457" s="29"/>
      <c r="AB457" s="29"/>
      <c r="AC457" s="29"/>
      <c r="AD457" s="29"/>
      <c r="AE457" s="29"/>
      <c r="AF457" s="22"/>
      <c r="AG457" s="29"/>
      <c r="AH457" s="145"/>
      <c r="AI457" s="22"/>
      <c r="AJ457" s="28"/>
      <c r="AK457" s="28"/>
      <c r="AL457" s="22"/>
      <c r="AM457" s="22"/>
      <c r="AN457" s="22"/>
      <c r="AO457" s="22"/>
      <c r="AP457" s="22"/>
      <c r="AQ457" s="22"/>
      <c r="AR457" s="22"/>
    </row>
    <row r="458" spans="1:44" ht="12.75" hidden="1" customHeight="1" x14ac:dyDescent="0.25">
      <c r="A458" s="22" t="s">
        <v>1141</v>
      </c>
      <c r="B458" s="352">
        <v>8</v>
      </c>
      <c r="C458" s="49">
        <v>3</v>
      </c>
      <c r="D458" s="382" t="s">
        <v>86</v>
      </c>
      <c r="E458" s="65"/>
      <c r="F458" s="22"/>
      <c r="G458" s="33" t="s">
        <v>1142</v>
      </c>
      <c r="H458" s="33" t="s">
        <v>1143</v>
      </c>
      <c r="I458" s="33"/>
      <c r="J458" s="22"/>
      <c r="K458" s="33"/>
      <c r="L458" s="25"/>
      <c r="M458" s="25"/>
      <c r="N458" s="50">
        <v>2</v>
      </c>
      <c r="O458" s="22"/>
      <c r="P458" s="51">
        <v>14443.02</v>
      </c>
      <c r="Q458" s="28">
        <f t="shared" si="39"/>
        <v>28886.04</v>
      </c>
      <c r="R458" s="35"/>
      <c r="S458" s="35"/>
      <c r="T458" s="35"/>
      <c r="U458" s="35"/>
      <c r="V458" s="22"/>
      <c r="W458" s="22"/>
      <c r="X458" s="22"/>
      <c r="Y458" s="22"/>
      <c r="Z458" s="29"/>
      <c r="AA458" s="29"/>
      <c r="AB458" s="29"/>
      <c r="AC458" s="29"/>
      <c r="AD458" s="29"/>
      <c r="AE458" s="29"/>
      <c r="AF458" s="22" t="s">
        <v>1144</v>
      </c>
      <c r="AG458" s="29"/>
      <c r="AH458" s="145"/>
      <c r="AI458" s="22"/>
      <c r="AJ458" s="28"/>
      <c r="AK458" s="28"/>
      <c r="AL458" s="22"/>
      <c r="AM458" s="22"/>
      <c r="AN458" s="22"/>
      <c r="AO458" s="22"/>
      <c r="AP458" s="22"/>
      <c r="AQ458" s="22"/>
      <c r="AR458" s="22"/>
    </row>
    <row r="459" spans="1:44" ht="12.75" hidden="1" customHeight="1" x14ac:dyDescent="0.25">
      <c r="A459" s="22" t="s">
        <v>1145</v>
      </c>
      <c r="B459" s="352">
        <v>8</v>
      </c>
      <c r="C459" s="49">
        <v>3</v>
      </c>
      <c r="D459" s="382" t="s">
        <v>86</v>
      </c>
      <c r="E459" s="65"/>
      <c r="F459" s="22"/>
      <c r="G459" s="33" t="s">
        <v>1146</v>
      </c>
      <c r="H459" s="33" t="s">
        <v>1147</v>
      </c>
      <c r="I459" s="33"/>
      <c r="J459" s="22"/>
      <c r="K459" s="33" t="s">
        <v>1148</v>
      </c>
      <c r="L459" s="25"/>
      <c r="M459" s="25"/>
      <c r="N459" s="50">
        <v>2</v>
      </c>
      <c r="O459" s="22"/>
      <c r="P459" s="51">
        <v>124</v>
      </c>
      <c r="Q459" s="28">
        <f t="shared" si="39"/>
        <v>248</v>
      </c>
      <c r="R459" s="35"/>
      <c r="S459" s="35"/>
      <c r="T459" s="35"/>
      <c r="U459" s="35"/>
      <c r="V459" s="22"/>
      <c r="W459" s="22"/>
      <c r="X459" s="22"/>
      <c r="Y459" s="22"/>
      <c r="Z459" s="29"/>
      <c r="AA459" s="29"/>
      <c r="AB459" s="29"/>
      <c r="AC459" s="29"/>
      <c r="AD459" s="29"/>
      <c r="AE459" s="29"/>
      <c r="AF459" s="22" t="s">
        <v>1144</v>
      </c>
      <c r="AG459" s="29"/>
      <c r="AH459" s="145"/>
      <c r="AI459" s="22"/>
      <c r="AJ459" s="28"/>
      <c r="AK459" s="28"/>
      <c r="AL459" s="22"/>
      <c r="AM459" s="22"/>
      <c r="AN459" s="22"/>
      <c r="AO459" s="22"/>
      <c r="AP459" s="22"/>
      <c r="AQ459" s="22"/>
      <c r="AR459" s="22"/>
    </row>
    <row r="460" spans="1:44" ht="12.75" hidden="1" customHeight="1" x14ac:dyDescent="0.25">
      <c r="A460" s="22" t="s">
        <v>1149</v>
      </c>
      <c r="B460" s="352">
        <v>8</v>
      </c>
      <c r="C460" s="49">
        <v>3</v>
      </c>
      <c r="D460" s="382" t="s">
        <v>86</v>
      </c>
      <c r="E460" s="65"/>
      <c r="F460" s="22"/>
      <c r="G460" s="33" t="s">
        <v>1150</v>
      </c>
      <c r="H460" s="33" t="s">
        <v>1151</v>
      </c>
      <c r="I460" s="33"/>
      <c r="J460" s="22"/>
      <c r="K460" s="33" t="s">
        <v>1152</v>
      </c>
      <c r="L460" s="25"/>
      <c r="M460" s="25"/>
      <c r="N460" s="50">
        <v>1</v>
      </c>
      <c r="O460" s="22"/>
      <c r="P460" s="51">
        <v>185</v>
      </c>
      <c r="Q460" s="28">
        <f t="shared" si="39"/>
        <v>185</v>
      </c>
      <c r="R460" s="35"/>
      <c r="S460" s="35"/>
      <c r="T460" s="35"/>
      <c r="U460" s="35"/>
      <c r="V460" s="22"/>
      <c r="W460" s="22"/>
      <c r="X460" s="22"/>
      <c r="Y460" s="22"/>
      <c r="Z460" s="29"/>
      <c r="AA460" s="29"/>
      <c r="AB460" s="29"/>
      <c r="AC460" s="29"/>
      <c r="AD460" s="29"/>
      <c r="AE460" s="29"/>
      <c r="AF460" s="22" t="s">
        <v>1144</v>
      </c>
      <c r="AG460" s="29"/>
      <c r="AH460" s="145"/>
      <c r="AI460" s="22"/>
      <c r="AJ460" s="28"/>
      <c r="AK460" s="28"/>
      <c r="AL460" s="22"/>
      <c r="AM460" s="22"/>
      <c r="AN460" s="22"/>
      <c r="AO460" s="22"/>
      <c r="AP460" s="22"/>
      <c r="AQ460" s="22"/>
      <c r="AR460" s="22"/>
    </row>
    <row r="461" spans="1:44" ht="12.75" hidden="1" customHeight="1" x14ac:dyDescent="0.25">
      <c r="A461" s="22" t="s">
        <v>1153</v>
      </c>
      <c r="B461" s="352">
        <v>8</v>
      </c>
      <c r="C461" s="49">
        <v>3</v>
      </c>
      <c r="D461" s="382" t="s">
        <v>86</v>
      </c>
      <c r="E461" s="65"/>
      <c r="F461" s="22"/>
      <c r="G461" s="42" t="s">
        <v>1154</v>
      </c>
      <c r="H461" s="42" t="s">
        <v>1155</v>
      </c>
      <c r="I461" s="42"/>
      <c r="J461" s="22"/>
      <c r="K461" s="42" t="s">
        <v>446</v>
      </c>
      <c r="L461" s="25"/>
      <c r="M461" s="43"/>
      <c r="N461" s="50">
        <v>1</v>
      </c>
      <c r="O461" s="22"/>
      <c r="P461" s="81">
        <v>21075</v>
      </c>
      <c r="Q461" s="28">
        <f t="shared" si="39"/>
        <v>21075</v>
      </c>
      <c r="R461" s="35"/>
      <c r="S461" s="35"/>
      <c r="T461" s="35"/>
      <c r="U461" s="35"/>
      <c r="V461" s="22"/>
      <c r="W461" s="22"/>
      <c r="X461" s="22"/>
      <c r="Y461" s="22"/>
      <c r="Z461" s="29"/>
      <c r="AA461" s="29"/>
      <c r="AB461" s="29"/>
      <c r="AC461" s="29"/>
      <c r="AD461" s="29"/>
      <c r="AE461" s="29"/>
      <c r="AF461" s="22" t="s">
        <v>1144</v>
      </c>
      <c r="AG461" s="29"/>
      <c r="AH461" s="145"/>
      <c r="AI461" s="22"/>
      <c r="AJ461" s="28"/>
      <c r="AK461" s="28"/>
      <c r="AL461" s="22"/>
      <c r="AM461" s="22"/>
      <c r="AN461" s="22"/>
      <c r="AO461" s="22"/>
      <c r="AP461" s="22"/>
      <c r="AQ461" s="22"/>
      <c r="AR461" s="22"/>
    </row>
    <row r="462" spans="1:44" ht="12.75" hidden="1" customHeight="1" x14ac:dyDescent="0.25">
      <c r="A462" s="266"/>
      <c r="B462" s="352">
        <v>8</v>
      </c>
      <c r="C462" s="49">
        <v>3</v>
      </c>
      <c r="D462" s="382" t="s">
        <v>86</v>
      </c>
      <c r="E462" s="65"/>
      <c r="F462" s="22"/>
      <c r="G462" s="33" t="s">
        <v>1156</v>
      </c>
      <c r="H462" s="33" t="s">
        <v>1157</v>
      </c>
      <c r="I462" s="33"/>
      <c r="J462" s="22"/>
      <c r="K462" s="33" t="s">
        <v>1158</v>
      </c>
      <c r="L462" s="25"/>
      <c r="M462" s="25"/>
      <c r="N462" s="50">
        <v>1</v>
      </c>
      <c r="O462" s="22"/>
      <c r="P462" s="51">
        <v>16500</v>
      </c>
      <c r="Q462" s="28">
        <f t="shared" si="39"/>
        <v>16500</v>
      </c>
      <c r="R462" s="35"/>
      <c r="S462" s="35"/>
      <c r="T462" s="35"/>
      <c r="U462" s="35"/>
      <c r="V462" s="22"/>
      <c r="W462" s="22"/>
      <c r="X462" s="22"/>
      <c r="Y462" s="22"/>
      <c r="Z462" s="29"/>
      <c r="AA462" s="29"/>
      <c r="AB462" s="29"/>
      <c r="AC462" s="29"/>
      <c r="AD462" s="29"/>
      <c r="AE462" s="29"/>
      <c r="AF462" s="22" t="s">
        <v>1144</v>
      </c>
      <c r="AG462" s="29"/>
      <c r="AH462" s="145"/>
      <c r="AI462" s="22"/>
      <c r="AJ462" s="28"/>
      <c r="AK462" s="28"/>
      <c r="AL462" s="22"/>
      <c r="AM462" s="22"/>
      <c r="AN462" s="22"/>
      <c r="AO462" s="22"/>
      <c r="AP462" s="22"/>
      <c r="AQ462" s="22"/>
      <c r="AR462" s="22"/>
    </row>
    <row r="463" spans="1:44" ht="12.75" hidden="1" customHeight="1" x14ac:dyDescent="0.25">
      <c r="A463" s="266"/>
      <c r="B463" s="352">
        <v>8</v>
      </c>
      <c r="C463" s="49">
        <v>3</v>
      </c>
      <c r="D463" s="382" t="s">
        <v>86</v>
      </c>
      <c r="E463" s="33" t="s">
        <v>1159</v>
      </c>
      <c r="F463" s="22"/>
      <c r="G463" s="33" t="s">
        <v>1159</v>
      </c>
      <c r="H463" s="33" t="s">
        <v>1157</v>
      </c>
      <c r="I463" s="33"/>
      <c r="J463" s="22"/>
      <c r="K463" s="33"/>
      <c r="L463" s="25"/>
      <c r="M463" s="25"/>
      <c r="N463" s="50">
        <v>1</v>
      </c>
      <c r="O463" s="22"/>
      <c r="P463" s="51">
        <v>11990</v>
      </c>
      <c r="Q463" s="28">
        <f t="shared" si="39"/>
        <v>11990</v>
      </c>
      <c r="R463" s="35"/>
      <c r="S463" s="35"/>
      <c r="T463" s="35"/>
      <c r="U463" s="35"/>
      <c r="V463" s="22"/>
      <c r="W463" s="22"/>
      <c r="X463" s="22"/>
      <c r="Y463" s="22"/>
      <c r="Z463" s="29"/>
      <c r="AA463" s="29"/>
      <c r="AB463" s="29"/>
      <c r="AC463" s="29"/>
      <c r="AD463" s="29"/>
      <c r="AE463" s="29"/>
      <c r="AF463" s="22"/>
      <c r="AG463" s="29"/>
      <c r="AH463" s="145"/>
      <c r="AI463" s="22"/>
      <c r="AJ463" s="28"/>
      <c r="AK463" s="28"/>
      <c r="AL463" s="22"/>
      <c r="AM463" s="22"/>
      <c r="AN463" s="22"/>
      <c r="AO463" s="22"/>
      <c r="AP463" s="22"/>
      <c r="AQ463" s="22"/>
      <c r="AR463" s="22"/>
    </row>
    <row r="464" spans="1:44" ht="38.25" hidden="1" customHeight="1" x14ac:dyDescent="0.25">
      <c r="A464" s="22" t="s">
        <v>1160</v>
      </c>
      <c r="B464" s="352">
        <v>8</v>
      </c>
      <c r="C464" s="49">
        <v>3</v>
      </c>
      <c r="D464" s="382" t="s">
        <v>86</v>
      </c>
      <c r="E464" s="65"/>
      <c r="F464" s="22"/>
      <c r="G464" s="33" t="s">
        <v>1161</v>
      </c>
      <c r="H464" s="33" t="s">
        <v>236</v>
      </c>
      <c r="I464" s="33"/>
      <c r="J464" s="22"/>
      <c r="K464" s="33" t="s">
        <v>1162</v>
      </c>
      <c r="L464" s="25"/>
      <c r="M464" s="25"/>
      <c r="N464" s="52">
        <v>1</v>
      </c>
      <c r="O464" s="22"/>
      <c r="P464" s="51">
        <v>38750</v>
      </c>
      <c r="Q464" s="28">
        <f t="shared" si="39"/>
        <v>38750</v>
      </c>
      <c r="R464" s="35"/>
      <c r="S464" s="35"/>
      <c r="T464" s="35"/>
      <c r="U464" s="35"/>
      <c r="V464" s="22"/>
      <c r="W464" s="22"/>
      <c r="X464" s="22"/>
      <c r="Y464" s="22"/>
      <c r="Z464" s="29"/>
      <c r="AA464" s="29"/>
      <c r="AB464" s="29"/>
      <c r="AC464" s="29"/>
      <c r="AD464" s="29"/>
      <c r="AE464" s="29"/>
      <c r="AF464" s="22" t="s">
        <v>1144</v>
      </c>
      <c r="AG464" s="29"/>
      <c r="AH464" s="145"/>
      <c r="AI464" s="22"/>
      <c r="AJ464" s="28"/>
      <c r="AK464" s="28"/>
      <c r="AL464" s="22"/>
      <c r="AM464" s="22"/>
      <c r="AN464" s="22"/>
      <c r="AO464" s="22"/>
      <c r="AP464" s="22"/>
      <c r="AQ464" s="22"/>
      <c r="AR464" s="22"/>
    </row>
    <row r="465" spans="1:44" ht="12.75" hidden="1" customHeight="1" x14ac:dyDescent="0.25">
      <c r="A465" s="92"/>
      <c r="B465" s="352">
        <v>9</v>
      </c>
      <c r="C465" s="49">
        <v>3</v>
      </c>
      <c r="D465" s="382" t="s">
        <v>86</v>
      </c>
      <c r="E465" s="65"/>
      <c r="F465" s="22"/>
      <c r="G465" s="33" t="s">
        <v>1163</v>
      </c>
      <c r="H465" s="33"/>
      <c r="I465" s="33"/>
      <c r="J465" s="22"/>
      <c r="K465" s="33"/>
      <c r="L465" s="25"/>
      <c r="M465" s="25"/>
      <c r="N465" s="52">
        <v>1</v>
      </c>
      <c r="O465" s="22"/>
      <c r="P465" s="51">
        <v>15086</v>
      </c>
      <c r="Q465" s="28">
        <f t="shared" si="39"/>
        <v>15086</v>
      </c>
      <c r="R465" s="35"/>
      <c r="S465" s="35"/>
      <c r="T465" s="35"/>
      <c r="U465" s="35"/>
      <c r="V465" s="22"/>
      <c r="W465" s="22"/>
      <c r="X465" s="22"/>
      <c r="Y465" s="22"/>
      <c r="Z465" s="29"/>
      <c r="AA465" s="29"/>
      <c r="AB465" s="29"/>
      <c r="AC465" s="29"/>
      <c r="AD465" s="29"/>
      <c r="AE465" s="29"/>
      <c r="AF465" s="22"/>
      <c r="AG465" s="29"/>
      <c r="AH465" s="145"/>
      <c r="AI465" s="22"/>
      <c r="AJ465" s="28"/>
      <c r="AK465" s="28"/>
      <c r="AL465" s="22"/>
      <c r="AM465" s="22"/>
      <c r="AN465" s="22"/>
      <c r="AO465" s="22"/>
      <c r="AP465" s="22"/>
      <c r="AQ465" s="22"/>
      <c r="AR465" s="22"/>
    </row>
    <row r="466" spans="1:44" ht="24.75" hidden="1" customHeight="1" x14ac:dyDescent="0.25">
      <c r="A466" s="216" t="s">
        <v>1164</v>
      </c>
      <c r="B466" s="352">
        <v>8</v>
      </c>
      <c r="C466" s="49">
        <v>3</v>
      </c>
      <c r="D466" s="382" t="s">
        <v>86</v>
      </c>
      <c r="E466" s="65"/>
      <c r="F466" s="22"/>
      <c r="G466" s="33" t="s">
        <v>1165</v>
      </c>
      <c r="H466" s="33" t="s">
        <v>1166</v>
      </c>
      <c r="I466" s="33"/>
      <c r="J466" s="22"/>
      <c r="K466" s="33"/>
      <c r="L466" s="25"/>
      <c r="M466" s="25"/>
      <c r="N466" s="52">
        <v>1</v>
      </c>
      <c r="O466" s="22"/>
      <c r="P466" s="51">
        <v>8535</v>
      </c>
      <c r="Q466" s="28">
        <f t="shared" si="39"/>
        <v>8535</v>
      </c>
      <c r="R466" s="35"/>
      <c r="S466" s="35"/>
      <c r="T466" s="35"/>
      <c r="U466" s="35"/>
      <c r="V466" s="22"/>
      <c r="W466" s="22"/>
      <c r="X466" s="22"/>
      <c r="Y466" s="22"/>
      <c r="Z466" s="29"/>
      <c r="AA466" s="29"/>
      <c r="AB466" s="29"/>
      <c r="AC466" s="29"/>
      <c r="AD466" s="29"/>
      <c r="AE466" s="29"/>
      <c r="AF466" s="22" t="s">
        <v>1144</v>
      </c>
      <c r="AG466" s="29"/>
      <c r="AH466" s="145"/>
      <c r="AI466" s="22"/>
      <c r="AJ466" s="28"/>
      <c r="AK466" s="28"/>
      <c r="AL466" s="22"/>
      <c r="AM466" s="22"/>
      <c r="AN466" s="22"/>
      <c r="AO466" s="22"/>
      <c r="AP466" s="22"/>
      <c r="AQ466" s="22"/>
      <c r="AR466" s="22"/>
    </row>
    <row r="467" spans="1:44" ht="27.75" hidden="1" customHeight="1" x14ac:dyDescent="0.25">
      <c r="A467" s="265" t="s">
        <v>1167</v>
      </c>
      <c r="B467" s="352">
        <v>8</v>
      </c>
      <c r="C467" s="49">
        <v>3</v>
      </c>
      <c r="D467" s="382" t="s">
        <v>86</v>
      </c>
      <c r="E467" s="65"/>
      <c r="F467" s="22"/>
      <c r="G467" s="33" t="s">
        <v>1168</v>
      </c>
      <c r="H467" s="33" t="s">
        <v>1166</v>
      </c>
      <c r="I467" s="33"/>
      <c r="J467" s="22"/>
      <c r="K467" s="33"/>
      <c r="L467" s="25"/>
      <c r="M467" s="25"/>
      <c r="N467" s="52">
        <v>1</v>
      </c>
      <c r="O467" s="22"/>
      <c r="P467" s="51">
        <v>10000</v>
      </c>
      <c r="Q467" s="28">
        <f t="shared" si="39"/>
        <v>10000</v>
      </c>
      <c r="R467" s="35"/>
      <c r="S467" s="35"/>
      <c r="T467" s="35"/>
      <c r="U467" s="35"/>
      <c r="V467" s="22"/>
      <c r="W467" s="22"/>
      <c r="X467" s="22"/>
      <c r="Y467" s="22"/>
      <c r="Z467" s="29"/>
      <c r="AA467" s="29"/>
      <c r="AB467" s="29"/>
      <c r="AC467" s="29"/>
      <c r="AD467" s="29"/>
      <c r="AE467" s="29"/>
      <c r="AF467" s="22" t="s">
        <v>1144</v>
      </c>
      <c r="AG467" s="29"/>
      <c r="AH467" s="145"/>
      <c r="AI467" s="22"/>
      <c r="AJ467" s="28"/>
      <c r="AK467" s="28"/>
      <c r="AL467" s="22"/>
      <c r="AM467" s="22"/>
      <c r="AN467" s="22"/>
      <c r="AO467" s="22"/>
      <c r="AP467" s="22"/>
      <c r="AQ467" s="22"/>
      <c r="AR467" s="22"/>
    </row>
    <row r="468" spans="1:44" ht="12.75" hidden="1" customHeight="1" x14ac:dyDescent="0.25">
      <c r="A468" s="92"/>
      <c r="B468" s="352">
        <v>9</v>
      </c>
      <c r="C468" s="49">
        <v>3</v>
      </c>
      <c r="D468" s="382" t="s">
        <v>86</v>
      </c>
      <c r="E468" s="65"/>
      <c r="F468" s="22"/>
      <c r="G468" s="33" t="s">
        <v>1169</v>
      </c>
      <c r="H468" s="33"/>
      <c r="I468" s="33"/>
      <c r="J468" s="22"/>
      <c r="K468" s="33"/>
      <c r="L468" s="25"/>
      <c r="M468" s="25"/>
      <c r="N468" s="52">
        <v>1</v>
      </c>
      <c r="O468" s="22"/>
      <c r="P468" s="51">
        <v>10000</v>
      </c>
      <c r="Q468" s="28">
        <f t="shared" si="39"/>
        <v>10000</v>
      </c>
      <c r="R468" s="35"/>
      <c r="S468" s="35"/>
      <c r="T468" s="35"/>
      <c r="U468" s="35"/>
      <c r="V468" s="22"/>
      <c r="W468" s="22"/>
      <c r="X468" s="22"/>
      <c r="Y468" s="22"/>
      <c r="Z468" s="29"/>
      <c r="AA468" s="29"/>
      <c r="AB468" s="29"/>
      <c r="AC468" s="29"/>
      <c r="AD468" s="29"/>
      <c r="AE468" s="29"/>
      <c r="AF468" s="22"/>
      <c r="AG468" s="29"/>
      <c r="AH468" s="145"/>
      <c r="AI468" s="22"/>
      <c r="AJ468" s="28"/>
      <c r="AK468" s="28"/>
      <c r="AL468" s="22"/>
      <c r="AM468" s="22"/>
      <c r="AN468" s="22"/>
      <c r="AO468" s="22"/>
      <c r="AP468" s="22"/>
      <c r="AQ468" s="22"/>
      <c r="AR468" s="22"/>
    </row>
    <row r="469" spans="1:44" ht="33" hidden="1" customHeight="1" x14ac:dyDescent="0.25">
      <c r="A469" s="265" t="s">
        <v>1167</v>
      </c>
      <c r="B469" s="352">
        <v>8</v>
      </c>
      <c r="C469" s="49">
        <v>3</v>
      </c>
      <c r="D469" s="382" t="s">
        <v>86</v>
      </c>
      <c r="E469" s="65"/>
      <c r="F469" s="22"/>
      <c r="G469" s="33" t="s">
        <v>1170</v>
      </c>
      <c r="H469" s="33"/>
      <c r="I469" s="33"/>
      <c r="J469" s="22"/>
      <c r="K469" s="33"/>
      <c r="L469" s="25"/>
      <c r="M469" s="25"/>
      <c r="N469" s="52">
        <v>35</v>
      </c>
      <c r="O469" s="22"/>
      <c r="P469" s="51">
        <v>65.45</v>
      </c>
      <c r="Q469" s="28">
        <f t="shared" si="39"/>
        <v>2290.75</v>
      </c>
      <c r="R469" s="35"/>
      <c r="S469" s="35"/>
      <c r="T469" s="35"/>
      <c r="U469" s="35"/>
      <c r="V469" s="22"/>
      <c r="W469" s="22"/>
      <c r="X469" s="22"/>
      <c r="Y469" s="22"/>
      <c r="Z469" s="29"/>
      <c r="AA469" s="29"/>
      <c r="AB469" s="29"/>
      <c r="AC469" s="29"/>
      <c r="AD469" s="29"/>
      <c r="AE469" s="29"/>
      <c r="AF469" s="22" t="s">
        <v>1144</v>
      </c>
      <c r="AG469" s="29"/>
      <c r="AH469" s="145"/>
      <c r="AI469" s="22"/>
      <c r="AJ469" s="28"/>
      <c r="AK469" s="28"/>
      <c r="AL469" s="22"/>
      <c r="AM469" s="22"/>
      <c r="AN469" s="22"/>
      <c r="AO469" s="22"/>
      <c r="AP469" s="22"/>
      <c r="AQ469" s="22"/>
      <c r="AR469" s="22"/>
    </row>
    <row r="470" spans="1:44" ht="12.75" hidden="1" customHeight="1" x14ac:dyDescent="0.25">
      <c r="A470" s="92"/>
      <c r="B470" s="352">
        <v>9</v>
      </c>
      <c r="C470" s="49">
        <v>3</v>
      </c>
      <c r="D470" s="382" t="s">
        <v>86</v>
      </c>
      <c r="E470" s="65"/>
      <c r="F470" s="22"/>
      <c r="G470" s="33" t="s">
        <v>1171</v>
      </c>
      <c r="H470" s="33"/>
      <c r="I470" s="33"/>
      <c r="J470" s="22"/>
      <c r="K470" s="33"/>
      <c r="L470" s="25"/>
      <c r="M470" s="25"/>
      <c r="N470" s="50">
        <v>10</v>
      </c>
      <c r="O470" s="22"/>
      <c r="P470" s="51">
        <v>500</v>
      </c>
      <c r="Q470" s="28">
        <f t="shared" si="39"/>
        <v>5000</v>
      </c>
      <c r="R470" s="35"/>
      <c r="S470" s="35"/>
      <c r="T470" s="35"/>
      <c r="U470" s="35"/>
      <c r="V470" s="22"/>
      <c r="W470" s="22"/>
      <c r="X470" s="22"/>
      <c r="Y470" s="22"/>
      <c r="Z470" s="29"/>
      <c r="AA470" s="29"/>
      <c r="AB470" s="29"/>
      <c r="AC470" s="29"/>
      <c r="AD470" s="29"/>
      <c r="AE470" s="29"/>
      <c r="AF470" s="22"/>
      <c r="AG470" s="29"/>
      <c r="AH470" s="145"/>
      <c r="AI470" s="22"/>
      <c r="AJ470" s="28"/>
      <c r="AK470" s="28"/>
      <c r="AL470" s="22"/>
      <c r="AM470" s="22"/>
      <c r="AN470" s="22"/>
      <c r="AO470" s="22"/>
      <c r="AP470" s="22"/>
      <c r="AQ470" s="22"/>
      <c r="AR470" s="22"/>
    </row>
    <row r="471" spans="1:44" ht="12.75" hidden="1" customHeight="1" x14ac:dyDescent="0.25">
      <c r="A471" s="92"/>
      <c r="B471" s="352">
        <v>9</v>
      </c>
      <c r="C471" s="49">
        <v>3</v>
      </c>
      <c r="D471" s="382" t="s">
        <v>86</v>
      </c>
      <c r="E471" s="65"/>
      <c r="F471" s="22"/>
      <c r="G471" s="33" t="s">
        <v>1172</v>
      </c>
      <c r="H471" s="33"/>
      <c r="I471" s="33"/>
      <c r="J471" s="22"/>
      <c r="K471" s="33"/>
      <c r="L471" s="25"/>
      <c r="M471" s="25"/>
      <c r="N471" s="50">
        <v>10</v>
      </c>
      <c r="O471" s="22"/>
      <c r="P471" s="51">
        <v>500</v>
      </c>
      <c r="Q471" s="28">
        <f t="shared" si="39"/>
        <v>5000</v>
      </c>
      <c r="R471" s="35"/>
      <c r="S471" s="35"/>
      <c r="T471" s="35"/>
      <c r="U471" s="35"/>
      <c r="V471" s="22"/>
      <c r="W471" s="22"/>
      <c r="X471" s="22"/>
      <c r="Y471" s="22"/>
      <c r="Z471" s="29"/>
      <c r="AA471" s="29"/>
      <c r="AB471" s="29"/>
      <c r="AC471" s="29"/>
      <c r="AD471" s="29"/>
      <c r="AE471" s="29"/>
      <c r="AF471" s="22"/>
      <c r="AG471" s="29"/>
      <c r="AH471" s="145"/>
      <c r="AI471" s="22"/>
      <c r="AJ471" s="28"/>
      <c r="AK471" s="28"/>
      <c r="AL471" s="22"/>
      <c r="AM471" s="22"/>
      <c r="AN471" s="22"/>
      <c r="AO471" s="22"/>
      <c r="AP471" s="22"/>
      <c r="AQ471" s="22"/>
      <c r="AR471" s="22"/>
    </row>
    <row r="472" spans="1:44" ht="12.75" hidden="1" customHeight="1" x14ac:dyDescent="0.25">
      <c r="A472" s="92"/>
      <c r="B472" s="352">
        <v>9</v>
      </c>
      <c r="C472" s="49">
        <v>3</v>
      </c>
      <c r="D472" s="382" t="s">
        <v>86</v>
      </c>
      <c r="E472" s="65"/>
      <c r="F472" s="22"/>
      <c r="G472" s="33" t="s">
        <v>1173</v>
      </c>
      <c r="H472" s="33"/>
      <c r="I472" s="33"/>
      <c r="J472" s="22"/>
      <c r="K472" s="33"/>
      <c r="L472" s="25"/>
      <c r="M472" s="25"/>
      <c r="N472" s="50">
        <v>10</v>
      </c>
      <c r="O472" s="22"/>
      <c r="P472" s="51">
        <v>500</v>
      </c>
      <c r="Q472" s="28">
        <f t="shared" ref="Q472:Q473" si="40">N472*P472</f>
        <v>5000</v>
      </c>
      <c r="R472" s="35"/>
      <c r="S472" s="35"/>
      <c r="T472" s="35"/>
      <c r="U472" s="35"/>
      <c r="V472" s="22"/>
      <c r="W472" s="22"/>
      <c r="X472" s="22"/>
      <c r="Y472" s="22"/>
      <c r="Z472" s="29"/>
      <c r="AA472" s="29"/>
      <c r="AB472" s="29"/>
      <c r="AC472" s="29"/>
      <c r="AD472" s="29"/>
      <c r="AE472" s="29"/>
      <c r="AF472" s="22"/>
      <c r="AG472" s="29"/>
      <c r="AH472" s="145"/>
      <c r="AI472" s="22"/>
      <c r="AJ472" s="28"/>
      <c r="AK472" s="28"/>
      <c r="AL472" s="22"/>
      <c r="AM472" s="22"/>
      <c r="AN472" s="22"/>
      <c r="AO472" s="22"/>
      <c r="AP472" s="22"/>
      <c r="AQ472" s="22"/>
      <c r="AR472" s="22"/>
    </row>
    <row r="473" spans="1:44" ht="12.75" hidden="1" customHeight="1" x14ac:dyDescent="0.25">
      <c r="A473" s="92"/>
      <c r="B473" s="352">
        <v>9</v>
      </c>
      <c r="C473" s="49">
        <v>3</v>
      </c>
      <c r="D473" s="382" t="s">
        <v>86</v>
      </c>
      <c r="E473" s="65"/>
      <c r="F473" s="22"/>
      <c r="G473" s="33" t="s">
        <v>1174</v>
      </c>
      <c r="H473" s="33"/>
      <c r="I473" s="33"/>
      <c r="J473" s="22"/>
      <c r="K473" s="33"/>
      <c r="L473" s="25"/>
      <c r="M473" s="25"/>
      <c r="N473" s="50">
        <v>20</v>
      </c>
      <c r="O473" s="22"/>
      <c r="P473" s="51">
        <v>500</v>
      </c>
      <c r="Q473" s="28">
        <f t="shared" si="40"/>
        <v>10000</v>
      </c>
      <c r="R473" s="35"/>
      <c r="S473" s="35"/>
      <c r="T473" s="35"/>
      <c r="U473" s="35"/>
      <c r="V473" s="22"/>
      <c r="W473" s="22"/>
      <c r="X473" s="22"/>
      <c r="Y473" s="22"/>
      <c r="Z473" s="29"/>
      <c r="AA473" s="29"/>
      <c r="AB473" s="29"/>
      <c r="AC473" s="29"/>
      <c r="AD473" s="29"/>
      <c r="AE473" s="29"/>
      <c r="AF473" s="22"/>
      <c r="AG473" s="29"/>
      <c r="AH473" s="145"/>
      <c r="AI473" s="22"/>
      <c r="AJ473" s="28"/>
      <c r="AK473" s="28"/>
      <c r="AL473" s="22"/>
      <c r="AM473" s="22"/>
      <c r="AN473" s="22"/>
      <c r="AO473" s="22"/>
      <c r="AP473" s="22"/>
      <c r="AQ473" s="22"/>
      <c r="AR473" s="22"/>
    </row>
    <row r="474" spans="1:44" ht="12.75" customHeight="1" x14ac:dyDescent="0.25">
      <c r="A474" s="92" t="s">
        <v>903</v>
      </c>
      <c r="B474" s="352">
        <v>5</v>
      </c>
      <c r="C474" s="49">
        <v>3</v>
      </c>
      <c r="D474" s="382" t="s">
        <v>86</v>
      </c>
      <c r="E474" s="65"/>
      <c r="F474" s="22"/>
      <c r="G474" s="33" t="s">
        <v>1175</v>
      </c>
      <c r="H474" s="33" t="s">
        <v>699</v>
      </c>
      <c r="I474" s="33"/>
      <c r="J474" s="22"/>
      <c r="K474" s="33" t="s">
        <v>1176</v>
      </c>
      <c r="L474" s="25"/>
      <c r="M474" s="25"/>
      <c r="N474" s="50">
        <v>1</v>
      </c>
      <c r="O474" s="22"/>
      <c r="P474" s="84">
        <v>599.97</v>
      </c>
      <c r="Q474" s="28">
        <f>N474*P474</f>
        <v>599.97</v>
      </c>
      <c r="R474" s="35"/>
      <c r="S474" s="35"/>
      <c r="T474" s="35"/>
      <c r="U474" s="35"/>
      <c r="V474" s="22"/>
      <c r="W474" s="22"/>
      <c r="X474" s="22"/>
      <c r="Y474" s="22"/>
      <c r="Z474" s="29"/>
      <c r="AA474" s="29"/>
      <c r="AB474" s="29"/>
      <c r="AC474" s="29"/>
      <c r="AD474" s="29"/>
      <c r="AE474" s="29"/>
      <c r="AF474" s="22"/>
      <c r="AG474" s="29" t="s">
        <v>147</v>
      </c>
      <c r="AH474" s="519"/>
      <c r="AI474" s="144"/>
      <c r="AJ474" s="143"/>
      <c r="AK474" s="143"/>
      <c r="AL474" s="143"/>
      <c r="AM474" s="143"/>
      <c r="AN474" s="143"/>
      <c r="AO474" s="143"/>
      <c r="AP474" s="143"/>
      <c r="AQ474" s="143"/>
      <c r="AR474" s="143"/>
    </row>
    <row r="475" spans="1:44" ht="12.75" customHeight="1" x14ac:dyDescent="0.25">
      <c r="A475" s="434"/>
      <c r="B475" s="352">
        <v>5</v>
      </c>
      <c r="C475" s="49">
        <v>3</v>
      </c>
      <c r="D475" s="382" t="s">
        <v>86</v>
      </c>
      <c r="E475" s="65"/>
      <c r="F475" s="22"/>
      <c r="G475" s="33" t="s">
        <v>1177</v>
      </c>
      <c r="H475" s="33" t="s">
        <v>699</v>
      </c>
      <c r="I475" s="33"/>
      <c r="J475" s="22"/>
      <c r="K475" s="33" t="s">
        <v>1178</v>
      </c>
      <c r="L475" s="25"/>
      <c r="M475" s="25"/>
      <c r="N475" s="50">
        <v>6</v>
      </c>
      <c r="O475" s="22"/>
      <c r="P475" s="84">
        <v>36.49</v>
      </c>
      <c r="Q475" s="28">
        <f>N475*P475</f>
        <v>218.94</v>
      </c>
      <c r="R475" s="35"/>
      <c r="S475" s="35"/>
      <c r="T475" s="35"/>
      <c r="U475" s="35"/>
      <c r="V475" s="22" t="s">
        <v>1179</v>
      </c>
      <c r="W475" s="22" t="s">
        <v>1180</v>
      </c>
      <c r="X475" s="22"/>
      <c r="Y475" s="22"/>
      <c r="Z475" s="29">
        <v>43482</v>
      </c>
      <c r="AA475" s="29"/>
      <c r="AB475" s="29">
        <v>43482</v>
      </c>
      <c r="AC475" s="29"/>
      <c r="AD475" s="29"/>
      <c r="AE475" s="29"/>
      <c r="AF475" s="22"/>
      <c r="AG475" s="29" t="s">
        <v>98</v>
      </c>
      <c r="AH475" s="519">
        <v>194.1</v>
      </c>
      <c r="AI475" s="144"/>
      <c r="AJ475" s="143"/>
      <c r="AK475" s="143"/>
      <c r="AL475" s="143"/>
      <c r="AM475" s="143"/>
      <c r="AN475" s="143"/>
      <c r="AO475" s="143"/>
      <c r="AP475" s="143"/>
      <c r="AQ475" s="143"/>
      <c r="AR475" s="143"/>
    </row>
    <row r="476" spans="1:44" ht="12.75" customHeight="1" x14ac:dyDescent="0.25">
      <c r="A476" s="602"/>
      <c r="B476" s="352">
        <v>5</v>
      </c>
      <c r="C476" s="49">
        <v>3</v>
      </c>
      <c r="D476" s="382" t="s">
        <v>86</v>
      </c>
      <c r="E476" s="65"/>
      <c r="F476" s="22"/>
      <c r="G476" s="33" t="s">
        <v>988</v>
      </c>
      <c r="H476" s="33"/>
      <c r="I476" s="33"/>
      <c r="J476" s="22"/>
      <c r="K476" s="33"/>
      <c r="L476" s="25"/>
      <c r="M476" s="25"/>
      <c r="N476" s="50">
        <v>1</v>
      </c>
      <c r="O476" s="22"/>
      <c r="P476" s="84">
        <v>35.14</v>
      </c>
      <c r="Q476" s="28">
        <f>N476*P476</f>
        <v>35.14</v>
      </c>
      <c r="R476" s="35"/>
      <c r="S476" s="35"/>
      <c r="T476" s="35"/>
      <c r="U476" s="35"/>
      <c r="V476" s="22" t="s">
        <v>1179</v>
      </c>
      <c r="W476" s="22" t="s">
        <v>1180</v>
      </c>
      <c r="X476" s="22"/>
      <c r="Y476" s="22"/>
      <c r="Z476" s="29">
        <v>43482</v>
      </c>
      <c r="AA476" s="29"/>
      <c r="AB476" s="29">
        <v>43482</v>
      </c>
      <c r="AC476" s="29"/>
      <c r="AD476" s="29"/>
      <c r="AE476" s="29"/>
      <c r="AF476" s="22"/>
      <c r="AG476" s="29" t="s">
        <v>98</v>
      </c>
      <c r="AH476" s="519">
        <v>23.14</v>
      </c>
      <c r="AI476" s="144"/>
      <c r="AJ476" s="143"/>
      <c r="AK476" s="143"/>
      <c r="AL476" s="143"/>
      <c r="AM476" s="143"/>
      <c r="AN476" s="143"/>
      <c r="AO476" s="143"/>
      <c r="AP476" s="143"/>
      <c r="AQ476" s="143"/>
      <c r="AR476" s="143"/>
    </row>
    <row r="477" spans="1:44" ht="12.75" customHeight="1" x14ac:dyDescent="0.25">
      <c r="A477" s="92"/>
      <c r="B477" s="352" t="s">
        <v>1939</v>
      </c>
      <c r="C477" s="49">
        <v>3</v>
      </c>
      <c r="D477" s="382" t="s">
        <v>1181</v>
      </c>
      <c r="E477" s="65"/>
      <c r="F477" s="22"/>
      <c r="G477" s="33" t="s">
        <v>1182</v>
      </c>
      <c r="H477" s="33"/>
      <c r="I477" s="33"/>
      <c r="J477" s="22"/>
      <c r="K477" s="33"/>
      <c r="L477" s="25"/>
      <c r="M477" s="25"/>
      <c r="N477" s="50">
        <v>1</v>
      </c>
      <c r="O477" s="22"/>
      <c r="P477" s="84">
        <v>152.28</v>
      </c>
      <c r="Q477" s="28"/>
      <c r="R477" s="35"/>
      <c r="S477" s="35">
        <v>152.28</v>
      </c>
      <c r="T477" s="35"/>
      <c r="U477" s="273">
        <f>Q477-S477</f>
        <v>-152.28</v>
      </c>
      <c r="V477" s="22" t="s">
        <v>1183</v>
      </c>
      <c r="W477" s="22" t="s">
        <v>1184</v>
      </c>
      <c r="X477" s="22"/>
      <c r="Y477" s="22"/>
      <c r="Z477" s="29">
        <v>43423</v>
      </c>
      <c r="AA477" s="29"/>
      <c r="AB477" s="29">
        <v>43451</v>
      </c>
      <c r="AC477" s="29">
        <v>43461</v>
      </c>
      <c r="AD477" s="29"/>
      <c r="AE477" s="29"/>
      <c r="AF477" s="22"/>
      <c r="AG477" s="29" t="s">
        <v>98</v>
      </c>
      <c r="AH477" s="519">
        <v>152.28</v>
      </c>
      <c r="AI477" s="144"/>
      <c r="AJ477" s="143"/>
      <c r="AK477" s="143"/>
      <c r="AL477" s="143"/>
      <c r="AM477" s="143"/>
      <c r="AN477" s="143"/>
      <c r="AO477" s="143"/>
      <c r="AP477" s="143"/>
      <c r="AQ477" s="143"/>
      <c r="AR477" s="143"/>
    </row>
    <row r="478" spans="1:44" ht="12.75" customHeight="1" x14ac:dyDescent="0.25">
      <c r="A478" s="603"/>
      <c r="B478" s="352">
        <v>5</v>
      </c>
      <c r="C478" s="49">
        <v>3</v>
      </c>
      <c r="D478" s="382" t="s">
        <v>86</v>
      </c>
      <c r="E478" s="65"/>
      <c r="F478" s="22"/>
      <c r="G478" s="33" t="s">
        <v>1185</v>
      </c>
      <c r="H478" s="33" t="s">
        <v>1186</v>
      </c>
      <c r="I478" s="33"/>
      <c r="J478" s="22"/>
      <c r="K478" s="33" t="s">
        <v>1187</v>
      </c>
      <c r="L478" s="25"/>
      <c r="M478" s="25"/>
      <c r="N478" s="50">
        <v>7</v>
      </c>
      <c r="O478" s="22"/>
      <c r="P478" s="84">
        <v>40</v>
      </c>
      <c r="Q478" s="28">
        <f>N478*P478</f>
        <v>280</v>
      </c>
      <c r="R478" s="35"/>
      <c r="S478" s="35">
        <v>280</v>
      </c>
      <c r="T478" s="35"/>
      <c r="U478" s="273">
        <f t="shared" ref="U478:U481" si="41">Q478-S478</f>
        <v>0</v>
      </c>
      <c r="V478" s="22" t="s">
        <v>1188</v>
      </c>
      <c r="W478" s="22" t="s">
        <v>1189</v>
      </c>
      <c r="X478" s="22"/>
      <c r="Y478" s="22"/>
      <c r="Z478" s="29">
        <v>43493</v>
      </c>
      <c r="AA478" s="29"/>
      <c r="AB478" s="29">
        <v>43504</v>
      </c>
      <c r="AC478" s="29">
        <v>43504</v>
      </c>
      <c r="AD478" s="29"/>
      <c r="AE478" s="29"/>
      <c r="AF478" s="22"/>
      <c r="AG478" s="29" t="s">
        <v>98</v>
      </c>
      <c r="AH478" s="519">
        <v>280</v>
      </c>
      <c r="AI478" s="144"/>
      <c r="AJ478" s="143"/>
      <c r="AK478" s="143"/>
      <c r="AL478" s="143"/>
      <c r="AM478" s="143"/>
      <c r="AN478" s="143"/>
      <c r="AO478" s="143"/>
      <c r="AP478" s="143"/>
      <c r="AQ478" s="143"/>
      <c r="AR478" s="143"/>
    </row>
    <row r="479" spans="1:44" ht="12.75" customHeight="1" x14ac:dyDescent="0.25">
      <c r="A479" s="602"/>
      <c r="B479" s="352">
        <v>5</v>
      </c>
      <c r="C479" s="49">
        <v>3</v>
      </c>
      <c r="D479" s="382" t="s">
        <v>86</v>
      </c>
      <c r="E479" s="65"/>
      <c r="F479" s="22"/>
      <c r="G479" s="33" t="s">
        <v>438</v>
      </c>
      <c r="H479" s="33"/>
      <c r="I479" s="33"/>
      <c r="J479" s="22"/>
      <c r="K479" s="33"/>
      <c r="L479" s="25"/>
      <c r="M479" s="25"/>
      <c r="N479" s="50">
        <v>1</v>
      </c>
      <c r="O479" s="22"/>
      <c r="P479" s="84">
        <v>25.01</v>
      </c>
      <c r="Q479" s="28">
        <v>25.01</v>
      </c>
      <c r="R479" s="35"/>
      <c r="S479" s="35">
        <v>0</v>
      </c>
      <c r="T479" s="35"/>
      <c r="U479" s="273">
        <f t="shared" si="41"/>
        <v>25.01</v>
      </c>
      <c r="V479" s="22" t="s">
        <v>1188</v>
      </c>
      <c r="W479" s="22" t="s">
        <v>1189</v>
      </c>
      <c r="Z479" s="29">
        <v>43493</v>
      </c>
      <c r="AB479" s="178">
        <v>43504</v>
      </c>
      <c r="AC479" s="29">
        <v>43504</v>
      </c>
      <c r="AD479" s="29"/>
      <c r="AE479" s="29"/>
      <c r="AF479" s="22"/>
      <c r="AG479" s="29" t="s">
        <v>98</v>
      </c>
      <c r="AH479" s="519">
        <v>0</v>
      </c>
      <c r="AI479" s="144"/>
      <c r="AJ479" s="143"/>
      <c r="AK479" s="143"/>
      <c r="AL479" s="143"/>
      <c r="AM479" s="143"/>
      <c r="AN479" s="143"/>
      <c r="AO479" s="143"/>
      <c r="AP479" s="143"/>
      <c r="AQ479" s="143"/>
      <c r="AR479" s="143"/>
    </row>
    <row r="480" spans="1:44" ht="12.75" customHeight="1" x14ac:dyDescent="0.25">
      <c r="A480" s="434"/>
      <c r="B480" s="352" t="s">
        <v>1939</v>
      </c>
      <c r="C480" s="49">
        <v>3</v>
      </c>
      <c r="D480" s="382" t="s">
        <v>1190</v>
      </c>
      <c r="E480" s="65"/>
      <c r="F480" s="22"/>
      <c r="G480" s="33" t="s">
        <v>1191</v>
      </c>
      <c r="H480" s="33" t="s">
        <v>1192</v>
      </c>
      <c r="I480" s="33"/>
      <c r="J480" s="22"/>
      <c r="K480" s="33"/>
      <c r="L480" s="25"/>
      <c r="M480" s="25"/>
      <c r="N480" s="50">
        <v>13</v>
      </c>
      <c r="O480" s="22"/>
      <c r="P480" s="84">
        <v>153.33000000000001</v>
      </c>
      <c r="Q480" s="28"/>
      <c r="R480" s="35"/>
      <c r="S480" s="35">
        <v>2026.57</v>
      </c>
      <c r="T480" s="35"/>
      <c r="U480" s="273">
        <f t="shared" si="41"/>
        <v>-2026.57</v>
      </c>
      <c r="V480" s="22" t="s">
        <v>1193</v>
      </c>
      <c r="W480" s="22" t="s">
        <v>1194</v>
      </c>
      <c r="X480" s="22"/>
      <c r="Y480" s="22"/>
      <c r="Z480" s="29">
        <v>43493</v>
      </c>
      <c r="AA480" s="29"/>
      <c r="AB480" s="29">
        <v>43556</v>
      </c>
      <c r="AC480" s="29"/>
      <c r="AD480" s="29"/>
      <c r="AE480" s="29"/>
      <c r="AF480" s="22"/>
      <c r="AG480" s="29" t="s">
        <v>914</v>
      </c>
      <c r="AH480" s="519"/>
      <c r="AI480" s="144"/>
      <c r="AJ480" s="143"/>
      <c r="AK480" s="143"/>
      <c r="AL480" s="143"/>
      <c r="AM480" s="143"/>
      <c r="AN480" s="143">
        <f>S480</f>
        <v>2026.57</v>
      </c>
      <c r="AO480" s="143"/>
      <c r="AP480" s="143"/>
      <c r="AQ480" s="143"/>
      <c r="AR480" s="143"/>
    </row>
    <row r="481" spans="1:44" ht="12.75" customHeight="1" x14ac:dyDescent="0.25">
      <c r="A481" s="434"/>
      <c r="B481" s="352" t="s">
        <v>1939</v>
      </c>
      <c r="C481" s="49">
        <v>3</v>
      </c>
      <c r="D481" s="382" t="s">
        <v>1190</v>
      </c>
      <c r="E481" s="65"/>
      <c r="F481" s="22"/>
      <c r="G481" s="33" t="s">
        <v>1195</v>
      </c>
      <c r="H481" s="33" t="s">
        <v>1196</v>
      </c>
      <c r="I481" s="33"/>
      <c r="J481" s="22"/>
      <c r="K481" s="33"/>
      <c r="L481" s="25"/>
      <c r="M481" s="25"/>
      <c r="N481" s="50">
        <v>4</v>
      </c>
      <c r="O481" s="22"/>
      <c r="P481" s="84">
        <v>198</v>
      </c>
      <c r="Q481" s="28"/>
      <c r="R481" s="35"/>
      <c r="S481" s="35">
        <v>812</v>
      </c>
      <c r="T481" s="35"/>
      <c r="U481" s="273">
        <f t="shared" si="41"/>
        <v>-812</v>
      </c>
      <c r="V481" s="22" t="s">
        <v>1197</v>
      </c>
      <c r="W481" s="22" t="s">
        <v>1198</v>
      </c>
      <c r="X481" s="22"/>
      <c r="Y481" s="22"/>
      <c r="Z481" s="29">
        <v>43493</v>
      </c>
      <c r="AA481" s="29"/>
      <c r="AB481" s="29">
        <v>43502</v>
      </c>
      <c r="AC481" s="29">
        <v>43502</v>
      </c>
      <c r="AD481" s="29"/>
      <c r="AE481" s="29"/>
      <c r="AF481" s="22"/>
      <c r="AG481" s="29" t="s">
        <v>914</v>
      </c>
      <c r="AH481" s="519"/>
      <c r="AI481" s="144"/>
      <c r="AJ481" s="143"/>
      <c r="AK481" s="143"/>
      <c r="AL481" s="143"/>
      <c r="AM481" s="143"/>
      <c r="AN481" s="143">
        <f>S481</f>
        <v>812</v>
      </c>
      <c r="AO481" s="143"/>
      <c r="AP481" s="143"/>
      <c r="AQ481" s="143"/>
      <c r="AR481" s="143"/>
    </row>
    <row r="482" spans="1:44" ht="12.75" customHeight="1" x14ac:dyDescent="0.25">
      <c r="A482" s="603"/>
      <c r="B482" s="352">
        <v>5</v>
      </c>
      <c r="C482" s="49">
        <v>3</v>
      </c>
      <c r="D482" s="382" t="s">
        <v>86</v>
      </c>
      <c r="E482" s="65"/>
      <c r="F482" s="22"/>
      <c r="G482" s="33" t="s">
        <v>1199</v>
      </c>
      <c r="H482" s="33" t="s">
        <v>285</v>
      </c>
      <c r="I482" s="33"/>
      <c r="J482" s="22"/>
      <c r="K482" s="33" t="s">
        <v>292</v>
      </c>
      <c r="L482" s="25"/>
      <c r="M482" s="25"/>
      <c r="N482" s="50">
        <v>6</v>
      </c>
      <c r="O482" s="22"/>
      <c r="P482" s="84">
        <v>47.16</v>
      </c>
      <c r="Q482" s="28">
        <f t="shared" ref="Q482:Q500" si="42">N482*P482</f>
        <v>282.95999999999998</v>
      </c>
      <c r="R482" s="35"/>
      <c r="S482" s="35">
        <v>282.95999999999998</v>
      </c>
      <c r="T482" s="35"/>
      <c r="U482" s="35">
        <f>Q482-S482</f>
        <v>0</v>
      </c>
      <c r="V482" s="22" t="s">
        <v>1200</v>
      </c>
      <c r="W482" s="22" t="s">
        <v>1201</v>
      </c>
      <c r="X482" s="22"/>
      <c r="Y482" s="22"/>
      <c r="Z482" s="29">
        <v>43482</v>
      </c>
      <c r="AA482" s="29"/>
      <c r="AB482" s="29">
        <v>43490</v>
      </c>
      <c r="AC482" s="29">
        <v>43490</v>
      </c>
      <c r="AD482" s="29"/>
      <c r="AE482" s="29"/>
      <c r="AF482" s="22"/>
      <c r="AG482" s="29" t="s">
        <v>914</v>
      </c>
      <c r="AH482" s="143"/>
      <c r="AI482" s="144"/>
      <c r="AJ482" s="143"/>
      <c r="AK482" s="143"/>
      <c r="AL482" s="143"/>
      <c r="AM482" s="143"/>
      <c r="AN482" s="143">
        <v>282.95999999999998</v>
      </c>
      <c r="AO482" s="143"/>
      <c r="AP482" s="143"/>
      <c r="AQ482" s="143"/>
      <c r="AR482" s="143"/>
    </row>
    <row r="483" spans="1:44" ht="12.75" customHeight="1" x14ac:dyDescent="0.25">
      <c r="A483" s="434"/>
      <c r="B483" s="352">
        <v>5</v>
      </c>
      <c r="C483" s="49">
        <v>3</v>
      </c>
      <c r="D483" s="382" t="s">
        <v>86</v>
      </c>
      <c r="E483" s="65"/>
      <c r="F483" s="22"/>
      <c r="G483" s="33" t="s">
        <v>1202</v>
      </c>
      <c r="H483" s="33" t="s">
        <v>285</v>
      </c>
      <c r="I483" s="33"/>
      <c r="J483" s="22"/>
      <c r="K483" s="33" t="s">
        <v>1203</v>
      </c>
      <c r="L483" s="25"/>
      <c r="M483" s="25"/>
      <c r="N483" s="50">
        <v>8</v>
      </c>
      <c r="O483" s="22"/>
      <c r="P483" s="84">
        <v>63.6</v>
      </c>
      <c r="Q483" s="28">
        <f t="shared" si="42"/>
        <v>508.8</v>
      </c>
      <c r="R483" s="35"/>
      <c r="S483" s="35">
        <v>508.8</v>
      </c>
      <c r="T483" s="35"/>
      <c r="U483" s="35">
        <f t="shared" ref="U483:U500" si="43">Q483-S483</f>
        <v>0</v>
      </c>
      <c r="V483" s="22" t="s">
        <v>1200</v>
      </c>
      <c r="W483" s="22" t="s">
        <v>1201</v>
      </c>
      <c r="X483" s="22"/>
      <c r="Y483" s="22"/>
      <c r="Z483" s="29">
        <v>43482</v>
      </c>
      <c r="AA483" s="29"/>
      <c r="AB483" s="29">
        <v>43490</v>
      </c>
      <c r="AC483" s="29">
        <v>43490</v>
      </c>
      <c r="AD483" s="29"/>
      <c r="AE483" s="29"/>
      <c r="AF483" s="22"/>
      <c r="AG483" s="29" t="s">
        <v>914</v>
      </c>
      <c r="AH483" s="143"/>
      <c r="AI483" s="144"/>
      <c r="AJ483" s="143"/>
      <c r="AK483" s="143"/>
      <c r="AL483" s="143"/>
      <c r="AM483" s="143"/>
      <c r="AN483" s="143">
        <v>508.8</v>
      </c>
      <c r="AO483" s="143"/>
      <c r="AP483" s="143"/>
      <c r="AQ483" s="143"/>
      <c r="AR483" s="143"/>
    </row>
    <row r="484" spans="1:44" ht="12.75" customHeight="1" x14ac:dyDescent="0.25">
      <c r="A484" s="434"/>
      <c r="B484" s="352">
        <v>5</v>
      </c>
      <c r="C484" s="49">
        <v>3</v>
      </c>
      <c r="D484" s="382" t="s">
        <v>86</v>
      </c>
      <c r="E484" s="65"/>
      <c r="F484" s="22"/>
      <c r="G484" s="33" t="s">
        <v>1204</v>
      </c>
      <c r="H484" s="33" t="s">
        <v>285</v>
      </c>
      <c r="I484" s="33"/>
      <c r="J484" s="22"/>
      <c r="K484" s="33" t="s">
        <v>1205</v>
      </c>
      <c r="L484" s="25"/>
      <c r="M484" s="25"/>
      <c r="N484" s="50">
        <v>1</v>
      </c>
      <c r="O484" s="22"/>
      <c r="P484" s="84">
        <v>137.94999999999999</v>
      </c>
      <c r="Q484" s="28">
        <f t="shared" si="42"/>
        <v>137.94999999999999</v>
      </c>
      <c r="R484" s="35"/>
      <c r="S484" s="35">
        <v>137.94999999999999</v>
      </c>
      <c r="T484" s="35"/>
      <c r="U484" s="35">
        <f t="shared" si="43"/>
        <v>0</v>
      </c>
      <c r="V484" s="22" t="s">
        <v>1200</v>
      </c>
      <c r="W484" s="22" t="s">
        <v>1201</v>
      </c>
      <c r="X484" s="22"/>
      <c r="Y484" s="22"/>
      <c r="Z484" s="29">
        <v>43482</v>
      </c>
      <c r="AA484" s="29"/>
      <c r="AB484" s="29">
        <v>43490</v>
      </c>
      <c r="AC484" s="29">
        <v>43490</v>
      </c>
      <c r="AD484" s="29"/>
      <c r="AE484" s="29"/>
      <c r="AF484" s="22"/>
      <c r="AG484" s="29" t="s">
        <v>914</v>
      </c>
      <c r="AH484" s="143"/>
      <c r="AI484" s="144"/>
      <c r="AJ484" s="143"/>
      <c r="AK484" s="143"/>
      <c r="AL484" s="143"/>
      <c r="AM484" s="143"/>
      <c r="AN484" s="143">
        <v>137.94999999999999</v>
      </c>
      <c r="AO484" s="143"/>
      <c r="AP484" s="143"/>
      <c r="AQ484" s="143"/>
      <c r="AR484" s="143"/>
    </row>
    <row r="485" spans="1:44" ht="12.75" customHeight="1" x14ac:dyDescent="0.25">
      <c r="A485" s="434"/>
      <c r="B485" s="352">
        <v>5</v>
      </c>
      <c r="C485" s="49">
        <v>3</v>
      </c>
      <c r="D485" s="382" t="s">
        <v>86</v>
      </c>
      <c r="E485" s="65"/>
      <c r="F485" s="22"/>
      <c r="G485" s="33" t="s">
        <v>1206</v>
      </c>
      <c r="H485" s="33" t="s">
        <v>285</v>
      </c>
      <c r="I485" s="33"/>
      <c r="J485" s="22"/>
      <c r="K485" s="33" t="s">
        <v>286</v>
      </c>
      <c r="L485" s="25"/>
      <c r="M485" s="25"/>
      <c r="N485" s="50">
        <v>7</v>
      </c>
      <c r="O485" s="22"/>
      <c r="P485" s="84">
        <v>14.07</v>
      </c>
      <c r="Q485" s="28">
        <f t="shared" si="42"/>
        <v>98.490000000000009</v>
      </c>
      <c r="R485" s="35"/>
      <c r="S485" s="35">
        <v>98.49</v>
      </c>
      <c r="T485" s="35"/>
      <c r="U485" s="35">
        <f t="shared" si="43"/>
        <v>0</v>
      </c>
      <c r="V485" s="22" t="s">
        <v>1200</v>
      </c>
      <c r="W485" s="22" t="s">
        <v>1201</v>
      </c>
      <c r="X485" s="22"/>
      <c r="Y485" s="22"/>
      <c r="Z485" s="29">
        <v>43482</v>
      </c>
      <c r="AA485" s="29"/>
      <c r="AB485" s="29">
        <v>43490</v>
      </c>
      <c r="AC485" s="29">
        <v>43490</v>
      </c>
      <c r="AD485" s="29"/>
      <c r="AE485" s="29"/>
      <c r="AF485" s="22"/>
      <c r="AG485" s="29" t="s">
        <v>914</v>
      </c>
      <c r="AH485" s="143"/>
      <c r="AI485" s="144"/>
      <c r="AJ485" s="143"/>
      <c r="AK485" s="143"/>
      <c r="AL485" s="143"/>
      <c r="AM485" s="143"/>
      <c r="AN485" s="143">
        <v>98.49</v>
      </c>
      <c r="AO485" s="143"/>
      <c r="AP485" s="143"/>
      <c r="AQ485" s="143"/>
      <c r="AR485" s="143"/>
    </row>
    <row r="486" spans="1:44" ht="12.75" customHeight="1" x14ac:dyDescent="0.25">
      <c r="A486" s="434"/>
      <c r="B486" s="352">
        <v>5</v>
      </c>
      <c r="C486" s="49">
        <v>3</v>
      </c>
      <c r="D486" s="382" t="s">
        <v>86</v>
      </c>
      <c r="E486" s="65"/>
      <c r="F486" s="22"/>
      <c r="G486" s="33" t="s">
        <v>1207</v>
      </c>
      <c r="H486" s="33" t="s">
        <v>285</v>
      </c>
      <c r="I486" s="33"/>
      <c r="J486" s="22"/>
      <c r="K486" s="33" t="s">
        <v>1208</v>
      </c>
      <c r="L486" s="25"/>
      <c r="M486" s="25"/>
      <c r="N486" s="50">
        <v>2</v>
      </c>
      <c r="O486" s="22"/>
      <c r="P486" s="84">
        <v>10</v>
      </c>
      <c r="Q486" s="28">
        <f t="shared" si="42"/>
        <v>20</v>
      </c>
      <c r="R486" s="35"/>
      <c r="S486" s="35">
        <v>20</v>
      </c>
      <c r="T486" s="35"/>
      <c r="U486" s="35">
        <f t="shared" si="43"/>
        <v>0</v>
      </c>
      <c r="V486" s="22" t="s">
        <v>1200</v>
      </c>
      <c r="W486" s="22" t="s">
        <v>1201</v>
      </c>
      <c r="X486" s="22"/>
      <c r="Y486" s="22"/>
      <c r="Z486" s="29">
        <v>43482</v>
      </c>
      <c r="AA486" s="29"/>
      <c r="AB486" s="29">
        <v>43490</v>
      </c>
      <c r="AC486" s="29">
        <v>43490</v>
      </c>
      <c r="AD486" s="29"/>
      <c r="AE486" s="29"/>
      <c r="AF486" s="22"/>
      <c r="AG486" s="29" t="s">
        <v>914</v>
      </c>
      <c r="AH486" s="143"/>
      <c r="AI486" s="144"/>
      <c r="AJ486" s="143"/>
      <c r="AK486" s="143"/>
      <c r="AL486" s="143"/>
      <c r="AM486" s="143"/>
      <c r="AN486" s="143">
        <v>20</v>
      </c>
      <c r="AO486" s="143"/>
      <c r="AP486" s="143"/>
      <c r="AQ486" s="143"/>
      <c r="AR486" s="143"/>
    </row>
    <row r="487" spans="1:44" ht="12.75" customHeight="1" x14ac:dyDescent="0.25">
      <c r="A487" s="434"/>
      <c r="B487" s="352">
        <v>5</v>
      </c>
      <c r="C487" s="49">
        <v>3</v>
      </c>
      <c r="D487" s="382" t="s">
        <v>86</v>
      </c>
      <c r="E487" s="65"/>
      <c r="F487" s="22"/>
      <c r="G487" s="33" t="s">
        <v>1209</v>
      </c>
      <c r="H487" s="33" t="s">
        <v>285</v>
      </c>
      <c r="I487" s="33"/>
      <c r="J487" s="22"/>
      <c r="K487" s="33" t="s">
        <v>1210</v>
      </c>
      <c r="L487" s="25"/>
      <c r="M487" s="25"/>
      <c r="N487" s="50">
        <v>26</v>
      </c>
      <c r="O487" s="22"/>
      <c r="P487" s="84">
        <v>8.76</v>
      </c>
      <c r="Q487" s="28">
        <f t="shared" si="42"/>
        <v>227.76</v>
      </c>
      <c r="R487" s="35"/>
      <c r="S487" s="35">
        <v>227.76</v>
      </c>
      <c r="T487" s="35"/>
      <c r="U487" s="35">
        <f t="shared" si="43"/>
        <v>0</v>
      </c>
      <c r="V487" s="22" t="s">
        <v>1200</v>
      </c>
      <c r="W487" s="22" t="s">
        <v>1201</v>
      </c>
      <c r="X487" s="22"/>
      <c r="Y487" s="22"/>
      <c r="Z487" s="29">
        <v>43482</v>
      </c>
      <c r="AA487" s="29"/>
      <c r="AB487" s="29">
        <v>43490</v>
      </c>
      <c r="AC487" s="29">
        <v>43490</v>
      </c>
      <c r="AD487" s="29"/>
      <c r="AE487" s="29"/>
      <c r="AF487" s="22"/>
      <c r="AG487" s="29" t="s">
        <v>914</v>
      </c>
      <c r="AH487" s="143"/>
      <c r="AI487" s="144"/>
      <c r="AJ487" s="143"/>
      <c r="AK487" s="143"/>
      <c r="AL487" s="143"/>
      <c r="AM487" s="143"/>
      <c r="AN487" s="143">
        <v>227.76</v>
      </c>
      <c r="AO487" s="143"/>
      <c r="AP487" s="143"/>
      <c r="AQ487" s="143"/>
      <c r="AR487" s="143"/>
    </row>
    <row r="488" spans="1:44" ht="13.5" customHeight="1" x14ac:dyDescent="0.25">
      <c r="A488" s="434"/>
      <c r="B488" s="352">
        <v>5</v>
      </c>
      <c r="C488" s="49">
        <v>3</v>
      </c>
      <c r="D488" s="382" t="s">
        <v>86</v>
      </c>
      <c r="E488" s="65"/>
      <c r="F488" s="22"/>
      <c r="G488" s="33" t="s">
        <v>438</v>
      </c>
      <c r="H488" s="33"/>
      <c r="I488" s="33"/>
      <c r="J488" s="22"/>
      <c r="K488" s="33"/>
      <c r="L488" s="25"/>
      <c r="M488" s="25"/>
      <c r="N488" s="50">
        <v>1</v>
      </c>
      <c r="O488" s="22"/>
      <c r="P488" s="84">
        <v>36</v>
      </c>
      <c r="Q488" s="28">
        <f t="shared" si="42"/>
        <v>36</v>
      </c>
      <c r="R488" s="35"/>
      <c r="S488" s="35">
        <v>36</v>
      </c>
      <c r="T488" s="35"/>
      <c r="U488" s="35">
        <f t="shared" si="43"/>
        <v>0</v>
      </c>
      <c r="V488" s="22" t="s">
        <v>1200</v>
      </c>
      <c r="W488" s="22" t="s">
        <v>1201</v>
      </c>
      <c r="X488" s="22"/>
      <c r="Y488" s="22"/>
      <c r="Z488" s="29">
        <v>43482</v>
      </c>
      <c r="AA488" s="29"/>
      <c r="AB488" s="29">
        <v>43490</v>
      </c>
      <c r="AC488" s="29">
        <v>43490</v>
      </c>
      <c r="AD488" s="29"/>
      <c r="AE488" s="29"/>
      <c r="AF488" s="22"/>
      <c r="AG488" s="29" t="s">
        <v>914</v>
      </c>
      <c r="AH488" s="143"/>
      <c r="AI488" s="144"/>
      <c r="AJ488" s="143"/>
      <c r="AK488" s="143"/>
      <c r="AL488" s="143"/>
      <c r="AM488" s="143"/>
      <c r="AN488" s="143">
        <v>36</v>
      </c>
      <c r="AO488" s="143"/>
      <c r="AP488" s="143"/>
      <c r="AQ488" s="143"/>
      <c r="AR488" s="143"/>
    </row>
    <row r="489" spans="1:44" ht="12.75" customHeight="1" x14ac:dyDescent="0.25">
      <c r="A489" s="434"/>
      <c r="B489" s="352">
        <v>5</v>
      </c>
      <c r="C489" s="49">
        <v>3</v>
      </c>
      <c r="D489" s="382" t="s">
        <v>86</v>
      </c>
      <c r="E489" s="65"/>
      <c r="F489" s="22"/>
      <c r="G489" s="33" t="s">
        <v>1211</v>
      </c>
      <c r="H489" s="142" t="s">
        <v>1212</v>
      </c>
      <c r="I489" s="33"/>
      <c r="J489" s="22"/>
      <c r="K489" s="33" t="s">
        <v>1213</v>
      </c>
      <c r="L489" s="25"/>
      <c r="M489" s="25"/>
      <c r="N489" s="50">
        <v>2</v>
      </c>
      <c r="O489" s="22"/>
      <c r="P489" s="84">
        <v>33.909999999999997</v>
      </c>
      <c r="Q489" s="28">
        <f t="shared" si="42"/>
        <v>67.819999999999993</v>
      </c>
      <c r="R489" s="35"/>
      <c r="S489" s="35">
        <v>67.819999999999993</v>
      </c>
      <c r="T489" s="35"/>
      <c r="U489" s="35">
        <f t="shared" si="43"/>
        <v>0</v>
      </c>
      <c r="V489" s="22" t="s">
        <v>1214</v>
      </c>
      <c r="W489" s="22" t="s">
        <v>1215</v>
      </c>
      <c r="X489" s="22"/>
      <c r="Y489" s="22"/>
      <c r="Z489" s="29">
        <v>43496</v>
      </c>
      <c r="AA489" s="29"/>
      <c r="AB489" s="29">
        <v>43496</v>
      </c>
      <c r="AC489" s="29">
        <v>43496</v>
      </c>
      <c r="AD489" s="29"/>
      <c r="AE489" s="29"/>
      <c r="AF489" s="22"/>
      <c r="AG489" s="29" t="s">
        <v>98</v>
      </c>
      <c r="AH489" s="143">
        <v>67.819999999999993</v>
      </c>
      <c r="AI489" s="144"/>
      <c r="AJ489" s="143"/>
      <c r="AK489" s="143"/>
      <c r="AL489" s="143"/>
      <c r="AM489" s="143"/>
      <c r="AN489" s="143"/>
      <c r="AO489" s="143"/>
      <c r="AP489" s="143"/>
      <c r="AQ489" s="143"/>
      <c r="AR489" s="143"/>
    </row>
    <row r="490" spans="1:44" ht="14.25" customHeight="1" x14ac:dyDescent="0.25">
      <c r="A490" s="434"/>
      <c r="B490" s="352">
        <v>5</v>
      </c>
      <c r="C490" s="49">
        <v>3</v>
      </c>
      <c r="D490" s="382" t="s">
        <v>86</v>
      </c>
      <c r="E490" s="65"/>
      <c r="F490" s="22"/>
      <c r="G490" s="33" t="s">
        <v>1216</v>
      </c>
      <c r="H490" s="142" t="s">
        <v>1212</v>
      </c>
      <c r="I490" s="33"/>
      <c r="J490" s="22"/>
      <c r="K490" s="139">
        <v>64457</v>
      </c>
      <c r="L490" s="25"/>
      <c r="M490" s="25"/>
      <c r="N490" s="50">
        <v>2</v>
      </c>
      <c r="O490" s="22"/>
      <c r="P490" s="84">
        <v>2.63</v>
      </c>
      <c r="Q490" s="28">
        <f t="shared" si="42"/>
        <v>5.26</v>
      </c>
      <c r="R490" s="35"/>
      <c r="S490" s="35">
        <v>5.26</v>
      </c>
      <c r="T490" s="35"/>
      <c r="U490" s="35">
        <f t="shared" si="43"/>
        <v>0</v>
      </c>
      <c r="V490" s="22" t="s">
        <v>1214</v>
      </c>
      <c r="W490" s="22" t="s">
        <v>1215</v>
      </c>
      <c r="X490" s="22"/>
      <c r="Y490" s="22"/>
      <c r="Z490" s="29">
        <v>43496</v>
      </c>
      <c r="AA490" s="29"/>
      <c r="AB490" s="29">
        <v>43496</v>
      </c>
      <c r="AC490" s="29">
        <v>43496</v>
      </c>
      <c r="AD490" s="29"/>
      <c r="AE490" s="29"/>
      <c r="AF490" s="22"/>
      <c r="AG490" s="29" t="s">
        <v>98</v>
      </c>
      <c r="AH490" s="143">
        <v>5.26</v>
      </c>
      <c r="AI490" s="144"/>
      <c r="AJ490" s="143"/>
      <c r="AK490" s="143"/>
      <c r="AL490" s="143"/>
      <c r="AM490" s="143"/>
      <c r="AN490" s="143"/>
      <c r="AO490" s="143"/>
      <c r="AP490" s="143"/>
      <c r="AQ490" s="143"/>
      <c r="AR490" s="143"/>
    </row>
    <row r="491" spans="1:44" ht="12.75" customHeight="1" x14ac:dyDescent="0.25">
      <c r="A491" s="434"/>
      <c r="B491" s="352">
        <v>5</v>
      </c>
      <c r="C491" s="49">
        <v>3</v>
      </c>
      <c r="D491" s="382" t="s">
        <v>86</v>
      </c>
      <c r="E491" s="65"/>
      <c r="F491" s="22"/>
      <c r="G491" s="33" t="s">
        <v>438</v>
      </c>
      <c r="H491" s="142" t="s">
        <v>1212</v>
      </c>
      <c r="I491" s="33"/>
      <c r="J491" s="22"/>
      <c r="K491" s="33"/>
      <c r="L491" s="25"/>
      <c r="M491" s="25"/>
      <c r="N491" s="50">
        <v>1</v>
      </c>
      <c r="O491" s="22"/>
      <c r="P491" s="84">
        <v>21</v>
      </c>
      <c r="Q491" s="28">
        <f t="shared" si="42"/>
        <v>21</v>
      </c>
      <c r="R491" s="35"/>
      <c r="S491" s="35">
        <v>10</v>
      </c>
      <c r="T491" s="35"/>
      <c r="U491" s="35">
        <f t="shared" si="43"/>
        <v>11</v>
      </c>
      <c r="V491" s="22" t="s">
        <v>1214</v>
      </c>
      <c r="W491" s="22" t="s">
        <v>1215</v>
      </c>
      <c r="X491" s="22"/>
      <c r="Y491" s="22"/>
      <c r="Z491" s="29">
        <v>43496</v>
      </c>
      <c r="AA491" s="29"/>
      <c r="AB491" s="29">
        <v>43496</v>
      </c>
      <c r="AC491" s="29">
        <v>43496</v>
      </c>
      <c r="AD491" s="29"/>
      <c r="AE491" s="29"/>
      <c r="AF491" s="22"/>
      <c r="AG491" s="29" t="s">
        <v>98</v>
      </c>
      <c r="AH491" s="143">
        <v>10</v>
      </c>
      <c r="AI491" s="144"/>
      <c r="AJ491" s="143"/>
      <c r="AK491" s="143"/>
      <c r="AL491" s="143"/>
      <c r="AM491" s="143"/>
      <c r="AN491" s="143"/>
      <c r="AO491" s="143"/>
      <c r="AP491" s="143"/>
      <c r="AQ491" s="143"/>
      <c r="AR491" s="143"/>
    </row>
    <row r="492" spans="1:44" ht="12.75" customHeight="1" x14ac:dyDescent="0.25">
      <c r="A492" s="92"/>
      <c r="B492" s="352">
        <v>5</v>
      </c>
      <c r="C492" s="49">
        <v>3</v>
      </c>
      <c r="D492" s="382" t="s">
        <v>86</v>
      </c>
      <c r="E492" s="65"/>
      <c r="F492" s="22"/>
      <c r="G492" s="33" t="s">
        <v>1217</v>
      </c>
      <c r="H492" s="142" t="s">
        <v>1218</v>
      </c>
      <c r="I492" s="33"/>
      <c r="J492" s="22"/>
      <c r="K492" s="21" t="s">
        <v>1219</v>
      </c>
      <c r="L492" s="25"/>
      <c r="M492" s="25"/>
      <c r="N492" s="50">
        <v>1</v>
      </c>
      <c r="O492" s="22"/>
      <c r="P492" s="84">
        <v>504.14</v>
      </c>
      <c r="Q492" s="28">
        <f t="shared" si="42"/>
        <v>504.14</v>
      </c>
      <c r="R492" s="35"/>
      <c r="S492" s="35">
        <v>504.14</v>
      </c>
      <c r="T492" s="35"/>
      <c r="U492" s="35">
        <f t="shared" si="43"/>
        <v>0</v>
      </c>
      <c r="V492" s="22" t="s">
        <v>1220</v>
      </c>
      <c r="W492" s="22" t="s">
        <v>1221</v>
      </c>
      <c r="X492" s="22"/>
      <c r="Y492" s="22"/>
      <c r="Z492" s="29">
        <v>43483</v>
      </c>
      <c r="AA492" s="29"/>
      <c r="AB492" s="29">
        <v>43495</v>
      </c>
      <c r="AC492" s="29">
        <v>43495</v>
      </c>
      <c r="AD492" s="29"/>
      <c r="AE492" s="29"/>
      <c r="AF492" s="22"/>
      <c r="AG492" s="29" t="s">
        <v>98</v>
      </c>
      <c r="AH492" s="519"/>
      <c r="AI492" s="144"/>
      <c r="AJ492" s="143"/>
      <c r="AK492" s="143"/>
      <c r="AL492" s="143"/>
      <c r="AM492" s="143"/>
      <c r="AN492" s="143"/>
      <c r="AO492" s="143"/>
      <c r="AP492" s="143"/>
      <c r="AQ492" s="143"/>
      <c r="AR492" s="143"/>
    </row>
    <row r="493" spans="1:44" ht="12.75" customHeight="1" x14ac:dyDescent="0.25">
      <c r="A493" s="92"/>
      <c r="B493" s="352">
        <v>5</v>
      </c>
      <c r="C493" s="49">
        <v>3</v>
      </c>
      <c r="D493" s="382" t="s">
        <v>86</v>
      </c>
      <c r="E493" s="65"/>
      <c r="F493" s="22"/>
      <c r="G493" s="33" t="s">
        <v>1222</v>
      </c>
      <c r="H493" s="33" t="s">
        <v>1218</v>
      </c>
      <c r="I493" s="33"/>
      <c r="J493" s="22"/>
      <c r="K493" s="33" t="s">
        <v>1223</v>
      </c>
      <c r="L493" s="25"/>
      <c r="M493" s="25"/>
      <c r="N493" s="50">
        <v>1</v>
      </c>
      <c r="O493" s="22"/>
      <c r="P493" s="440">
        <v>593.9</v>
      </c>
      <c r="Q493" s="28">
        <f t="shared" si="42"/>
        <v>593.9</v>
      </c>
      <c r="R493" s="35"/>
      <c r="S493" s="35">
        <v>593.9</v>
      </c>
      <c r="T493" s="35"/>
      <c r="U493" s="35">
        <f t="shared" si="43"/>
        <v>0</v>
      </c>
      <c r="V493" s="22" t="s">
        <v>1220</v>
      </c>
      <c r="W493" s="22" t="s">
        <v>1221</v>
      </c>
      <c r="X493" s="22"/>
      <c r="Y493" s="22"/>
      <c r="Z493" s="29">
        <v>43483</v>
      </c>
      <c r="AA493" s="29"/>
      <c r="AB493" s="29">
        <v>43495</v>
      </c>
      <c r="AC493" s="29">
        <v>43495</v>
      </c>
      <c r="AD493" s="29"/>
      <c r="AE493" s="29"/>
      <c r="AF493" s="22"/>
      <c r="AG493" s="29" t="s">
        <v>98</v>
      </c>
      <c r="AH493" s="519"/>
      <c r="AI493" s="144"/>
      <c r="AJ493" s="143"/>
      <c r="AK493" s="143"/>
      <c r="AL493" s="143"/>
      <c r="AM493" s="143"/>
      <c r="AN493" s="143"/>
      <c r="AO493" s="143"/>
      <c r="AP493" s="143"/>
      <c r="AQ493" s="143"/>
      <c r="AR493" s="143"/>
    </row>
    <row r="494" spans="1:44" ht="12.75" customHeight="1" x14ac:dyDescent="0.25">
      <c r="A494" s="92"/>
      <c r="B494" s="352">
        <v>5</v>
      </c>
      <c r="C494" s="49">
        <v>3</v>
      </c>
      <c r="D494" s="382" t="s">
        <v>86</v>
      </c>
      <c r="E494" s="65"/>
      <c r="F494" s="22"/>
      <c r="G494" s="33" t="s">
        <v>1224</v>
      </c>
      <c r="H494" s="33" t="s">
        <v>1218</v>
      </c>
      <c r="I494" s="33"/>
      <c r="J494" s="22"/>
      <c r="K494" s="33" t="s">
        <v>1225</v>
      </c>
      <c r="L494" s="25"/>
      <c r="M494" s="25"/>
      <c r="N494" s="50">
        <v>2</v>
      </c>
      <c r="O494" s="22"/>
      <c r="P494" s="84">
        <v>579.4</v>
      </c>
      <c r="Q494" s="28">
        <f t="shared" si="42"/>
        <v>1158.8</v>
      </c>
      <c r="R494" s="35"/>
      <c r="S494" s="35">
        <v>1158.8</v>
      </c>
      <c r="T494" s="35"/>
      <c r="U494" s="35">
        <f t="shared" si="43"/>
        <v>0</v>
      </c>
      <c r="V494" s="22" t="s">
        <v>1220</v>
      </c>
      <c r="W494" s="22" t="s">
        <v>1221</v>
      </c>
      <c r="X494" s="22"/>
      <c r="Y494" s="22"/>
      <c r="Z494" s="29">
        <v>43483</v>
      </c>
      <c r="AA494" s="29"/>
      <c r="AB494" s="29">
        <v>43495</v>
      </c>
      <c r="AC494" s="29">
        <v>43495</v>
      </c>
      <c r="AD494" s="29"/>
      <c r="AE494" s="29"/>
      <c r="AF494" s="22"/>
      <c r="AG494" s="29" t="s">
        <v>98</v>
      </c>
      <c r="AH494" s="519"/>
      <c r="AI494" s="144"/>
      <c r="AJ494" s="143"/>
      <c r="AK494" s="143"/>
      <c r="AL494" s="143"/>
      <c r="AM494" s="143"/>
      <c r="AN494" s="143"/>
      <c r="AO494" s="143"/>
      <c r="AP494" s="143"/>
      <c r="AQ494" s="143"/>
      <c r="AR494" s="143"/>
    </row>
    <row r="495" spans="1:44" ht="12" customHeight="1" x14ac:dyDescent="0.25">
      <c r="A495" s="92"/>
      <c r="B495" s="352">
        <v>5</v>
      </c>
      <c r="C495" s="49">
        <v>3</v>
      </c>
      <c r="D495" s="382" t="s">
        <v>86</v>
      </c>
      <c r="E495" s="65"/>
      <c r="F495" s="22"/>
      <c r="G495" s="33" t="s">
        <v>438</v>
      </c>
      <c r="H495" s="33"/>
      <c r="I495" s="33"/>
      <c r="J495" s="22"/>
      <c r="K495" s="33"/>
      <c r="L495" s="25"/>
      <c r="M495" s="25"/>
      <c r="N495" s="50">
        <v>1</v>
      </c>
      <c r="O495" s="22"/>
      <c r="P495" s="84">
        <v>70.52</v>
      </c>
      <c r="Q495" s="28">
        <f t="shared" si="42"/>
        <v>70.52</v>
      </c>
      <c r="R495" s="35"/>
      <c r="S495" s="35">
        <v>660.84</v>
      </c>
      <c r="T495" s="35"/>
      <c r="U495" s="35">
        <f t="shared" si="43"/>
        <v>-590.32000000000005</v>
      </c>
      <c r="V495" s="22" t="s">
        <v>1220</v>
      </c>
      <c r="W495" s="22" t="s">
        <v>1221</v>
      </c>
      <c r="X495" s="22"/>
      <c r="Y495" s="22"/>
      <c r="Z495" s="29">
        <v>43483</v>
      </c>
      <c r="AA495" s="29"/>
      <c r="AB495" s="29">
        <v>43495</v>
      </c>
      <c r="AC495" s="29">
        <v>43495</v>
      </c>
      <c r="AD495" s="29"/>
      <c r="AE495" s="29"/>
      <c r="AF495" s="22"/>
      <c r="AG495" s="29" t="s">
        <v>98</v>
      </c>
      <c r="AH495" s="519"/>
      <c r="AI495" s="144"/>
      <c r="AJ495" s="143"/>
      <c r="AK495" s="143"/>
      <c r="AL495" s="143"/>
      <c r="AM495" s="143"/>
      <c r="AN495" s="143"/>
      <c r="AO495" s="143"/>
      <c r="AP495" s="143"/>
      <c r="AQ495" s="143"/>
      <c r="AR495" s="143"/>
    </row>
    <row r="496" spans="1:44" ht="14.25" customHeight="1" x14ac:dyDescent="0.25">
      <c r="A496" s="602"/>
      <c r="B496" s="352">
        <v>5</v>
      </c>
      <c r="C496" s="49">
        <v>3</v>
      </c>
      <c r="D496" s="382" t="s">
        <v>86</v>
      </c>
      <c r="E496" s="65"/>
      <c r="F496" s="22"/>
      <c r="G496" s="33" t="s">
        <v>1226</v>
      </c>
      <c r="H496" s="33" t="s">
        <v>1218</v>
      </c>
      <c r="I496" s="33"/>
      <c r="J496" s="22"/>
      <c r="K496" s="33" t="s">
        <v>1227</v>
      </c>
      <c r="L496" s="25"/>
      <c r="M496" s="25"/>
      <c r="N496" s="50">
        <v>12</v>
      </c>
      <c r="O496" s="22"/>
      <c r="P496" s="84">
        <v>61.91</v>
      </c>
      <c r="Q496" s="28">
        <f t="shared" si="42"/>
        <v>742.92</v>
      </c>
      <c r="R496" s="35"/>
      <c r="S496" s="35">
        <v>70.52</v>
      </c>
      <c r="T496" s="35"/>
      <c r="U496" s="35">
        <f t="shared" si="43"/>
        <v>672.4</v>
      </c>
      <c r="V496" s="22" t="s">
        <v>1220</v>
      </c>
      <c r="W496" s="22" t="s">
        <v>1221</v>
      </c>
      <c r="X496" s="22"/>
      <c r="Y496" s="22"/>
      <c r="Z496" s="29">
        <v>43483</v>
      </c>
      <c r="AA496" s="29"/>
      <c r="AB496" s="29">
        <v>43495</v>
      </c>
      <c r="AC496" s="29">
        <v>43495</v>
      </c>
      <c r="AD496" s="29"/>
      <c r="AE496" s="29"/>
      <c r="AF496" s="22"/>
      <c r="AG496" s="29" t="s">
        <v>98</v>
      </c>
      <c r="AH496" s="519"/>
      <c r="AI496" s="144"/>
      <c r="AJ496" s="143"/>
      <c r="AK496" s="143"/>
      <c r="AL496" s="143"/>
      <c r="AM496" s="143"/>
      <c r="AN496" s="143"/>
      <c r="AO496" s="143"/>
      <c r="AP496" s="143"/>
      <c r="AQ496" s="143"/>
      <c r="AR496" s="143"/>
    </row>
    <row r="497" spans="1:62" ht="26.4" x14ac:dyDescent="0.25">
      <c r="A497" s="434"/>
      <c r="B497" s="352" t="s">
        <v>1939</v>
      </c>
      <c r="C497" s="49">
        <v>3</v>
      </c>
      <c r="D497" s="382" t="s">
        <v>1938</v>
      </c>
      <c r="E497" s="65"/>
      <c r="F497" s="22"/>
      <c r="G497" s="33" t="s">
        <v>1228</v>
      </c>
      <c r="H497" s="33" t="s">
        <v>1229</v>
      </c>
      <c r="I497" s="33"/>
      <c r="J497" s="22"/>
      <c r="K497" s="33"/>
      <c r="L497" s="25"/>
      <c r="M497" s="25"/>
      <c r="N497" s="50"/>
      <c r="O497" s="22"/>
      <c r="P497" s="84"/>
      <c r="Q497" s="28"/>
      <c r="R497" s="35"/>
      <c r="S497" s="35">
        <v>124.92</v>
      </c>
      <c r="T497" s="35"/>
      <c r="U497" s="273">
        <f t="shared" si="43"/>
        <v>-124.92</v>
      </c>
      <c r="V497" s="22" t="s">
        <v>1230</v>
      </c>
      <c r="W497" s="22" t="s">
        <v>1231</v>
      </c>
      <c r="X497" s="22"/>
      <c r="Y497" s="22"/>
      <c r="Z497" s="29">
        <v>43504</v>
      </c>
      <c r="AA497" s="29"/>
      <c r="AB497" s="29">
        <v>43511</v>
      </c>
      <c r="AC497" s="29"/>
      <c r="AD497" s="29"/>
      <c r="AE497" s="29"/>
      <c r="AF497" s="22"/>
      <c r="AG497" s="29" t="s">
        <v>914</v>
      </c>
      <c r="AH497" s="519"/>
      <c r="AI497" s="144"/>
      <c r="AJ497" s="143"/>
      <c r="AK497" s="143"/>
      <c r="AL497" s="143"/>
      <c r="AM497" s="143">
        <f>S497</f>
        <v>124.92</v>
      </c>
      <c r="AN497" s="143"/>
      <c r="AO497" s="143"/>
      <c r="AP497" s="143"/>
      <c r="AQ497" s="143"/>
      <c r="AR497" s="143"/>
    </row>
    <row r="498" spans="1:62" ht="26.4" x14ac:dyDescent="0.25">
      <c r="A498" s="434"/>
      <c r="B498" s="352" t="s">
        <v>1939</v>
      </c>
      <c r="C498" s="49">
        <v>3</v>
      </c>
      <c r="D498" s="382" t="s">
        <v>1938</v>
      </c>
      <c r="E498" s="65"/>
      <c r="F498" s="22"/>
      <c r="G498" s="33" t="s">
        <v>1228</v>
      </c>
      <c r="H498" s="33" t="s">
        <v>1229</v>
      </c>
      <c r="I498" s="33"/>
      <c r="J498" s="22"/>
      <c r="K498" s="33"/>
      <c r="L498" s="25"/>
      <c r="M498" s="25"/>
      <c r="N498" s="50"/>
      <c r="O498" s="22"/>
      <c r="P498" s="84"/>
      <c r="Q498" s="28"/>
      <c r="R498" s="35"/>
      <c r="S498" s="35">
        <v>972.72</v>
      </c>
      <c r="T498" s="35"/>
      <c r="U498" s="273">
        <f t="shared" si="43"/>
        <v>-972.72</v>
      </c>
      <c r="V498" s="22" t="s">
        <v>1230</v>
      </c>
      <c r="W498" s="22" t="s">
        <v>1231</v>
      </c>
      <c r="X498" s="22"/>
      <c r="Y498" s="22"/>
      <c r="Z498" s="29">
        <v>43504</v>
      </c>
      <c r="AA498" s="29"/>
      <c r="AB498" s="29">
        <v>43511</v>
      </c>
      <c r="AC498" s="29"/>
      <c r="AD498" s="29"/>
      <c r="AE498" s="29"/>
      <c r="AF498" s="22"/>
      <c r="AG498" s="29" t="s">
        <v>914</v>
      </c>
      <c r="AH498" s="519"/>
      <c r="AI498" s="144"/>
      <c r="AJ498" s="143"/>
      <c r="AK498" s="143"/>
      <c r="AL498" s="143"/>
      <c r="AM498" s="143">
        <f>S498</f>
        <v>972.72</v>
      </c>
      <c r="AN498" s="143"/>
      <c r="AO498" s="143"/>
      <c r="AP498" s="143"/>
      <c r="AQ498" s="143"/>
      <c r="AR498" s="143"/>
    </row>
    <row r="499" spans="1:62" ht="12.75" customHeight="1" x14ac:dyDescent="0.25">
      <c r="A499" s="604" t="s">
        <v>1232</v>
      </c>
      <c r="B499" s="352">
        <v>5</v>
      </c>
      <c r="C499" s="49">
        <v>3</v>
      </c>
      <c r="D499" s="382" t="s">
        <v>86</v>
      </c>
      <c r="E499" s="65"/>
      <c r="F499" s="22"/>
      <c r="G499" s="33" t="s">
        <v>1233</v>
      </c>
      <c r="H499" s="33" t="s">
        <v>1234</v>
      </c>
      <c r="I499" s="33"/>
      <c r="J499" s="22"/>
      <c r="K499" s="33" t="s">
        <v>1235</v>
      </c>
      <c r="L499" s="25"/>
      <c r="M499" s="25"/>
      <c r="N499" s="50">
        <v>2</v>
      </c>
      <c r="O499" s="22"/>
      <c r="P499" s="84">
        <v>1250</v>
      </c>
      <c r="Q499" s="28">
        <f t="shared" si="42"/>
        <v>2500</v>
      </c>
      <c r="R499" s="35"/>
      <c r="S499" s="35">
        <v>2500</v>
      </c>
      <c r="T499" s="35"/>
      <c r="U499" s="35">
        <f t="shared" si="43"/>
        <v>0</v>
      </c>
      <c r="V499" s="22" t="s">
        <v>1236</v>
      </c>
      <c r="W499" s="22" t="s">
        <v>1237</v>
      </c>
      <c r="X499" s="22"/>
      <c r="Y499" s="22"/>
      <c r="Z499" s="29">
        <v>43494</v>
      </c>
      <c r="AA499" s="29"/>
      <c r="AB499" s="29">
        <v>43518</v>
      </c>
      <c r="AC499" s="29"/>
      <c r="AD499" s="29"/>
      <c r="AE499" s="29"/>
      <c r="AF499" s="22"/>
      <c r="AG499" s="29" t="s">
        <v>914</v>
      </c>
      <c r="AH499" s="519"/>
      <c r="AI499" s="144"/>
      <c r="AJ499" s="143"/>
      <c r="AK499" s="143"/>
      <c r="AL499" s="143"/>
      <c r="AM499" s="143">
        <f>Q499</f>
        <v>2500</v>
      </c>
      <c r="AN499" s="143"/>
      <c r="AO499" s="143"/>
      <c r="AP499" s="143"/>
      <c r="AQ499" s="143"/>
      <c r="AR499" s="143"/>
    </row>
    <row r="500" spans="1:62" ht="12.75" customHeight="1" x14ac:dyDescent="0.25">
      <c r="A500" s="92" t="s">
        <v>1232</v>
      </c>
      <c r="B500" s="352">
        <v>5</v>
      </c>
      <c r="C500" s="49">
        <v>3</v>
      </c>
      <c r="D500" s="382" t="s">
        <v>86</v>
      </c>
      <c r="E500" s="65"/>
      <c r="F500" s="22"/>
      <c r="G500" s="33" t="s">
        <v>988</v>
      </c>
      <c r="H500" s="33" t="s">
        <v>1234</v>
      </c>
      <c r="I500" s="33"/>
      <c r="J500" s="22"/>
      <c r="K500" s="33"/>
      <c r="L500" s="25"/>
      <c r="M500" s="25"/>
      <c r="N500" s="50">
        <v>1</v>
      </c>
      <c r="O500" s="22"/>
      <c r="P500" s="440">
        <v>250</v>
      </c>
      <c r="Q500" s="28">
        <f t="shared" si="42"/>
        <v>250</v>
      </c>
      <c r="R500" s="35"/>
      <c r="S500" s="35">
        <v>250</v>
      </c>
      <c r="T500" s="35"/>
      <c r="U500" s="35">
        <f t="shared" si="43"/>
        <v>0</v>
      </c>
      <c r="V500" s="22" t="s">
        <v>1236</v>
      </c>
      <c r="W500" s="22" t="s">
        <v>1237</v>
      </c>
      <c r="X500" s="22"/>
      <c r="Y500" s="22"/>
      <c r="Z500" s="29">
        <v>43494</v>
      </c>
      <c r="AA500" s="29"/>
      <c r="AB500" s="29">
        <v>43518</v>
      </c>
      <c r="AC500" s="29"/>
      <c r="AD500" s="29"/>
      <c r="AE500" s="29"/>
      <c r="AF500" s="22"/>
      <c r="AG500" s="29" t="s">
        <v>914</v>
      </c>
      <c r="AH500" s="519"/>
      <c r="AI500" s="144"/>
      <c r="AJ500" s="143"/>
      <c r="AK500" s="143"/>
      <c r="AL500" s="143"/>
      <c r="AM500" s="143">
        <f>Q500</f>
        <v>250</v>
      </c>
      <c r="AN500" s="143"/>
      <c r="AO500" s="143"/>
      <c r="AP500" s="143"/>
      <c r="AQ500" s="143"/>
      <c r="AR500" s="143"/>
    </row>
    <row r="501" spans="1:62" s="138" customFormat="1" ht="25.5" hidden="1" customHeight="1" x14ac:dyDescent="0.25">
      <c r="A501" s="359" t="s">
        <v>1238</v>
      </c>
      <c r="B501" s="352">
        <v>8</v>
      </c>
      <c r="C501" s="49">
        <v>3</v>
      </c>
      <c r="D501" s="382" t="s">
        <v>86</v>
      </c>
      <c r="E501" s="65"/>
      <c r="F501" s="22"/>
      <c r="G501" s="33" t="s">
        <v>1239</v>
      </c>
      <c r="H501" s="33"/>
      <c r="I501" s="33"/>
      <c r="J501" s="22"/>
      <c r="K501" s="33"/>
      <c r="L501" s="25"/>
      <c r="M501" s="25"/>
      <c r="N501" s="50">
        <v>26</v>
      </c>
      <c r="O501" s="22"/>
      <c r="P501" s="51">
        <v>1000</v>
      </c>
      <c r="Q501" s="28">
        <f t="shared" ref="Q501:Q504" si="44">N501*P501</f>
        <v>26000</v>
      </c>
      <c r="R501" s="35"/>
      <c r="S501" s="35"/>
      <c r="T501" s="35"/>
      <c r="U501" s="35"/>
      <c r="V501" s="22"/>
      <c r="W501" s="22"/>
      <c r="X501" s="22"/>
      <c r="Y501" s="22"/>
      <c r="Z501" s="29"/>
      <c r="AA501" s="29"/>
      <c r="AB501" s="29"/>
      <c r="AC501" s="29"/>
      <c r="AD501" s="29"/>
      <c r="AE501" s="29"/>
      <c r="AF501" s="22"/>
      <c r="AG501" s="29"/>
      <c r="AH501" s="145"/>
      <c r="AI501" s="22"/>
      <c r="AJ501" s="28"/>
      <c r="AK501" s="28"/>
      <c r="AL501" s="143"/>
      <c r="AM501" s="22"/>
      <c r="AN501" s="22"/>
      <c r="AO501" s="22"/>
      <c r="AP501" s="22"/>
      <c r="AQ501" s="22"/>
      <c r="AR501" s="22"/>
      <c r="AS501" s="21"/>
      <c r="AT501" s="21"/>
      <c r="AU501" s="21"/>
      <c r="AV501" s="21"/>
      <c r="AW501" s="21"/>
      <c r="AX501" s="21"/>
      <c r="AY501" s="21"/>
      <c r="AZ501" s="21"/>
      <c r="BA501" s="21"/>
      <c r="BB501" s="21"/>
      <c r="BC501" s="21"/>
      <c r="BD501" s="21"/>
      <c r="BE501" s="21"/>
      <c r="BF501" s="21"/>
      <c r="BG501" s="21"/>
      <c r="BH501" s="21"/>
      <c r="BI501" s="21"/>
      <c r="BJ501" s="21"/>
    </row>
    <row r="502" spans="1:62" s="138" customFormat="1" ht="25.5" hidden="1" customHeight="1" x14ac:dyDescent="0.25">
      <c r="A502" s="359" t="s">
        <v>1238</v>
      </c>
      <c r="B502" s="352">
        <v>8</v>
      </c>
      <c r="C502" s="49">
        <v>3</v>
      </c>
      <c r="D502" s="382" t="s">
        <v>86</v>
      </c>
      <c r="E502" s="65"/>
      <c r="F502" s="22"/>
      <c r="G502" s="33" t="s">
        <v>1240</v>
      </c>
      <c r="H502" s="33"/>
      <c r="I502" s="33"/>
      <c r="J502" s="22"/>
      <c r="K502" s="33"/>
      <c r="L502" s="25"/>
      <c r="M502" s="25"/>
      <c r="N502" s="50">
        <v>50</v>
      </c>
      <c r="O502" s="22"/>
      <c r="P502" s="51">
        <v>1000</v>
      </c>
      <c r="Q502" s="28">
        <f t="shared" si="44"/>
        <v>50000</v>
      </c>
      <c r="R502" s="35"/>
      <c r="S502" s="35"/>
      <c r="T502" s="35"/>
      <c r="U502" s="35"/>
      <c r="V502" s="22"/>
      <c r="W502" s="22"/>
      <c r="X502" s="22"/>
      <c r="Y502" s="22"/>
      <c r="Z502" s="29"/>
      <c r="AA502" s="29"/>
      <c r="AB502" s="29"/>
      <c r="AC502" s="29"/>
      <c r="AD502" s="29"/>
      <c r="AE502" s="29"/>
      <c r="AF502" s="22"/>
      <c r="AG502" s="29"/>
      <c r="AH502" s="145"/>
      <c r="AI502" s="22"/>
      <c r="AJ502" s="28"/>
      <c r="AK502" s="28"/>
      <c r="AL502" s="143"/>
      <c r="AM502" s="22"/>
      <c r="AN502" s="22"/>
      <c r="AO502" s="22"/>
      <c r="AP502" s="22"/>
      <c r="AQ502" s="22"/>
      <c r="AR502" s="22"/>
      <c r="AS502" s="21"/>
      <c r="AT502" s="21"/>
      <c r="AU502" s="21"/>
      <c r="AV502" s="21"/>
      <c r="AW502" s="21"/>
      <c r="AX502" s="21"/>
      <c r="AY502" s="21"/>
      <c r="AZ502" s="21"/>
      <c r="BA502" s="21"/>
      <c r="BB502" s="21"/>
      <c r="BC502" s="21"/>
      <c r="BD502" s="21"/>
      <c r="BE502" s="21"/>
      <c r="BF502" s="21"/>
      <c r="BG502" s="21"/>
      <c r="BH502" s="21"/>
      <c r="BI502" s="21"/>
      <c r="BJ502" s="21"/>
    </row>
    <row r="503" spans="1:62" ht="25.5" hidden="1" customHeight="1" x14ac:dyDescent="0.25">
      <c r="A503" s="22" t="s">
        <v>1238</v>
      </c>
      <c r="B503" s="352">
        <v>8</v>
      </c>
      <c r="C503" s="49">
        <v>3</v>
      </c>
      <c r="D503" s="382" t="s">
        <v>86</v>
      </c>
      <c r="E503" s="65"/>
      <c r="F503" s="22"/>
      <c r="G503" s="33" t="s">
        <v>25</v>
      </c>
      <c r="H503" s="33"/>
      <c r="I503" s="33"/>
      <c r="J503" s="22"/>
      <c r="K503" s="33"/>
      <c r="L503" s="25"/>
      <c r="M503" s="25"/>
      <c r="N503" s="50">
        <v>1</v>
      </c>
      <c r="O503" s="22"/>
      <c r="P503" s="313">
        <v>2000</v>
      </c>
      <c r="Q503" s="35">
        <f t="shared" si="44"/>
        <v>2000</v>
      </c>
      <c r="R503" s="35"/>
      <c r="S503" s="35"/>
      <c r="T503" s="35"/>
      <c r="U503" s="35"/>
      <c r="V503" s="22"/>
      <c r="W503" s="22"/>
      <c r="X503" s="22"/>
      <c r="Y503" s="22"/>
      <c r="Z503" s="29"/>
      <c r="AA503" s="29"/>
      <c r="AB503" s="29"/>
      <c r="AC503" s="29"/>
      <c r="AD503" s="29"/>
      <c r="AE503" s="29"/>
      <c r="AF503" s="22"/>
      <c r="AG503" s="29"/>
      <c r="AH503" s="145"/>
      <c r="AI503" s="22"/>
      <c r="AJ503" s="28"/>
      <c r="AK503" s="28"/>
      <c r="AL503" s="143"/>
      <c r="AM503" s="22"/>
      <c r="AN503" s="22"/>
      <c r="AO503" s="22"/>
      <c r="AP503" s="22"/>
      <c r="AQ503" s="22"/>
      <c r="AR503" s="22"/>
    </row>
    <row r="504" spans="1:62" ht="29.25" hidden="1" customHeight="1" x14ac:dyDescent="0.25">
      <c r="A504" s="22" t="s">
        <v>1167</v>
      </c>
      <c r="B504" s="352">
        <v>8</v>
      </c>
      <c r="C504" s="49">
        <v>3</v>
      </c>
      <c r="D504" s="382" t="s">
        <v>86</v>
      </c>
      <c r="E504" s="65"/>
      <c r="F504" s="22"/>
      <c r="G504" s="33" t="s">
        <v>1241</v>
      </c>
      <c r="H504" s="33"/>
      <c r="I504" s="33"/>
      <c r="J504" s="22"/>
      <c r="K504" s="33"/>
      <c r="L504" s="25"/>
      <c r="M504" s="25"/>
      <c r="N504" s="50">
        <v>1</v>
      </c>
      <c r="O504" s="22"/>
      <c r="P504" s="313">
        <v>10000</v>
      </c>
      <c r="Q504" s="35">
        <f t="shared" si="44"/>
        <v>10000</v>
      </c>
      <c r="R504" s="35"/>
      <c r="S504" s="35"/>
      <c r="T504" s="35"/>
      <c r="U504" s="35"/>
      <c r="V504" s="22"/>
      <c r="W504" s="22"/>
      <c r="X504" s="22"/>
      <c r="Y504" s="22"/>
      <c r="Z504" s="29"/>
      <c r="AA504" s="29"/>
      <c r="AB504" s="29"/>
      <c r="AC504" s="29"/>
      <c r="AD504" s="29"/>
      <c r="AE504" s="29"/>
      <c r="AF504" s="22" t="s">
        <v>1144</v>
      </c>
      <c r="AG504" s="29"/>
      <c r="AH504" s="145"/>
      <c r="AI504" s="22"/>
      <c r="AJ504" s="28"/>
      <c r="AK504" s="28"/>
      <c r="AL504" s="143"/>
      <c r="AM504" s="22"/>
      <c r="AN504" s="22"/>
      <c r="AO504" s="22"/>
      <c r="AP504" s="22"/>
      <c r="AQ504" s="22"/>
      <c r="AR504" s="22"/>
    </row>
    <row r="505" spans="1:62" ht="89.25" hidden="1" customHeight="1" x14ac:dyDescent="0.25">
      <c r="A505" s="22" t="s">
        <v>1242</v>
      </c>
      <c r="B505" s="352">
        <v>9</v>
      </c>
      <c r="C505" s="49">
        <v>3</v>
      </c>
      <c r="D505" s="382" t="s">
        <v>86</v>
      </c>
      <c r="E505" s="65"/>
      <c r="F505" s="22"/>
      <c r="G505" s="33" t="s">
        <v>1243</v>
      </c>
      <c r="H505" s="33"/>
      <c r="I505" s="33"/>
      <c r="J505" s="22"/>
      <c r="K505" s="33"/>
      <c r="L505" s="25"/>
      <c r="M505" s="25"/>
      <c r="N505" s="50">
        <v>4</v>
      </c>
      <c r="O505" s="22"/>
      <c r="P505" s="51">
        <v>14293.8</v>
      </c>
      <c r="Q505" s="28">
        <f t="shared" ref="Q505:Q512" si="45">N505*P505</f>
        <v>57175.199999999997</v>
      </c>
      <c r="R505" s="35"/>
      <c r="S505" s="35"/>
      <c r="T505" s="35"/>
      <c r="U505" s="35"/>
      <c r="V505" s="22"/>
      <c r="W505" s="22"/>
      <c r="X505" s="22"/>
      <c r="Y505" s="22"/>
      <c r="Z505" s="29"/>
      <c r="AA505" s="29"/>
      <c r="AB505" s="29"/>
      <c r="AC505" s="29"/>
      <c r="AD505" s="29"/>
      <c r="AE505" s="29"/>
      <c r="AF505" s="22"/>
      <c r="AG505" s="29"/>
      <c r="AH505" s="145"/>
      <c r="AI505" s="22"/>
      <c r="AJ505" s="28"/>
      <c r="AK505" s="28"/>
      <c r="AL505" s="143"/>
      <c r="AM505" s="22"/>
      <c r="AN505" s="22"/>
      <c r="AO505" s="22"/>
      <c r="AP505" s="22"/>
      <c r="AQ505" s="22"/>
      <c r="AR505" s="22"/>
    </row>
    <row r="506" spans="1:62" ht="12.75" hidden="1" customHeight="1" x14ac:dyDescent="0.25">
      <c r="A506" s="22"/>
      <c r="B506" s="352">
        <v>9</v>
      </c>
      <c r="C506" s="49">
        <v>3</v>
      </c>
      <c r="D506" s="382" t="s">
        <v>86</v>
      </c>
      <c r="E506" s="65"/>
      <c r="F506" s="22"/>
      <c r="G506" s="33" t="s">
        <v>1244</v>
      </c>
      <c r="H506" s="33" t="s">
        <v>236</v>
      </c>
      <c r="I506" s="33"/>
      <c r="J506" s="22"/>
      <c r="K506" s="33" t="s">
        <v>1162</v>
      </c>
      <c r="L506" s="25"/>
      <c r="M506" s="25"/>
      <c r="N506" s="52">
        <v>2</v>
      </c>
      <c r="O506" s="22"/>
      <c r="P506" s="51">
        <v>27000</v>
      </c>
      <c r="Q506" s="28">
        <f t="shared" si="45"/>
        <v>54000</v>
      </c>
      <c r="R506" s="35"/>
      <c r="S506" s="35"/>
      <c r="T506" s="35"/>
      <c r="U506" s="35"/>
      <c r="V506" s="22"/>
      <c r="W506" s="22"/>
      <c r="X506" s="22"/>
      <c r="Y506" s="22"/>
      <c r="Z506" s="29"/>
      <c r="AA506" s="29"/>
      <c r="AB506" s="29"/>
      <c r="AC506" s="29"/>
      <c r="AD506" s="29"/>
      <c r="AE506" s="29"/>
      <c r="AF506" s="22"/>
      <c r="AG506" s="29"/>
      <c r="AH506" s="145"/>
      <c r="AI506" s="22"/>
      <c r="AJ506" s="28"/>
      <c r="AK506" s="28"/>
      <c r="AL506" s="143"/>
      <c r="AM506" s="22"/>
      <c r="AN506" s="22"/>
      <c r="AO506" s="22"/>
      <c r="AP506" s="22"/>
      <c r="AQ506" s="22"/>
      <c r="AR506" s="22"/>
    </row>
    <row r="507" spans="1:62" s="138" customFormat="1" ht="12.75" hidden="1" customHeight="1" x14ac:dyDescent="0.25">
      <c r="A507" s="359" t="s">
        <v>1245</v>
      </c>
      <c r="B507" s="352">
        <v>8</v>
      </c>
      <c r="C507" s="49">
        <v>3</v>
      </c>
      <c r="D507" s="382" t="s">
        <v>86</v>
      </c>
      <c r="E507" s="65"/>
      <c r="F507" s="22"/>
      <c r="G507" s="33" t="s">
        <v>1246</v>
      </c>
      <c r="H507" s="33" t="s">
        <v>1247</v>
      </c>
      <c r="I507" s="33"/>
      <c r="J507" s="22"/>
      <c r="K507" s="33" t="s">
        <v>1248</v>
      </c>
      <c r="L507" s="25"/>
      <c r="M507" s="25"/>
      <c r="N507" s="50">
        <v>1</v>
      </c>
      <c r="O507" s="22"/>
      <c r="P507" s="313">
        <v>0</v>
      </c>
      <c r="Q507" s="35">
        <f t="shared" si="45"/>
        <v>0</v>
      </c>
      <c r="R507" s="35"/>
      <c r="S507" s="35"/>
      <c r="T507" s="35"/>
      <c r="U507" s="35"/>
      <c r="V507" s="22"/>
      <c r="W507" s="22"/>
      <c r="X507" s="22"/>
      <c r="Y507" s="22"/>
      <c r="Z507" s="29"/>
      <c r="AA507" s="29"/>
      <c r="AB507" s="29"/>
      <c r="AC507" s="29"/>
      <c r="AD507" s="29"/>
      <c r="AE507" s="29"/>
      <c r="AF507" s="22"/>
      <c r="AG507" s="29"/>
      <c r="AH507" s="145"/>
      <c r="AI507" s="22"/>
      <c r="AJ507" s="28"/>
      <c r="AK507" s="28"/>
      <c r="AL507" s="143"/>
      <c r="AM507" s="22"/>
      <c r="AN507" s="22"/>
      <c r="AO507" s="22"/>
      <c r="AP507" s="22"/>
      <c r="AQ507" s="22"/>
      <c r="AR507" s="22"/>
      <c r="AS507" s="21"/>
      <c r="AT507" s="21"/>
      <c r="AU507" s="21"/>
      <c r="AV507" s="21"/>
      <c r="AW507" s="21"/>
      <c r="AX507" s="21"/>
      <c r="AY507" s="21"/>
      <c r="AZ507" s="21"/>
      <c r="BA507" s="21"/>
      <c r="BB507" s="21"/>
      <c r="BC507" s="21"/>
      <c r="BD507" s="21"/>
      <c r="BE507" s="21"/>
      <c r="BF507" s="21"/>
      <c r="BG507" s="21"/>
      <c r="BH507" s="21"/>
      <c r="BI507" s="21"/>
      <c r="BJ507" s="21"/>
    </row>
    <row r="508" spans="1:62" s="138" customFormat="1" ht="12.75" hidden="1" customHeight="1" x14ac:dyDescent="0.25">
      <c r="A508" s="359" t="s">
        <v>1245</v>
      </c>
      <c r="B508" s="352">
        <v>8</v>
      </c>
      <c r="C508" s="49">
        <v>3</v>
      </c>
      <c r="D508" s="382" t="s">
        <v>86</v>
      </c>
      <c r="E508" s="65"/>
      <c r="F508" s="22"/>
      <c r="G508" s="33" t="s">
        <v>1249</v>
      </c>
      <c r="H508" s="33" t="s">
        <v>1247</v>
      </c>
      <c r="I508" s="33"/>
      <c r="J508" s="22"/>
      <c r="K508" s="33" t="s">
        <v>1250</v>
      </c>
      <c r="L508" s="25"/>
      <c r="M508" s="25"/>
      <c r="N508" s="50">
        <v>1</v>
      </c>
      <c r="O508" s="22"/>
      <c r="P508" s="313">
        <v>0</v>
      </c>
      <c r="Q508" s="35">
        <f t="shared" si="45"/>
        <v>0</v>
      </c>
      <c r="R508" s="35"/>
      <c r="S508" s="35"/>
      <c r="T508" s="35"/>
      <c r="U508" s="35"/>
      <c r="V508" s="22"/>
      <c r="W508" s="22"/>
      <c r="X508" s="22"/>
      <c r="Y508" s="22"/>
      <c r="Z508" s="29"/>
      <c r="AA508" s="29"/>
      <c r="AB508" s="29"/>
      <c r="AC508" s="29"/>
      <c r="AD508" s="29"/>
      <c r="AE508" s="29"/>
      <c r="AF508" s="22"/>
      <c r="AG508" s="29"/>
      <c r="AH508" s="145"/>
      <c r="AI508" s="22"/>
      <c r="AJ508" s="28"/>
      <c r="AK508" s="28"/>
      <c r="AL508" s="143"/>
      <c r="AM508" s="22"/>
      <c r="AN508" s="22"/>
      <c r="AO508" s="22"/>
      <c r="AP508" s="22"/>
      <c r="AQ508" s="22"/>
      <c r="AR508" s="22"/>
      <c r="AS508" s="21"/>
      <c r="AT508" s="21"/>
      <c r="AU508" s="21"/>
      <c r="AV508" s="21"/>
      <c r="AW508" s="21"/>
      <c r="AX508" s="21"/>
      <c r="AY508" s="21"/>
      <c r="AZ508" s="21"/>
      <c r="BA508" s="21"/>
      <c r="BB508" s="21"/>
      <c r="BC508" s="21"/>
      <c r="BD508" s="21"/>
      <c r="BE508" s="21"/>
      <c r="BF508" s="21"/>
      <c r="BG508" s="21"/>
      <c r="BH508" s="21"/>
      <c r="BI508" s="21"/>
      <c r="BJ508" s="21"/>
    </row>
    <row r="509" spans="1:62" s="138" customFormat="1" ht="12.75" hidden="1" customHeight="1" x14ac:dyDescent="0.25">
      <c r="A509" s="359" t="s">
        <v>1245</v>
      </c>
      <c r="B509" s="352">
        <v>8</v>
      </c>
      <c r="C509" s="49">
        <v>3</v>
      </c>
      <c r="D509" s="382" t="s">
        <v>86</v>
      </c>
      <c r="E509" s="65"/>
      <c r="F509" s="22"/>
      <c r="G509" s="33" t="s">
        <v>1251</v>
      </c>
      <c r="H509" s="33" t="s">
        <v>1247</v>
      </c>
      <c r="I509" s="33"/>
      <c r="J509" s="22"/>
      <c r="K509" s="33" t="s">
        <v>1250</v>
      </c>
      <c r="L509" s="25"/>
      <c r="M509" s="25"/>
      <c r="N509" s="50">
        <v>1</v>
      </c>
      <c r="O509" s="22"/>
      <c r="P509" s="313">
        <v>0</v>
      </c>
      <c r="Q509" s="35">
        <f t="shared" si="45"/>
        <v>0</v>
      </c>
      <c r="R509" s="35"/>
      <c r="S509" s="35"/>
      <c r="T509" s="35"/>
      <c r="U509" s="35"/>
      <c r="V509" s="22"/>
      <c r="W509" s="22"/>
      <c r="X509" s="22"/>
      <c r="Y509" s="22"/>
      <c r="Z509" s="29"/>
      <c r="AA509" s="29"/>
      <c r="AB509" s="29"/>
      <c r="AC509" s="29"/>
      <c r="AD509" s="29"/>
      <c r="AE509" s="29"/>
      <c r="AF509" s="22"/>
      <c r="AG509" s="29"/>
      <c r="AH509" s="145"/>
      <c r="AI509" s="22"/>
      <c r="AJ509" s="28"/>
      <c r="AK509" s="28"/>
      <c r="AL509" s="143"/>
      <c r="AM509" s="22"/>
      <c r="AN509" s="22"/>
      <c r="AO509" s="22"/>
      <c r="AP509" s="22"/>
      <c r="AQ509" s="22"/>
      <c r="AR509" s="22"/>
      <c r="AS509" s="21"/>
      <c r="AT509" s="21"/>
      <c r="AU509" s="21"/>
      <c r="AV509" s="21"/>
      <c r="AW509" s="21"/>
      <c r="AX509" s="21"/>
      <c r="AY509" s="21"/>
      <c r="AZ509" s="21"/>
      <c r="BA509" s="21"/>
      <c r="BB509" s="21"/>
      <c r="BC509" s="21"/>
      <c r="BD509" s="21"/>
      <c r="BE509" s="21"/>
      <c r="BF509" s="21"/>
      <c r="BG509" s="21"/>
      <c r="BH509" s="21"/>
      <c r="BI509" s="21"/>
      <c r="BJ509" s="21"/>
    </row>
    <row r="510" spans="1:62" s="138" customFormat="1" ht="12.75" hidden="1" customHeight="1" x14ac:dyDescent="0.25">
      <c r="A510" s="359" t="s">
        <v>1245</v>
      </c>
      <c r="B510" s="352">
        <v>8</v>
      </c>
      <c r="C510" s="49">
        <v>3</v>
      </c>
      <c r="D510" s="382" t="s">
        <v>86</v>
      </c>
      <c r="E510" s="65"/>
      <c r="F510" s="22"/>
      <c r="G510" s="33" t="s">
        <v>1252</v>
      </c>
      <c r="H510" s="33" t="s">
        <v>1247</v>
      </c>
      <c r="I510" s="33"/>
      <c r="J510" s="22"/>
      <c r="K510" s="33" t="s">
        <v>1253</v>
      </c>
      <c r="L510" s="25"/>
      <c r="M510" s="25"/>
      <c r="N510" s="50">
        <v>1</v>
      </c>
      <c r="O510" s="22"/>
      <c r="P510" s="313">
        <v>0</v>
      </c>
      <c r="Q510" s="35">
        <f t="shared" si="45"/>
        <v>0</v>
      </c>
      <c r="R510" s="35"/>
      <c r="S510" s="35"/>
      <c r="T510" s="35"/>
      <c r="U510" s="35"/>
      <c r="V510" s="22"/>
      <c r="W510" s="22"/>
      <c r="X510" s="22"/>
      <c r="Y510" s="22"/>
      <c r="Z510" s="29"/>
      <c r="AA510" s="29"/>
      <c r="AB510" s="29"/>
      <c r="AC510" s="29"/>
      <c r="AD510" s="29"/>
      <c r="AE510" s="29"/>
      <c r="AF510" s="22"/>
      <c r="AG510" s="29"/>
      <c r="AH510" s="145"/>
      <c r="AI510" s="22"/>
      <c r="AJ510" s="28"/>
      <c r="AK510" s="28"/>
      <c r="AL510" s="143"/>
      <c r="AM510" s="22"/>
      <c r="AN510" s="22"/>
      <c r="AO510" s="22"/>
      <c r="AP510" s="22"/>
      <c r="AQ510" s="22"/>
      <c r="AR510" s="22"/>
      <c r="AS510" s="21"/>
      <c r="AT510" s="21"/>
      <c r="AU510" s="21"/>
      <c r="AV510" s="21"/>
      <c r="AW510" s="21"/>
      <c r="AX510" s="21"/>
      <c r="AY510" s="21"/>
      <c r="AZ510" s="21"/>
      <c r="BA510" s="21"/>
      <c r="BB510" s="21"/>
      <c r="BC510" s="21"/>
      <c r="BD510" s="21"/>
      <c r="BE510" s="21"/>
      <c r="BF510" s="21"/>
      <c r="BG510" s="21"/>
      <c r="BH510" s="21"/>
      <c r="BI510" s="21"/>
      <c r="BJ510" s="21"/>
    </row>
    <row r="511" spans="1:62" s="138" customFormat="1" ht="12.75" hidden="1" customHeight="1" x14ac:dyDescent="0.25">
      <c r="A511" s="359" t="s">
        <v>1245</v>
      </c>
      <c r="B511" s="352">
        <v>8</v>
      </c>
      <c r="C511" s="49">
        <v>3</v>
      </c>
      <c r="D511" s="382" t="s">
        <v>86</v>
      </c>
      <c r="E511" s="65"/>
      <c r="F511" s="22"/>
      <c r="G511" s="33" t="s">
        <v>1254</v>
      </c>
      <c r="H511" s="33" t="s">
        <v>1247</v>
      </c>
      <c r="I511" s="33"/>
      <c r="J511" s="22"/>
      <c r="K511" s="33" t="s">
        <v>1255</v>
      </c>
      <c r="L511" s="25"/>
      <c r="M511" s="25"/>
      <c r="N511" s="50">
        <v>1</v>
      </c>
      <c r="O511" s="22"/>
      <c r="P511" s="313">
        <v>0</v>
      </c>
      <c r="Q511" s="35">
        <f t="shared" si="45"/>
        <v>0</v>
      </c>
      <c r="R511" s="35"/>
      <c r="S511" s="35"/>
      <c r="T511" s="35"/>
      <c r="U511" s="35"/>
      <c r="V511" s="22"/>
      <c r="W511" s="22"/>
      <c r="X511" s="22"/>
      <c r="Y511" s="22"/>
      <c r="Z511" s="29"/>
      <c r="AA511" s="29"/>
      <c r="AB511" s="29"/>
      <c r="AC511" s="29"/>
      <c r="AD511" s="29"/>
      <c r="AE511" s="29"/>
      <c r="AF511" s="22"/>
      <c r="AG511" s="29"/>
      <c r="AH511" s="145"/>
      <c r="AI511" s="22"/>
      <c r="AJ511" s="28"/>
      <c r="AK511" s="28"/>
      <c r="AL511" s="143"/>
      <c r="AM511" s="22"/>
      <c r="AN511" s="22"/>
      <c r="AO511" s="22"/>
      <c r="AP511" s="22"/>
      <c r="AQ511" s="22"/>
      <c r="AR511" s="22"/>
      <c r="AS511" s="21"/>
      <c r="AT511" s="21"/>
      <c r="AU511" s="21"/>
      <c r="AV511" s="21"/>
      <c r="AW511" s="21"/>
      <c r="AX511" s="21"/>
      <c r="AY511" s="21"/>
      <c r="AZ511" s="21"/>
      <c r="BA511" s="21"/>
      <c r="BB511" s="21"/>
      <c r="BC511" s="21"/>
      <c r="BD511" s="21"/>
      <c r="BE511" s="21"/>
      <c r="BF511" s="21"/>
      <c r="BG511" s="21"/>
      <c r="BH511" s="21"/>
      <c r="BI511" s="21"/>
      <c r="BJ511" s="21"/>
    </row>
    <row r="512" spans="1:62" s="138" customFormat="1" ht="51" hidden="1" customHeight="1" x14ac:dyDescent="0.25">
      <c r="A512" s="359" t="s">
        <v>1245</v>
      </c>
      <c r="B512" s="352">
        <v>8</v>
      </c>
      <c r="C512" s="49">
        <v>3</v>
      </c>
      <c r="D512" s="382" t="s">
        <v>86</v>
      </c>
      <c r="E512" s="65"/>
      <c r="F512" s="22"/>
      <c r="G512" s="33" t="s">
        <v>1256</v>
      </c>
      <c r="H512" s="33" t="s">
        <v>1247</v>
      </c>
      <c r="I512" s="33"/>
      <c r="J512" s="22"/>
      <c r="K512" s="33" t="s">
        <v>1257</v>
      </c>
      <c r="L512" s="25"/>
      <c r="M512" s="25"/>
      <c r="N512" s="52">
        <v>1</v>
      </c>
      <c r="O512" s="22"/>
      <c r="P512" s="313">
        <v>15152.11</v>
      </c>
      <c r="Q512" s="35">
        <f t="shared" si="45"/>
        <v>15152.11</v>
      </c>
      <c r="R512" s="35"/>
      <c r="S512" s="35"/>
      <c r="T512" s="35"/>
      <c r="U512" s="35"/>
      <c r="V512" s="22"/>
      <c r="W512" s="22"/>
      <c r="X512" s="22"/>
      <c r="Y512" s="22"/>
      <c r="Z512" s="29"/>
      <c r="AA512" s="29"/>
      <c r="AB512" s="29"/>
      <c r="AC512" s="29"/>
      <c r="AD512" s="29"/>
      <c r="AE512" s="29"/>
      <c r="AF512" s="22"/>
      <c r="AG512" s="29"/>
      <c r="AH512" s="145"/>
      <c r="AI512" s="22"/>
      <c r="AJ512" s="28"/>
      <c r="AK512" s="28"/>
      <c r="AL512" s="143"/>
      <c r="AM512" s="22"/>
      <c r="AN512" s="22"/>
      <c r="AO512" s="22"/>
      <c r="AP512" s="22"/>
      <c r="AQ512" s="22"/>
      <c r="AR512" s="22"/>
      <c r="AS512" s="21"/>
      <c r="AT512" s="21"/>
      <c r="AU512" s="21"/>
      <c r="AV512" s="21"/>
      <c r="AW512" s="21"/>
      <c r="AX512" s="21"/>
      <c r="AY512" s="21"/>
      <c r="AZ512" s="21"/>
      <c r="BA512" s="21"/>
      <c r="BB512" s="21"/>
      <c r="BC512" s="21"/>
      <c r="BD512" s="21"/>
      <c r="BE512" s="21"/>
      <c r="BF512" s="21"/>
      <c r="BG512" s="21"/>
      <c r="BH512" s="21"/>
      <c r="BI512" s="21"/>
      <c r="BJ512" s="21"/>
    </row>
    <row r="513" spans="1:44" x14ac:dyDescent="0.25">
      <c r="A513" s="22"/>
      <c r="B513" s="352">
        <v>5</v>
      </c>
      <c r="C513" s="49">
        <v>4</v>
      </c>
      <c r="D513" s="382" t="s">
        <v>86</v>
      </c>
      <c r="E513" s="65"/>
      <c r="F513" s="22"/>
      <c r="G513" s="33" t="s">
        <v>1258</v>
      </c>
      <c r="H513" s="456" t="s">
        <v>88</v>
      </c>
      <c r="I513" s="456"/>
      <c r="J513" s="22"/>
      <c r="K513" s="456" t="s">
        <v>1259</v>
      </c>
      <c r="L513" s="25"/>
      <c r="M513" s="25"/>
      <c r="N513" s="435">
        <v>21</v>
      </c>
      <c r="O513" s="22"/>
      <c r="P513" s="436">
        <v>1098.5700000000002</v>
      </c>
      <c r="Q513" s="28">
        <f t="shared" ref="Q513:Q534" si="46">N513*P513</f>
        <v>23069.970000000005</v>
      </c>
      <c r="R513" s="35"/>
      <c r="S513" s="35">
        <v>15574.44</v>
      </c>
      <c r="T513" s="35"/>
      <c r="U513" s="35">
        <f t="shared" ref="U513:U517" si="47">Q513-S513</f>
        <v>7495.5300000000043</v>
      </c>
      <c r="V513" s="22" t="s">
        <v>1260</v>
      </c>
      <c r="W513" s="22" t="s">
        <v>1261</v>
      </c>
      <c r="X513" s="22"/>
      <c r="Y513" s="22"/>
      <c r="Z513" s="29">
        <v>43544</v>
      </c>
      <c r="AA513" s="29"/>
      <c r="AB513" s="29">
        <v>43574</v>
      </c>
      <c r="AC513" s="29"/>
      <c r="AD513" s="29"/>
      <c r="AE513" s="29"/>
      <c r="AF513" s="22" t="s">
        <v>1262</v>
      </c>
      <c r="AG513" s="29" t="s">
        <v>914</v>
      </c>
      <c r="AH513" s="540"/>
      <c r="AI513" s="144"/>
      <c r="AJ513" s="143"/>
      <c r="AK513" s="143"/>
      <c r="AL513" s="143"/>
      <c r="AM513" s="143"/>
      <c r="AN513" s="143"/>
      <c r="AO513" s="143">
        <v>15574.44</v>
      </c>
      <c r="AP513" s="143"/>
      <c r="AQ513" s="143"/>
      <c r="AR513" s="143"/>
    </row>
    <row r="514" spans="1:44" x14ac:dyDescent="0.25">
      <c r="A514" s="22"/>
      <c r="B514" s="352">
        <v>5</v>
      </c>
      <c r="C514" s="49">
        <v>4</v>
      </c>
      <c r="D514" s="382" t="s">
        <v>86</v>
      </c>
      <c r="E514" s="65"/>
      <c r="F514" s="22"/>
      <c r="G514" s="33" t="s">
        <v>1263</v>
      </c>
      <c r="H514" s="456" t="s">
        <v>88</v>
      </c>
      <c r="I514" s="33"/>
      <c r="J514" s="22"/>
      <c r="K514" s="33" t="s">
        <v>1264</v>
      </c>
      <c r="L514" s="25"/>
      <c r="M514" s="25"/>
      <c r="N514" s="52">
        <v>20</v>
      </c>
      <c r="O514" s="22"/>
      <c r="P514" s="437">
        <v>279.99</v>
      </c>
      <c r="Q514" s="28">
        <f t="shared" si="46"/>
        <v>5599.8</v>
      </c>
      <c r="R514" s="35"/>
      <c r="S514" s="35">
        <v>4208.8</v>
      </c>
      <c r="T514" s="35"/>
      <c r="U514" s="35">
        <f t="shared" si="47"/>
        <v>1391</v>
      </c>
      <c r="V514" s="22" t="s">
        <v>1265</v>
      </c>
      <c r="W514" s="22" t="s">
        <v>1261</v>
      </c>
      <c r="X514" s="22"/>
      <c r="Y514" s="22"/>
      <c r="Z514" s="29">
        <v>43544</v>
      </c>
      <c r="AA514" s="29"/>
      <c r="AB514" s="29">
        <v>43574</v>
      </c>
      <c r="AC514" s="29"/>
      <c r="AD514" s="29"/>
      <c r="AE514" s="29"/>
      <c r="AF514" s="22" t="s">
        <v>1262</v>
      </c>
      <c r="AG514" s="29" t="s">
        <v>914</v>
      </c>
      <c r="AH514" s="540"/>
      <c r="AI514" s="144"/>
      <c r="AJ514" s="143"/>
      <c r="AK514" s="143"/>
      <c r="AL514" s="143"/>
      <c r="AM514" s="143"/>
      <c r="AN514" s="143"/>
      <c r="AO514" s="143">
        <v>4208.8</v>
      </c>
      <c r="AP514" s="143"/>
      <c r="AQ514" s="143"/>
      <c r="AR514" s="143"/>
    </row>
    <row r="515" spans="1:44" x14ac:dyDescent="0.25">
      <c r="A515" s="22"/>
      <c r="B515" s="352">
        <v>5</v>
      </c>
      <c r="C515" s="49">
        <v>4</v>
      </c>
      <c r="D515" s="382" t="s">
        <v>86</v>
      </c>
      <c r="E515" s="65"/>
      <c r="F515" s="22"/>
      <c r="G515" s="33" t="s">
        <v>438</v>
      </c>
      <c r="H515" s="456"/>
      <c r="I515" s="33"/>
      <c r="J515" s="22"/>
      <c r="K515" s="33"/>
      <c r="L515" s="25"/>
      <c r="M515" s="25"/>
      <c r="N515" s="52">
        <v>1</v>
      </c>
      <c r="O515" s="22"/>
      <c r="P515" s="437">
        <v>460</v>
      </c>
      <c r="Q515" s="28">
        <f t="shared" si="46"/>
        <v>460</v>
      </c>
      <c r="R515" s="35"/>
      <c r="S515" s="35">
        <v>0</v>
      </c>
      <c r="T515" s="35"/>
      <c r="U515" s="35">
        <f t="shared" si="47"/>
        <v>460</v>
      </c>
      <c r="V515" s="22" t="s">
        <v>1265</v>
      </c>
      <c r="W515" s="22" t="s">
        <v>1261</v>
      </c>
      <c r="X515" s="22"/>
      <c r="Y515" s="22"/>
      <c r="Z515" s="29">
        <v>43544</v>
      </c>
      <c r="AA515" s="29"/>
      <c r="AB515" s="29">
        <v>43574</v>
      </c>
      <c r="AC515" s="29"/>
      <c r="AD515" s="29"/>
      <c r="AE515" s="29"/>
      <c r="AF515" s="22"/>
      <c r="AG515" s="29" t="s">
        <v>914</v>
      </c>
      <c r="AH515" s="540"/>
      <c r="AI515" s="144"/>
      <c r="AJ515" s="143"/>
      <c r="AK515" s="143"/>
      <c r="AL515" s="143"/>
      <c r="AM515" s="143"/>
      <c r="AN515" s="143"/>
      <c r="AO515" s="143">
        <v>0</v>
      </c>
      <c r="AP515" s="143"/>
      <c r="AQ515" s="143"/>
      <c r="AR515" s="143"/>
    </row>
    <row r="516" spans="1:44" ht="26.4" x14ac:dyDescent="0.25">
      <c r="A516" s="22"/>
      <c r="B516" s="352" t="s">
        <v>1939</v>
      </c>
      <c r="C516" s="49">
        <v>4</v>
      </c>
      <c r="D516" s="382" t="s">
        <v>1266</v>
      </c>
      <c r="E516" s="65"/>
      <c r="F516" s="22"/>
      <c r="G516" s="33" t="s">
        <v>1267</v>
      </c>
      <c r="H516" s="456" t="s">
        <v>155</v>
      </c>
      <c r="I516" s="33"/>
      <c r="J516" s="22"/>
      <c r="K516" s="33"/>
      <c r="L516" s="25"/>
      <c r="M516" s="25"/>
      <c r="N516" s="52">
        <v>1</v>
      </c>
      <c r="O516" s="22"/>
      <c r="P516" s="437"/>
      <c r="Q516" s="28"/>
      <c r="R516" s="35"/>
      <c r="S516" s="35">
        <v>109.99</v>
      </c>
      <c r="T516" s="35"/>
      <c r="U516" s="35"/>
      <c r="V516" s="22" t="s">
        <v>1268</v>
      </c>
      <c r="W516" s="22" t="s">
        <v>1269</v>
      </c>
      <c r="X516" s="22"/>
      <c r="Y516" s="22"/>
      <c r="Z516" s="29">
        <v>43531</v>
      </c>
      <c r="AA516" s="29"/>
      <c r="AB516" s="29">
        <v>43531</v>
      </c>
      <c r="AC516" s="29"/>
      <c r="AD516" s="29"/>
      <c r="AE516" s="29"/>
      <c r="AF516" s="22"/>
      <c r="AG516" s="29" t="s">
        <v>98</v>
      </c>
      <c r="AH516" s="540"/>
      <c r="AI516" s="144"/>
      <c r="AJ516" s="143"/>
      <c r="AK516" s="143"/>
      <c r="AL516" s="143"/>
      <c r="AM516" s="143"/>
      <c r="AN516" s="143"/>
      <c r="AO516" s="143"/>
      <c r="AP516" s="143"/>
      <c r="AQ516" s="143"/>
      <c r="AR516" s="143"/>
    </row>
    <row r="517" spans="1:44" ht="26.4" x14ac:dyDescent="0.25">
      <c r="A517" s="22"/>
      <c r="B517" s="352" t="s">
        <v>1939</v>
      </c>
      <c r="C517" s="49">
        <v>4</v>
      </c>
      <c r="D517" s="457" t="s">
        <v>1270</v>
      </c>
      <c r="E517" s="65"/>
      <c r="F517" s="22"/>
      <c r="G517" s="33" t="s">
        <v>1271</v>
      </c>
      <c r="H517" s="456" t="s">
        <v>88</v>
      </c>
      <c r="I517" s="33"/>
      <c r="J517" s="22"/>
      <c r="K517" s="33"/>
      <c r="L517" s="25"/>
      <c r="M517" s="25"/>
      <c r="N517" s="52">
        <v>1</v>
      </c>
      <c r="O517" s="22"/>
      <c r="P517" s="437">
        <v>112.49</v>
      </c>
      <c r="Q517" s="28"/>
      <c r="R517" s="35"/>
      <c r="S517" s="35">
        <v>98.84</v>
      </c>
      <c r="T517" s="35"/>
      <c r="U517" s="35">
        <f t="shared" si="47"/>
        <v>-98.84</v>
      </c>
      <c r="V517" s="22" t="s">
        <v>1272</v>
      </c>
      <c r="W517" s="22" t="s">
        <v>1273</v>
      </c>
      <c r="X517" s="22"/>
      <c r="Y517" s="22"/>
      <c r="Z517" s="29">
        <v>43531</v>
      </c>
      <c r="AA517" s="29"/>
      <c r="AB517" s="29">
        <v>43539</v>
      </c>
      <c r="AC517" s="29"/>
      <c r="AD517" s="29"/>
      <c r="AE517" s="29"/>
      <c r="AF517" s="22"/>
      <c r="AG517" s="29" t="s">
        <v>914</v>
      </c>
      <c r="AH517" s="540"/>
      <c r="AI517" s="144"/>
      <c r="AJ517" s="143"/>
      <c r="AK517" s="143"/>
      <c r="AL517" s="143"/>
      <c r="AM517" s="143"/>
      <c r="AN517" s="143">
        <f>S517</f>
        <v>98.84</v>
      </c>
      <c r="AO517" s="143"/>
      <c r="AP517" s="143"/>
      <c r="AQ517" s="143"/>
      <c r="AR517" s="143"/>
    </row>
    <row r="518" spans="1:44" ht="39.6" x14ac:dyDescent="0.25">
      <c r="A518" s="22"/>
      <c r="B518" s="352" t="s">
        <v>1939</v>
      </c>
      <c r="C518" s="49">
        <v>4</v>
      </c>
      <c r="D518" s="457" t="s">
        <v>1274</v>
      </c>
      <c r="E518" s="65"/>
      <c r="F518" s="22"/>
      <c r="G518" s="33" t="s">
        <v>1275</v>
      </c>
      <c r="H518" s="456" t="s">
        <v>1276</v>
      </c>
      <c r="I518" s="33"/>
      <c r="J518" s="22"/>
      <c r="K518" s="33"/>
      <c r="L518" s="25"/>
      <c r="M518" s="25"/>
      <c r="N518" s="52">
        <v>1</v>
      </c>
      <c r="O518" s="22"/>
      <c r="P518" s="437">
        <v>252</v>
      </c>
      <c r="Q518" s="28"/>
      <c r="R518" s="35"/>
      <c r="S518" s="35">
        <v>252</v>
      </c>
      <c r="T518" s="35"/>
      <c r="U518" s="35">
        <f t="shared" ref="U518:U527" si="48">Q518-S518</f>
        <v>-252</v>
      </c>
      <c r="V518" s="22" t="s">
        <v>1277</v>
      </c>
      <c r="W518" s="22" t="s">
        <v>1278</v>
      </c>
      <c r="X518" s="22"/>
      <c r="Y518" s="22"/>
      <c r="Z518" s="29">
        <v>43508</v>
      </c>
      <c r="AA518" s="29"/>
      <c r="AB518" s="29">
        <v>43508</v>
      </c>
      <c r="AC518" s="29">
        <v>43508</v>
      </c>
      <c r="AD518" s="29"/>
      <c r="AE518" s="29"/>
      <c r="AF518" s="22"/>
      <c r="AG518" s="29" t="s">
        <v>914</v>
      </c>
      <c r="AH518" s="519"/>
      <c r="AI518" s="144"/>
      <c r="AJ518" s="143"/>
      <c r="AK518" s="143"/>
      <c r="AL518" s="143"/>
      <c r="AM518" s="143">
        <f>S518</f>
        <v>252</v>
      </c>
      <c r="AN518" s="143"/>
      <c r="AO518" s="143"/>
      <c r="AP518" s="143"/>
      <c r="AQ518" s="143"/>
      <c r="AR518" s="143"/>
    </row>
    <row r="519" spans="1:44" ht="25.5" customHeight="1" x14ac:dyDescent="0.25">
      <c r="A519" s="22"/>
      <c r="B519" s="352" t="s">
        <v>1939</v>
      </c>
      <c r="C519" s="49">
        <v>4</v>
      </c>
      <c r="D519" s="457" t="s">
        <v>1274</v>
      </c>
      <c r="E519" s="65"/>
      <c r="F519" s="22"/>
      <c r="G519" s="33" t="s">
        <v>1279</v>
      </c>
      <c r="H519" s="456" t="s">
        <v>1276</v>
      </c>
      <c r="I519" s="33"/>
      <c r="J519" s="22"/>
      <c r="K519" s="33"/>
      <c r="L519" s="25"/>
      <c r="M519" s="25"/>
      <c r="N519" s="52">
        <v>2</v>
      </c>
      <c r="O519" s="22"/>
      <c r="P519" s="437">
        <v>252</v>
      </c>
      <c r="Q519" s="28"/>
      <c r="R519" s="35"/>
      <c r="S519" s="35">
        <v>504</v>
      </c>
      <c r="T519" s="35"/>
      <c r="U519" s="35">
        <f t="shared" si="48"/>
        <v>-504</v>
      </c>
      <c r="V519" s="22" t="s">
        <v>1277</v>
      </c>
      <c r="W519" s="22" t="s">
        <v>1278</v>
      </c>
      <c r="X519" s="22"/>
      <c r="Y519" s="22"/>
      <c r="Z519" s="29">
        <v>43508</v>
      </c>
      <c r="AA519" s="29"/>
      <c r="AB519" s="29">
        <v>43508</v>
      </c>
      <c r="AC519" s="29">
        <v>43508</v>
      </c>
      <c r="AD519" s="29"/>
      <c r="AE519" s="29"/>
      <c r="AF519" s="22"/>
      <c r="AG519" s="29" t="s">
        <v>914</v>
      </c>
      <c r="AH519" s="519"/>
      <c r="AI519" s="144"/>
      <c r="AJ519" s="143"/>
      <c r="AK519" s="143"/>
      <c r="AL519" s="143"/>
      <c r="AM519" s="143">
        <f>S519</f>
        <v>504</v>
      </c>
      <c r="AN519" s="143"/>
      <c r="AO519" s="143"/>
      <c r="AP519" s="143"/>
      <c r="AQ519" s="143"/>
      <c r="AR519" s="143"/>
    </row>
    <row r="520" spans="1:44" ht="39.6" x14ac:dyDescent="0.25">
      <c r="A520" s="22" t="s">
        <v>1280</v>
      </c>
      <c r="B520" s="352" t="s">
        <v>1939</v>
      </c>
      <c r="C520" s="49">
        <v>4</v>
      </c>
      <c r="D520" s="457" t="s">
        <v>1281</v>
      </c>
      <c r="E520" s="65"/>
      <c r="F520" s="22"/>
      <c r="G520" s="33" t="s">
        <v>146</v>
      </c>
      <c r="H520" s="456" t="s">
        <v>146</v>
      </c>
      <c r="I520" s="33"/>
      <c r="J520" s="22"/>
      <c r="K520" s="33"/>
      <c r="L520" s="25"/>
      <c r="M520" s="25"/>
      <c r="N520" s="52">
        <v>1</v>
      </c>
      <c r="O520" s="22"/>
      <c r="P520" s="437">
        <v>7472</v>
      </c>
      <c r="Q520" s="28"/>
      <c r="R520" s="35"/>
      <c r="S520" s="35">
        <v>6919.06</v>
      </c>
      <c r="T520" s="35"/>
      <c r="U520" s="35">
        <f t="shared" si="48"/>
        <v>-6919.06</v>
      </c>
      <c r="V520" s="22" t="s">
        <v>1282</v>
      </c>
      <c r="W520" s="22" t="s">
        <v>1283</v>
      </c>
      <c r="X520" s="22"/>
      <c r="Y520" s="22"/>
      <c r="Z520" s="29">
        <v>43431</v>
      </c>
      <c r="AA520" s="29"/>
      <c r="AB520" s="29">
        <v>43441</v>
      </c>
      <c r="AC520" s="29">
        <v>43462</v>
      </c>
      <c r="AD520" s="29"/>
      <c r="AE520" s="29"/>
      <c r="AF520" s="22"/>
      <c r="AG520" s="29" t="s">
        <v>98</v>
      </c>
      <c r="AH520" s="519">
        <v>6919.06</v>
      </c>
      <c r="AI520" s="144"/>
      <c r="AJ520" s="143"/>
      <c r="AK520" s="143"/>
      <c r="AL520" s="143"/>
      <c r="AM520" s="143"/>
      <c r="AN520" s="143"/>
      <c r="AO520" s="143"/>
      <c r="AP520" s="143"/>
      <c r="AQ520" s="143"/>
      <c r="AR520" s="143"/>
    </row>
    <row r="521" spans="1:44" ht="25.5" customHeight="1" x14ac:dyDescent="0.25">
      <c r="A521" s="22"/>
      <c r="B521" s="352" t="s">
        <v>1939</v>
      </c>
      <c r="C521" s="49">
        <v>4</v>
      </c>
      <c r="D521" s="457" t="s">
        <v>1266</v>
      </c>
      <c r="E521" s="65"/>
      <c r="F521" s="22"/>
      <c r="G521" s="33" t="s">
        <v>1284</v>
      </c>
      <c r="H521" s="456" t="s">
        <v>227</v>
      </c>
      <c r="I521" s="33"/>
      <c r="J521" s="22"/>
      <c r="K521" s="33"/>
      <c r="L521" s="25"/>
      <c r="M521" s="25"/>
      <c r="N521" s="52">
        <v>2</v>
      </c>
      <c r="O521" s="22"/>
      <c r="P521" s="437"/>
      <c r="Q521" s="28"/>
      <c r="R521" s="35"/>
      <c r="S521" s="35">
        <v>25540</v>
      </c>
      <c r="T521" s="35"/>
      <c r="U521" s="35"/>
      <c r="V521" s="22" t="s">
        <v>1285</v>
      </c>
      <c r="W521" s="22" t="s">
        <v>1286</v>
      </c>
      <c r="X521" s="22"/>
      <c r="Y521" s="22"/>
      <c r="Z521" s="29">
        <v>43552</v>
      </c>
      <c r="AA521" s="29"/>
      <c r="AB521" s="29">
        <v>43554</v>
      </c>
      <c r="AC521" s="29">
        <v>43555</v>
      </c>
      <c r="AD521" s="29"/>
      <c r="AE521" s="29"/>
      <c r="AF521" s="22"/>
      <c r="AG521" s="29" t="s">
        <v>914</v>
      </c>
      <c r="AH521" s="519"/>
      <c r="AI521" s="144"/>
      <c r="AJ521" s="143"/>
      <c r="AK521" s="143"/>
      <c r="AL521" s="143"/>
      <c r="AM521" s="143"/>
      <c r="AN521" s="143">
        <f>S521</f>
        <v>25540</v>
      </c>
      <c r="AP521" s="143"/>
      <c r="AQ521" s="143"/>
      <c r="AR521" s="143"/>
    </row>
    <row r="522" spans="1:44" ht="39.6" x14ac:dyDescent="0.25">
      <c r="A522" s="22" t="s">
        <v>1280</v>
      </c>
      <c r="B522" s="352" t="s">
        <v>1939</v>
      </c>
      <c r="C522" s="49">
        <v>4</v>
      </c>
      <c r="D522" s="457" t="s">
        <v>1281</v>
      </c>
      <c r="E522" s="65"/>
      <c r="F522" s="22"/>
      <c r="G522" s="33" t="s">
        <v>475</v>
      </c>
      <c r="H522" s="456" t="s">
        <v>155</v>
      </c>
      <c r="I522" s="33"/>
      <c r="J522" s="22"/>
      <c r="K522" s="33"/>
      <c r="L522" s="25"/>
      <c r="M522" s="25"/>
      <c r="N522" s="52">
        <v>2</v>
      </c>
      <c r="O522" s="22"/>
      <c r="P522" s="437">
        <v>199.99</v>
      </c>
      <c r="Q522" s="28"/>
      <c r="R522" s="35"/>
      <c r="S522" s="35">
        <v>274.56</v>
      </c>
      <c r="T522" s="35"/>
      <c r="U522" s="35">
        <f t="shared" si="48"/>
        <v>-274.56</v>
      </c>
      <c r="V522" s="22" t="s">
        <v>1287</v>
      </c>
      <c r="W522" s="22" t="s">
        <v>1288</v>
      </c>
      <c r="X522" s="22"/>
      <c r="Y522" s="22"/>
      <c r="Z522" s="29">
        <v>43423</v>
      </c>
      <c r="AA522" s="29"/>
      <c r="AB522" s="29">
        <v>43431</v>
      </c>
      <c r="AC522" s="29">
        <v>43468</v>
      </c>
      <c r="AD522" s="29"/>
      <c r="AE522" s="29"/>
      <c r="AF522" s="22"/>
      <c r="AG522" s="29" t="s">
        <v>98</v>
      </c>
      <c r="AH522" s="519">
        <v>274.56</v>
      </c>
      <c r="AI522" s="144"/>
      <c r="AJ522" s="143"/>
      <c r="AK522" s="143"/>
      <c r="AL522" s="143"/>
      <c r="AM522" s="143"/>
      <c r="AN522" s="143"/>
      <c r="AO522" s="143"/>
      <c r="AP522" s="143"/>
      <c r="AQ522" s="143"/>
      <c r="AR522" s="143"/>
    </row>
    <row r="523" spans="1:44" ht="39.6" x14ac:dyDescent="0.25">
      <c r="A523" s="22" t="s">
        <v>1280</v>
      </c>
      <c r="B523" s="352" t="s">
        <v>1939</v>
      </c>
      <c r="C523" s="166">
        <v>4</v>
      </c>
      <c r="D523" s="424" t="s">
        <v>1289</v>
      </c>
      <c r="E523" s="65"/>
      <c r="F523" s="22"/>
      <c r="G523" s="22" t="s">
        <v>1290</v>
      </c>
      <c r="H523" s="22" t="s">
        <v>1291</v>
      </c>
      <c r="I523" s="33"/>
      <c r="J523" s="22"/>
      <c r="K523" s="33"/>
      <c r="L523" s="25"/>
      <c r="M523" s="25"/>
      <c r="N523" s="52">
        <v>6</v>
      </c>
      <c r="O523" s="28"/>
      <c r="P523" s="437">
        <v>571.91999999999996</v>
      </c>
      <c r="Q523" s="28"/>
      <c r="R523" s="35"/>
      <c r="S523" s="35">
        <v>3431.52</v>
      </c>
      <c r="T523" s="35"/>
      <c r="U523" s="35">
        <f t="shared" si="48"/>
        <v>-3431.52</v>
      </c>
      <c r="V523" s="22" t="s">
        <v>1292</v>
      </c>
      <c r="W523" s="22" t="s">
        <v>1293</v>
      </c>
      <c r="X523" s="29">
        <v>43438</v>
      </c>
      <c r="Y523" s="29"/>
      <c r="Z523" s="29">
        <v>43438</v>
      </c>
      <c r="AA523" s="29"/>
      <c r="AB523" s="29">
        <v>43438</v>
      </c>
      <c r="AC523" s="29">
        <v>43476</v>
      </c>
      <c r="AD523" s="29"/>
      <c r="AE523" s="29"/>
      <c r="AF523" s="22"/>
      <c r="AG523" s="29" t="s">
        <v>98</v>
      </c>
      <c r="AH523" s="519">
        <v>3431.52</v>
      </c>
      <c r="AI523" s="144"/>
      <c r="AJ523" s="143"/>
      <c r="AK523" s="143"/>
      <c r="AL523" s="143"/>
      <c r="AM523" s="143"/>
      <c r="AN523" s="143"/>
      <c r="AO523" s="143"/>
      <c r="AP523" s="143"/>
      <c r="AQ523" s="143"/>
      <c r="AR523" s="143"/>
    </row>
    <row r="524" spans="1:44" ht="25.5" customHeight="1" x14ac:dyDescent="0.25">
      <c r="A524" s="22"/>
      <c r="B524" s="352" t="s">
        <v>1939</v>
      </c>
      <c r="C524" s="49">
        <v>4</v>
      </c>
      <c r="D524" s="457" t="s">
        <v>1294</v>
      </c>
      <c r="E524" s="65"/>
      <c r="F524" s="22"/>
      <c r="G524" s="33" t="s">
        <v>1295</v>
      </c>
      <c r="H524" s="456" t="s">
        <v>88</v>
      </c>
      <c r="I524" s="33"/>
      <c r="J524" s="22"/>
      <c r="K524" s="33"/>
      <c r="L524" s="25"/>
      <c r="M524" s="25"/>
      <c r="N524" s="52">
        <v>2</v>
      </c>
      <c r="O524" s="22"/>
      <c r="P524" s="437">
        <v>177.15</v>
      </c>
      <c r="Q524" s="28"/>
      <c r="R524" s="35"/>
      <c r="S524" s="35">
        <v>283.44</v>
      </c>
      <c r="T524" s="35"/>
      <c r="U524" s="35">
        <f t="shared" si="48"/>
        <v>-283.44</v>
      </c>
      <c r="V524" s="22" t="s">
        <v>1296</v>
      </c>
      <c r="W524" s="22" t="s">
        <v>1297</v>
      </c>
      <c r="X524" s="22"/>
      <c r="Y524" s="22"/>
      <c r="Z524" s="29">
        <v>43475</v>
      </c>
      <c r="AA524" s="29"/>
      <c r="AB524" s="29">
        <v>43481</v>
      </c>
      <c r="AC524" s="29">
        <v>43481</v>
      </c>
      <c r="AD524" s="29"/>
      <c r="AE524" s="29"/>
      <c r="AF524" s="22"/>
      <c r="AG524" s="29" t="s">
        <v>914</v>
      </c>
      <c r="AH524" s="519"/>
      <c r="AI524" s="144"/>
      <c r="AJ524" s="143"/>
      <c r="AK524" s="143"/>
      <c r="AL524" s="143"/>
      <c r="AM524" s="143">
        <f>S524</f>
        <v>283.44</v>
      </c>
      <c r="AN524" s="143"/>
      <c r="AO524" s="143"/>
      <c r="AP524" s="143"/>
      <c r="AQ524" s="143"/>
      <c r="AR524" s="143"/>
    </row>
    <row r="525" spans="1:44" ht="25.5" customHeight="1" x14ac:dyDescent="0.25">
      <c r="A525" s="22"/>
      <c r="B525" s="352" t="s">
        <v>1939</v>
      </c>
      <c r="C525" s="49">
        <v>4</v>
      </c>
      <c r="D525" s="457" t="s">
        <v>1294</v>
      </c>
      <c r="E525" s="65"/>
      <c r="F525" s="22"/>
      <c r="G525" s="33" t="s">
        <v>1298</v>
      </c>
      <c r="H525" s="456" t="s">
        <v>1299</v>
      </c>
      <c r="I525" s="33"/>
      <c r="J525" s="22"/>
      <c r="K525" s="33"/>
      <c r="L525" s="25"/>
      <c r="M525" s="25"/>
      <c r="N525" s="52">
        <v>1</v>
      </c>
      <c r="O525" s="22"/>
      <c r="P525" s="437">
        <v>574.99</v>
      </c>
      <c r="Q525" s="28"/>
      <c r="R525" s="35"/>
      <c r="S525" s="35">
        <v>574.99</v>
      </c>
      <c r="T525" s="35"/>
      <c r="U525" s="35">
        <f t="shared" si="48"/>
        <v>-574.99</v>
      </c>
      <c r="V525" s="22" t="s">
        <v>1300</v>
      </c>
      <c r="W525" s="22" t="s">
        <v>1301</v>
      </c>
      <c r="X525" s="22"/>
      <c r="Y525" s="22"/>
      <c r="Z525" s="29">
        <v>43494</v>
      </c>
      <c r="AA525" s="29"/>
      <c r="AB525" s="29">
        <v>43494</v>
      </c>
      <c r="AC525" s="29">
        <v>43494</v>
      </c>
      <c r="AD525" s="29"/>
      <c r="AE525" s="29"/>
      <c r="AF525" s="22"/>
      <c r="AG525" s="29" t="s">
        <v>98</v>
      </c>
      <c r="AH525" s="519">
        <v>574.99</v>
      </c>
      <c r="AI525" s="144"/>
      <c r="AJ525" s="143"/>
      <c r="AK525" s="143"/>
      <c r="AL525" s="143"/>
      <c r="AM525" s="143"/>
      <c r="AN525" s="143"/>
      <c r="AO525" s="143"/>
      <c r="AP525" s="143"/>
      <c r="AQ525" s="143"/>
      <c r="AR525" s="143"/>
    </row>
    <row r="526" spans="1:44" ht="12.75" customHeight="1" x14ac:dyDescent="0.25">
      <c r="A526" s="22"/>
      <c r="B526" s="352">
        <v>5</v>
      </c>
      <c r="C526" s="49">
        <v>4</v>
      </c>
      <c r="D526" s="382" t="s">
        <v>86</v>
      </c>
      <c r="E526" s="65"/>
      <c r="F526" s="22"/>
      <c r="G526" s="33" t="s">
        <v>1302</v>
      </c>
      <c r="H526" s="456" t="s">
        <v>88</v>
      </c>
      <c r="I526" s="33"/>
      <c r="J526" s="22"/>
      <c r="K526" s="33"/>
      <c r="L526" s="25"/>
      <c r="M526" s="25"/>
      <c r="N526" s="52">
        <v>3</v>
      </c>
      <c r="O526" s="22"/>
      <c r="P526" s="51">
        <v>3727</v>
      </c>
      <c r="Q526" s="28">
        <f t="shared" si="46"/>
        <v>11181</v>
      </c>
      <c r="R526" s="35"/>
      <c r="S526" s="35">
        <v>10755</v>
      </c>
      <c r="T526" s="35"/>
      <c r="U526" s="35">
        <f t="shared" si="48"/>
        <v>426</v>
      </c>
      <c r="V526" s="22" t="s">
        <v>1303</v>
      </c>
      <c r="W526" s="22" t="s">
        <v>1304</v>
      </c>
      <c r="X526" s="22"/>
      <c r="Y526" s="22"/>
      <c r="Z526" s="29">
        <v>43517</v>
      </c>
      <c r="AA526" s="29"/>
      <c r="AB526" s="29">
        <v>43509</v>
      </c>
      <c r="AC526" s="29">
        <v>43544</v>
      </c>
      <c r="AD526" s="29"/>
      <c r="AE526" s="29"/>
      <c r="AF526" s="22" t="s">
        <v>1262</v>
      </c>
      <c r="AG526" s="29" t="s">
        <v>914</v>
      </c>
      <c r="AH526" s="519"/>
      <c r="AI526" s="144"/>
      <c r="AJ526" s="143"/>
      <c r="AK526" s="143"/>
      <c r="AL526" s="143"/>
      <c r="AM526" s="143"/>
      <c r="AN526" s="143">
        <f>S526</f>
        <v>10755</v>
      </c>
      <c r="AO526" s="143"/>
      <c r="AP526" s="143"/>
      <c r="AQ526" s="143"/>
      <c r="AR526" s="143"/>
    </row>
    <row r="527" spans="1:44" ht="12.75" customHeight="1" x14ac:dyDescent="0.25">
      <c r="A527" s="22"/>
      <c r="B527" s="352">
        <v>5</v>
      </c>
      <c r="C527" s="49">
        <v>4</v>
      </c>
      <c r="D527" s="382" t="s">
        <v>86</v>
      </c>
      <c r="E527" s="65"/>
      <c r="F527" s="22"/>
      <c r="G527" s="33" t="s">
        <v>438</v>
      </c>
      <c r="H527" s="456"/>
      <c r="I527" s="33"/>
      <c r="J527" s="22"/>
      <c r="K527" s="33"/>
      <c r="L527" s="25"/>
      <c r="M527" s="25"/>
      <c r="N527" s="52">
        <v>1</v>
      </c>
      <c r="O527" s="22"/>
      <c r="P527" s="51">
        <v>1606.64</v>
      </c>
      <c r="Q527" s="28">
        <f t="shared" si="46"/>
        <v>1606.64</v>
      </c>
      <c r="R527" s="35"/>
      <c r="S527" s="35">
        <v>0</v>
      </c>
      <c r="T527" s="35"/>
      <c r="U527" s="35">
        <f t="shared" si="48"/>
        <v>1606.64</v>
      </c>
      <c r="V527" s="22" t="s">
        <v>1303</v>
      </c>
      <c r="W527" s="22" t="s">
        <v>1304</v>
      </c>
      <c r="X527" s="22"/>
      <c r="Y527" s="22"/>
      <c r="Z527" s="29">
        <v>43517</v>
      </c>
      <c r="AA527" s="29"/>
      <c r="AB527" s="29">
        <v>43509</v>
      </c>
      <c r="AC527" s="29">
        <v>43544</v>
      </c>
      <c r="AD527" s="29"/>
      <c r="AE527" s="29"/>
      <c r="AF527" s="22"/>
      <c r="AG527" s="29" t="s">
        <v>914</v>
      </c>
      <c r="AH527" s="519"/>
      <c r="AI527" s="144"/>
      <c r="AJ527" s="143"/>
      <c r="AK527" s="143"/>
      <c r="AL527" s="143"/>
      <c r="AM527" s="143"/>
      <c r="AN527" s="143">
        <f t="shared" ref="AN527" si="49">S527</f>
        <v>0</v>
      </c>
      <c r="AO527" s="143"/>
      <c r="AP527" s="143"/>
      <c r="AQ527" s="143"/>
      <c r="AR527" s="143"/>
    </row>
    <row r="528" spans="1:44" ht="12.75" customHeight="1" x14ac:dyDescent="0.25">
      <c r="A528" s="22"/>
      <c r="B528" s="352">
        <v>5</v>
      </c>
      <c r="C528" s="49">
        <v>4</v>
      </c>
      <c r="D528" s="382" t="s">
        <v>86</v>
      </c>
      <c r="E528" s="65"/>
      <c r="F528" s="22"/>
      <c r="G528" s="33" t="s">
        <v>502</v>
      </c>
      <c r="H528" s="456" t="s">
        <v>88</v>
      </c>
      <c r="I528" s="33"/>
      <c r="J528" s="22"/>
      <c r="K528" s="33"/>
      <c r="L528" s="25"/>
      <c r="M528" s="25"/>
      <c r="N528" s="52">
        <v>1</v>
      </c>
      <c r="O528" s="22"/>
      <c r="P528" s="51">
        <v>99.99</v>
      </c>
      <c r="Q528" s="28">
        <f t="shared" si="46"/>
        <v>99.99</v>
      </c>
      <c r="R528" s="35"/>
      <c r="S528" s="35"/>
      <c r="T528" s="35"/>
      <c r="U528" s="35"/>
      <c r="V528" s="22" t="s">
        <v>1305</v>
      </c>
      <c r="W528" s="22" t="s">
        <v>1306</v>
      </c>
      <c r="X528" s="22"/>
      <c r="Y528" s="22"/>
      <c r="Z528" s="29">
        <v>43529</v>
      </c>
      <c r="AA528" s="29"/>
      <c r="AB528" s="29">
        <v>43546</v>
      </c>
      <c r="AC528" s="29"/>
      <c r="AD528" s="29"/>
      <c r="AE528" s="29"/>
      <c r="AF528" s="22" t="s">
        <v>1307</v>
      </c>
      <c r="AG528" s="29" t="s">
        <v>914</v>
      </c>
      <c r="AH528" s="519"/>
      <c r="AI528" s="144"/>
      <c r="AJ528" s="143"/>
      <c r="AK528" s="143"/>
      <c r="AL528" s="143"/>
      <c r="AM528" s="143">
        <f>Q528</f>
        <v>99.99</v>
      </c>
      <c r="AN528" s="143"/>
      <c r="AO528" s="143"/>
      <c r="AP528" s="143"/>
      <c r="AQ528" s="143"/>
      <c r="AR528" s="143"/>
    </row>
    <row r="529" spans="1:44" ht="12.75" customHeight="1" x14ac:dyDescent="0.25">
      <c r="A529" s="22"/>
      <c r="B529" s="352">
        <v>5</v>
      </c>
      <c r="C529" s="49">
        <v>4</v>
      </c>
      <c r="D529" s="382" t="s">
        <v>86</v>
      </c>
      <c r="E529" s="65"/>
      <c r="F529" s="22"/>
      <c r="G529" s="33" t="s">
        <v>497</v>
      </c>
      <c r="H529" s="456" t="s">
        <v>88</v>
      </c>
      <c r="I529" s="33"/>
      <c r="J529" s="22"/>
      <c r="K529" s="33"/>
      <c r="L529" s="25"/>
      <c r="M529" s="25"/>
      <c r="N529" s="52">
        <v>1</v>
      </c>
      <c r="O529" s="22"/>
      <c r="P529" s="51">
        <v>1270</v>
      </c>
      <c r="Q529" s="28">
        <f t="shared" si="46"/>
        <v>1270</v>
      </c>
      <c r="R529" s="35"/>
      <c r="S529" s="35"/>
      <c r="T529" s="35"/>
      <c r="U529" s="35"/>
      <c r="V529" s="22" t="s">
        <v>1305</v>
      </c>
      <c r="W529" s="22" t="s">
        <v>1306</v>
      </c>
      <c r="X529" s="22"/>
      <c r="Y529" s="22"/>
      <c r="Z529" s="29">
        <v>43529</v>
      </c>
      <c r="AA529" s="29"/>
      <c r="AB529" s="29">
        <v>43546</v>
      </c>
      <c r="AC529" s="29"/>
      <c r="AD529" s="29"/>
      <c r="AE529" s="29"/>
      <c r="AF529" s="22" t="s">
        <v>1307</v>
      </c>
      <c r="AG529" s="29" t="s">
        <v>914</v>
      </c>
      <c r="AH529" s="519"/>
      <c r="AI529" s="144"/>
      <c r="AJ529" s="143"/>
      <c r="AK529" s="143"/>
      <c r="AL529" s="143"/>
      <c r="AM529" s="143">
        <f>Q529</f>
        <v>1270</v>
      </c>
      <c r="AN529" s="143"/>
      <c r="AO529" s="143"/>
      <c r="AP529" s="143"/>
      <c r="AQ529" s="143"/>
      <c r="AR529" s="143"/>
    </row>
    <row r="530" spans="1:44" ht="12.75" customHeight="1" x14ac:dyDescent="0.25">
      <c r="A530" s="22" t="s">
        <v>1280</v>
      </c>
      <c r="B530" s="352">
        <v>5</v>
      </c>
      <c r="C530" s="49">
        <v>4</v>
      </c>
      <c r="D530" s="382" t="s">
        <v>86</v>
      </c>
      <c r="E530" s="65"/>
      <c r="F530" s="22"/>
      <c r="G530" s="33" t="s">
        <v>1308</v>
      </c>
      <c r="H530" s="456" t="s">
        <v>88</v>
      </c>
      <c r="I530" s="33"/>
      <c r="J530" s="22"/>
      <c r="K530" s="33"/>
      <c r="L530" s="25"/>
      <c r="M530" s="25"/>
      <c r="N530" s="52">
        <v>1</v>
      </c>
      <c r="O530" s="22"/>
      <c r="P530" s="51">
        <v>823.68</v>
      </c>
      <c r="Q530" s="28">
        <f t="shared" si="46"/>
        <v>823.68</v>
      </c>
      <c r="R530" s="35"/>
      <c r="S530" s="35">
        <v>647.42999999999995</v>
      </c>
      <c r="T530" s="35"/>
      <c r="U530" s="35">
        <f>Q530-S530</f>
        <v>176.25</v>
      </c>
      <c r="V530" s="22" t="s">
        <v>1309</v>
      </c>
      <c r="W530" s="22" t="s">
        <v>1310</v>
      </c>
      <c r="X530" s="22"/>
      <c r="Y530" s="22"/>
      <c r="Z530" s="29">
        <v>43391</v>
      </c>
      <c r="AA530" s="29"/>
      <c r="AB530" s="29">
        <v>43404</v>
      </c>
      <c r="AC530" s="36">
        <v>43402</v>
      </c>
      <c r="AD530" s="29"/>
      <c r="AE530" s="29"/>
      <c r="AF530" s="22"/>
      <c r="AG530" s="29" t="s">
        <v>98</v>
      </c>
      <c r="AH530" s="519">
        <v>647.42999999999995</v>
      </c>
      <c r="AI530" s="144"/>
      <c r="AJ530" s="143"/>
      <c r="AK530" s="143"/>
      <c r="AL530" s="143"/>
      <c r="AM530" s="143"/>
      <c r="AN530" s="143"/>
      <c r="AO530" s="143"/>
      <c r="AP530" s="143"/>
      <c r="AQ530" s="143"/>
      <c r="AR530" s="143"/>
    </row>
    <row r="531" spans="1:44" ht="26.4" x14ac:dyDescent="0.25">
      <c r="A531" s="22"/>
      <c r="B531" s="352" t="s">
        <v>1939</v>
      </c>
      <c r="C531" s="49">
        <v>4</v>
      </c>
      <c r="D531" s="457" t="s">
        <v>1311</v>
      </c>
      <c r="E531" s="65"/>
      <c r="F531" s="22"/>
      <c r="G531" s="33" t="s">
        <v>1312</v>
      </c>
      <c r="H531" s="456" t="s">
        <v>330</v>
      </c>
      <c r="I531" s="33"/>
      <c r="J531" s="22"/>
      <c r="K531" s="33"/>
      <c r="L531" s="25"/>
      <c r="M531" s="25"/>
      <c r="N531" s="52">
        <v>4</v>
      </c>
      <c r="O531" s="22"/>
      <c r="P531" s="51"/>
      <c r="Q531" s="28"/>
      <c r="R531" s="35"/>
      <c r="S531" s="35">
        <v>2459.88</v>
      </c>
      <c r="T531" s="35"/>
      <c r="U531" s="35">
        <f>Q531-S531</f>
        <v>-2459.88</v>
      </c>
      <c r="V531" s="22" t="s">
        <v>1313</v>
      </c>
      <c r="W531" s="22" t="s">
        <v>1314</v>
      </c>
      <c r="X531" s="22"/>
      <c r="Y531" s="22"/>
      <c r="Z531" s="29">
        <v>43452</v>
      </c>
      <c r="AA531" s="29"/>
      <c r="AB531" s="29">
        <v>43465</v>
      </c>
      <c r="AC531" s="36">
        <v>43493</v>
      </c>
      <c r="AD531" s="29"/>
      <c r="AE531" s="29"/>
      <c r="AF531" s="22"/>
      <c r="AG531" s="29" t="s">
        <v>98</v>
      </c>
      <c r="AH531" s="519">
        <v>2459.88</v>
      </c>
      <c r="AI531" s="144"/>
      <c r="AJ531" s="143"/>
      <c r="AK531" s="143"/>
      <c r="AL531" s="143"/>
      <c r="AM531" s="143"/>
      <c r="AN531" s="143"/>
      <c r="AO531" s="143"/>
      <c r="AP531" s="143"/>
      <c r="AQ531" s="143"/>
      <c r="AR531" s="143"/>
    </row>
    <row r="532" spans="1:44" ht="25.5" customHeight="1" x14ac:dyDescent="0.25">
      <c r="A532" s="22"/>
      <c r="B532" s="352">
        <v>5</v>
      </c>
      <c r="C532" s="49">
        <v>4</v>
      </c>
      <c r="D532" s="382" t="s">
        <v>86</v>
      </c>
      <c r="E532" s="65"/>
      <c r="F532" s="22"/>
      <c r="G532" s="33" t="s">
        <v>1315</v>
      </c>
      <c r="H532" s="456" t="s">
        <v>88</v>
      </c>
      <c r="I532" s="33"/>
      <c r="J532" s="22"/>
      <c r="K532" s="33" t="s">
        <v>1316</v>
      </c>
      <c r="L532" s="25"/>
      <c r="M532" s="25"/>
      <c r="N532" s="52">
        <v>1</v>
      </c>
      <c r="O532" s="22"/>
      <c r="P532" s="437">
        <v>169.99</v>
      </c>
      <c r="Q532" s="28">
        <f t="shared" si="46"/>
        <v>169.99</v>
      </c>
      <c r="R532" s="35"/>
      <c r="S532" s="35"/>
      <c r="T532" s="35"/>
      <c r="U532" s="35"/>
      <c r="V532" s="22" t="s">
        <v>1305</v>
      </c>
      <c r="W532" s="22" t="s">
        <v>1317</v>
      </c>
      <c r="X532" s="22"/>
      <c r="Y532" s="22"/>
      <c r="Z532" s="29"/>
      <c r="AA532" s="29"/>
      <c r="AB532" s="29"/>
      <c r="AC532" s="29"/>
      <c r="AD532" s="29"/>
      <c r="AE532" s="29"/>
      <c r="AF532" s="22" t="s">
        <v>1318</v>
      </c>
      <c r="AG532" s="29"/>
      <c r="AH532" s="519"/>
      <c r="AI532" s="144"/>
      <c r="AJ532" s="143"/>
      <c r="AL532" s="143"/>
      <c r="AM532" s="143">
        <f>Q532</f>
        <v>169.99</v>
      </c>
      <c r="AN532" s="143"/>
      <c r="AO532" s="143"/>
      <c r="AP532" s="143"/>
      <c r="AQ532" s="143"/>
      <c r="AR532" s="143"/>
    </row>
    <row r="533" spans="1:44" ht="25.5" customHeight="1" x14ac:dyDescent="0.25">
      <c r="A533" s="22"/>
      <c r="B533" s="352">
        <v>5</v>
      </c>
      <c r="C533" s="49">
        <v>4</v>
      </c>
      <c r="D533" s="382" t="s">
        <v>86</v>
      </c>
      <c r="E533" s="65"/>
      <c r="F533" s="22"/>
      <c r="G533" s="33" t="s">
        <v>493</v>
      </c>
      <c r="H533" s="456" t="s">
        <v>88</v>
      </c>
      <c r="I533" s="33"/>
      <c r="J533" s="22"/>
      <c r="K533" s="33"/>
      <c r="L533" s="25"/>
      <c r="M533" s="25"/>
      <c r="N533" s="52">
        <v>2</v>
      </c>
      <c r="O533" s="22"/>
      <c r="P533" s="51">
        <v>6422</v>
      </c>
      <c r="Q533" s="28">
        <f t="shared" si="46"/>
        <v>12844</v>
      </c>
      <c r="R533" s="35"/>
      <c r="S533" s="35">
        <v>8889.06</v>
      </c>
      <c r="T533" s="35"/>
      <c r="U533" s="35">
        <f>Q533-S533</f>
        <v>3954.9400000000005</v>
      </c>
      <c r="V533" s="22" t="s">
        <v>1319</v>
      </c>
      <c r="W533" s="22" t="s">
        <v>1320</v>
      </c>
      <c r="X533" s="22"/>
      <c r="Y533" s="22"/>
      <c r="Z533" s="29">
        <v>43486</v>
      </c>
      <c r="AA533" s="29"/>
      <c r="AB533" s="29">
        <v>43502</v>
      </c>
      <c r="AC533" s="29">
        <v>43502</v>
      </c>
      <c r="AD533" s="29" t="s">
        <v>914</v>
      </c>
      <c r="AE533" s="29"/>
      <c r="AF533" s="22"/>
      <c r="AG533" s="29" t="s">
        <v>914</v>
      </c>
      <c r="AH533" s="519"/>
      <c r="AI533" s="144"/>
      <c r="AJ533" s="143"/>
      <c r="AK533" s="143"/>
      <c r="AL533" s="143"/>
      <c r="AM533" s="143">
        <f>S533</f>
        <v>8889.06</v>
      </c>
      <c r="AN533" s="143"/>
      <c r="AO533" s="143"/>
      <c r="AP533" s="143"/>
      <c r="AQ533" s="143"/>
      <c r="AR533" s="143"/>
    </row>
    <row r="534" spans="1:44" ht="26.4" x14ac:dyDescent="0.25">
      <c r="A534" s="22"/>
      <c r="B534" s="352">
        <v>5</v>
      </c>
      <c r="C534" s="49">
        <v>4</v>
      </c>
      <c r="D534" s="382" t="s">
        <v>86</v>
      </c>
      <c r="E534" s="65"/>
      <c r="F534" s="22"/>
      <c r="G534" s="33" t="s">
        <v>438</v>
      </c>
      <c r="H534" s="33"/>
      <c r="I534" s="33"/>
      <c r="J534" s="22"/>
      <c r="K534" s="33"/>
      <c r="L534" s="25"/>
      <c r="M534" s="25"/>
      <c r="N534" s="162">
        <v>1</v>
      </c>
      <c r="O534" s="22"/>
      <c r="P534" s="438">
        <v>23.99</v>
      </c>
      <c r="Q534" s="35">
        <f t="shared" si="46"/>
        <v>23.99</v>
      </c>
      <c r="R534" s="35"/>
      <c r="S534" s="35">
        <v>0</v>
      </c>
      <c r="T534" s="35"/>
      <c r="U534" s="35">
        <f>Q534-S534</f>
        <v>23.99</v>
      </c>
      <c r="V534" s="22" t="s">
        <v>1319</v>
      </c>
      <c r="W534" s="22" t="s">
        <v>1320</v>
      </c>
      <c r="X534" s="22"/>
      <c r="Y534" s="22"/>
      <c r="Z534" s="29">
        <v>43486</v>
      </c>
      <c r="AA534" s="29"/>
      <c r="AB534" s="29">
        <v>43502</v>
      </c>
      <c r="AC534" s="29">
        <v>43502</v>
      </c>
      <c r="AD534" s="29"/>
      <c r="AE534" s="29"/>
      <c r="AF534" s="22" t="s">
        <v>1321</v>
      </c>
      <c r="AG534" s="29" t="s">
        <v>914</v>
      </c>
      <c r="AH534" s="519"/>
      <c r="AI534" s="144"/>
      <c r="AJ534" s="143"/>
      <c r="AK534" s="143"/>
      <c r="AL534" s="143"/>
      <c r="AM534" s="143">
        <f>S534</f>
        <v>0</v>
      </c>
      <c r="AN534" s="143"/>
      <c r="AO534" s="143"/>
      <c r="AP534" s="143"/>
      <c r="AQ534" s="143"/>
      <c r="AR534" s="143"/>
    </row>
    <row r="535" spans="1:44" ht="12.75" hidden="1" customHeight="1" x14ac:dyDescent="0.25">
      <c r="A535" s="22"/>
      <c r="B535" s="352">
        <v>8</v>
      </c>
      <c r="C535" s="49">
        <v>4</v>
      </c>
      <c r="D535" s="382" t="s">
        <v>86</v>
      </c>
      <c r="E535" s="65"/>
      <c r="F535" s="22"/>
      <c r="G535" s="33" t="s">
        <v>1322</v>
      </c>
      <c r="H535" s="33" t="s">
        <v>88</v>
      </c>
      <c r="I535" s="33"/>
      <c r="J535" s="22"/>
      <c r="K535" s="33"/>
      <c r="L535" s="25"/>
      <c r="M535" s="25"/>
      <c r="N535" s="52">
        <v>1</v>
      </c>
      <c r="O535" s="22"/>
      <c r="P535" s="51">
        <v>55000</v>
      </c>
      <c r="Q535" s="28">
        <f t="shared" ref="Q535:Q550" si="50">N535*P535</f>
        <v>55000</v>
      </c>
      <c r="R535" s="35"/>
      <c r="S535" s="35"/>
      <c r="T535" s="35"/>
      <c r="U535" s="35"/>
      <c r="V535" s="22"/>
      <c r="W535" s="22"/>
      <c r="X535" s="22"/>
      <c r="Y535" s="22"/>
      <c r="Z535" s="29"/>
      <c r="AA535" s="29"/>
      <c r="AB535" s="29"/>
      <c r="AC535" s="29"/>
      <c r="AD535" s="29"/>
      <c r="AE535" s="29"/>
      <c r="AF535" s="22" t="s">
        <v>1323</v>
      </c>
      <c r="AG535" s="29"/>
      <c r="AH535" s="519"/>
      <c r="AI535" s="22"/>
      <c r="AJ535" s="28"/>
      <c r="AK535" s="28"/>
      <c r="AL535" s="22"/>
      <c r="AM535" s="22"/>
      <c r="AN535" s="22"/>
      <c r="AO535" s="22"/>
      <c r="AP535" s="22"/>
      <c r="AQ535" s="22"/>
      <c r="AR535" s="22"/>
    </row>
    <row r="536" spans="1:44" ht="12.75" hidden="1" customHeight="1" x14ac:dyDescent="0.25">
      <c r="A536" s="22"/>
      <c r="B536" s="352">
        <v>8</v>
      </c>
      <c r="C536" s="49">
        <v>4</v>
      </c>
      <c r="D536" s="382" t="s">
        <v>86</v>
      </c>
      <c r="E536" s="65"/>
      <c r="F536" s="22"/>
      <c r="G536" s="33" t="s">
        <v>1324</v>
      </c>
      <c r="H536" s="33" t="s">
        <v>88</v>
      </c>
      <c r="I536" s="33"/>
      <c r="J536" s="22"/>
      <c r="K536" s="33"/>
      <c r="L536" s="25"/>
      <c r="M536" s="25"/>
      <c r="N536" s="52">
        <v>1</v>
      </c>
      <c r="O536" s="22"/>
      <c r="P536" s="51">
        <v>278.11</v>
      </c>
      <c r="Q536" s="28">
        <f t="shared" si="50"/>
        <v>278.11</v>
      </c>
      <c r="R536" s="35"/>
      <c r="S536" s="35"/>
      <c r="T536" s="35"/>
      <c r="U536" s="35"/>
      <c r="V536" s="22"/>
      <c r="W536" s="22"/>
      <c r="X536" s="22"/>
      <c r="Y536" s="22"/>
      <c r="Z536" s="29"/>
      <c r="AA536" s="29"/>
      <c r="AB536" s="29"/>
      <c r="AC536" s="29"/>
      <c r="AD536" s="29"/>
      <c r="AE536" s="29"/>
      <c r="AF536" s="22"/>
      <c r="AG536" s="29"/>
      <c r="AH536" s="519"/>
      <c r="AI536" s="22"/>
      <c r="AJ536" s="28"/>
      <c r="AK536" s="28"/>
      <c r="AL536" s="22"/>
      <c r="AM536" s="22"/>
      <c r="AN536" s="22"/>
      <c r="AO536" s="22"/>
      <c r="AP536" s="22"/>
      <c r="AQ536" s="22"/>
      <c r="AR536" s="22"/>
    </row>
    <row r="537" spans="1:44" ht="12.75" hidden="1" customHeight="1" x14ac:dyDescent="0.25">
      <c r="A537" s="22"/>
      <c r="B537" s="352">
        <v>8</v>
      </c>
      <c r="C537" s="49">
        <v>4</v>
      </c>
      <c r="D537" s="382" t="s">
        <v>86</v>
      </c>
      <c r="E537" s="65"/>
      <c r="F537" s="22"/>
      <c r="G537" s="33" t="s">
        <v>1325</v>
      </c>
      <c r="H537" s="33" t="s">
        <v>88</v>
      </c>
      <c r="I537" s="33"/>
      <c r="J537" s="22"/>
      <c r="K537" s="33"/>
      <c r="L537" s="25"/>
      <c r="M537" s="25"/>
      <c r="N537" s="52">
        <v>1</v>
      </c>
      <c r="O537" s="22"/>
      <c r="P537" s="51">
        <v>70.349999999999994</v>
      </c>
      <c r="Q537" s="28">
        <f t="shared" si="50"/>
        <v>70.349999999999994</v>
      </c>
      <c r="R537" s="35"/>
      <c r="S537" s="35"/>
      <c r="T537" s="35"/>
      <c r="U537" s="35"/>
      <c r="V537" s="22"/>
      <c r="W537" s="22"/>
      <c r="X537" s="22"/>
      <c r="Y537" s="22"/>
      <c r="Z537" s="29"/>
      <c r="AA537" s="29"/>
      <c r="AB537" s="29"/>
      <c r="AC537" s="29"/>
      <c r="AD537" s="29"/>
      <c r="AE537" s="29"/>
      <c r="AF537" s="22"/>
      <c r="AG537" s="29"/>
      <c r="AH537" s="519"/>
      <c r="AI537" s="22"/>
      <c r="AJ537" s="28"/>
      <c r="AK537" s="28"/>
      <c r="AL537" s="22"/>
      <c r="AM537" s="22"/>
      <c r="AN537" s="22"/>
      <c r="AO537" s="22"/>
      <c r="AP537" s="22"/>
      <c r="AQ537" s="22"/>
      <c r="AR537" s="22"/>
    </row>
    <row r="538" spans="1:44" ht="12.75" hidden="1" customHeight="1" x14ac:dyDescent="0.25">
      <c r="A538" s="22"/>
      <c r="B538" s="352">
        <v>8</v>
      </c>
      <c r="C538" s="49">
        <v>4</v>
      </c>
      <c r="D538" s="382" t="s">
        <v>86</v>
      </c>
      <c r="E538" s="65"/>
      <c r="F538" s="22"/>
      <c r="G538" s="33" t="s">
        <v>1326</v>
      </c>
      <c r="H538" s="33" t="s">
        <v>88</v>
      </c>
      <c r="I538" s="33"/>
      <c r="J538" s="22"/>
      <c r="K538" s="33"/>
      <c r="L538" s="25"/>
      <c r="M538" s="25"/>
      <c r="N538" s="52">
        <v>1</v>
      </c>
      <c r="O538" s="22"/>
      <c r="P538" s="51">
        <v>29</v>
      </c>
      <c r="Q538" s="28">
        <f t="shared" si="50"/>
        <v>29</v>
      </c>
      <c r="R538" s="35"/>
      <c r="S538" s="35"/>
      <c r="T538" s="35"/>
      <c r="U538" s="35"/>
      <c r="V538" s="22"/>
      <c r="W538" s="22"/>
      <c r="X538" s="22"/>
      <c r="Y538" s="22"/>
      <c r="Z538" s="29"/>
      <c r="AA538" s="29"/>
      <c r="AB538" s="29"/>
      <c r="AC538" s="29"/>
      <c r="AD538" s="29"/>
      <c r="AE538" s="29"/>
      <c r="AF538" s="22"/>
      <c r="AG538" s="29"/>
      <c r="AH538" s="519"/>
      <c r="AI538" s="22"/>
      <c r="AJ538" s="28"/>
      <c r="AK538" s="28"/>
      <c r="AL538" s="22"/>
      <c r="AM538" s="22"/>
      <c r="AN538" s="22"/>
      <c r="AO538" s="22"/>
      <c r="AP538" s="22"/>
      <c r="AQ538" s="22"/>
      <c r="AR538" s="22"/>
    </row>
    <row r="539" spans="1:44" ht="12.75" hidden="1" customHeight="1" x14ac:dyDescent="0.25">
      <c r="A539" s="22"/>
      <c r="B539" s="352">
        <v>8</v>
      </c>
      <c r="C539" s="49">
        <v>4</v>
      </c>
      <c r="D539" s="382" t="s">
        <v>86</v>
      </c>
      <c r="E539" s="65"/>
      <c r="F539" s="22"/>
      <c r="G539" s="33" t="s">
        <v>1327</v>
      </c>
      <c r="H539" s="33" t="s">
        <v>88</v>
      </c>
      <c r="I539" s="33"/>
      <c r="J539" s="22"/>
      <c r="K539" s="33"/>
      <c r="L539" s="25"/>
      <c r="M539" s="25"/>
      <c r="N539" s="52">
        <v>1</v>
      </c>
      <c r="O539" s="22"/>
      <c r="P539" s="51">
        <v>184</v>
      </c>
      <c r="Q539" s="28">
        <f t="shared" si="50"/>
        <v>184</v>
      </c>
      <c r="R539" s="35"/>
      <c r="S539" s="35"/>
      <c r="T539" s="35"/>
      <c r="U539" s="35"/>
      <c r="V539" s="22"/>
      <c r="W539" s="22"/>
      <c r="X539" s="22"/>
      <c r="Y539" s="22"/>
      <c r="Z539" s="29"/>
      <c r="AA539" s="29"/>
      <c r="AB539" s="29"/>
      <c r="AC539" s="29"/>
      <c r="AD539" s="29"/>
      <c r="AE539" s="29"/>
      <c r="AF539" s="22"/>
      <c r="AG539" s="29"/>
      <c r="AH539" s="519"/>
      <c r="AI539" s="22"/>
      <c r="AJ539" s="28"/>
      <c r="AK539" s="28"/>
      <c r="AL539" s="22"/>
      <c r="AM539" s="22"/>
      <c r="AN539" s="22"/>
      <c r="AO539" s="22"/>
      <c r="AP539" s="22"/>
      <c r="AQ539" s="22"/>
      <c r="AR539" s="22"/>
    </row>
    <row r="540" spans="1:44" ht="12.75" hidden="1" customHeight="1" x14ac:dyDescent="0.25">
      <c r="A540" s="22"/>
      <c r="B540" s="352">
        <v>8</v>
      </c>
      <c r="C540" s="49">
        <v>4</v>
      </c>
      <c r="D540" s="382" t="s">
        <v>86</v>
      </c>
      <c r="E540" s="65"/>
      <c r="F540" s="22"/>
      <c r="G540" s="33" t="s">
        <v>1328</v>
      </c>
      <c r="H540" s="33" t="s">
        <v>88</v>
      </c>
      <c r="I540" s="33"/>
      <c r="J540" s="22"/>
      <c r="K540" s="33"/>
      <c r="L540" s="25"/>
      <c r="M540" s="25"/>
      <c r="N540" s="52">
        <v>2</v>
      </c>
      <c r="O540" s="22"/>
      <c r="P540" s="51">
        <v>39</v>
      </c>
      <c r="Q540" s="28">
        <f t="shared" si="50"/>
        <v>78</v>
      </c>
      <c r="R540" s="35"/>
      <c r="S540" s="35"/>
      <c r="T540" s="35"/>
      <c r="U540" s="35"/>
      <c r="V540" s="22"/>
      <c r="W540" s="22"/>
      <c r="X540" s="22"/>
      <c r="Y540" s="22"/>
      <c r="Z540" s="29"/>
      <c r="AA540" s="29"/>
      <c r="AB540" s="29"/>
      <c r="AC540" s="29"/>
      <c r="AD540" s="29"/>
      <c r="AE540" s="29"/>
      <c r="AF540" s="22"/>
      <c r="AG540" s="29"/>
      <c r="AH540" s="519"/>
      <c r="AI540" s="22"/>
      <c r="AJ540" s="28"/>
      <c r="AK540" s="28"/>
      <c r="AL540" s="22"/>
      <c r="AM540" s="22"/>
      <c r="AN540" s="22"/>
      <c r="AO540" s="22"/>
      <c r="AP540" s="22"/>
      <c r="AQ540" s="22"/>
      <c r="AR540" s="22"/>
    </row>
    <row r="541" spans="1:44" ht="12.75" hidden="1" customHeight="1" x14ac:dyDescent="0.25">
      <c r="A541" s="22"/>
      <c r="B541" s="352">
        <v>8</v>
      </c>
      <c r="C541" s="49">
        <v>4</v>
      </c>
      <c r="D541" s="382" t="s">
        <v>86</v>
      </c>
      <c r="E541" s="65"/>
      <c r="F541" s="22"/>
      <c r="G541" s="33" t="s">
        <v>1329</v>
      </c>
      <c r="H541" s="33" t="s">
        <v>88</v>
      </c>
      <c r="I541" s="33"/>
      <c r="J541" s="22"/>
      <c r="K541" s="33"/>
      <c r="L541" s="25"/>
      <c r="M541" s="25"/>
      <c r="N541" s="52">
        <v>4</v>
      </c>
      <c r="O541" s="22"/>
      <c r="P541" s="51">
        <v>250</v>
      </c>
      <c r="Q541" s="28">
        <f t="shared" si="50"/>
        <v>1000</v>
      </c>
      <c r="R541" s="35"/>
      <c r="S541" s="35"/>
      <c r="T541" s="35"/>
      <c r="U541" s="35"/>
      <c r="V541" s="22"/>
      <c r="W541" s="22"/>
      <c r="X541" s="22"/>
      <c r="Y541" s="22"/>
      <c r="Z541" s="29"/>
      <c r="AA541" s="29"/>
      <c r="AB541" s="29"/>
      <c r="AC541" s="29"/>
      <c r="AD541" s="29"/>
      <c r="AE541" s="29"/>
      <c r="AF541" s="22"/>
      <c r="AG541" s="29"/>
      <c r="AH541" s="519"/>
      <c r="AI541" s="22"/>
      <c r="AJ541" s="28"/>
      <c r="AK541" s="28"/>
      <c r="AL541" s="22"/>
      <c r="AM541" s="22"/>
      <c r="AN541" s="22"/>
      <c r="AO541" s="22"/>
      <c r="AP541" s="22"/>
      <c r="AQ541" s="22"/>
      <c r="AR541" s="22"/>
    </row>
    <row r="542" spans="1:44" ht="12.75" hidden="1" customHeight="1" x14ac:dyDescent="0.25">
      <c r="A542" s="22"/>
      <c r="B542" s="352">
        <v>8</v>
      </c>
      <c r="C542" s="49">
        <v>4</v>
      </c>
      <c r="D542" s="382" t="s">
        <v>86</v>
      </c>
      <c r="E542" s="65"/>
      <c r="F542" s="22"/>
      <c r="G542" s="33" t="s">
        <v>113</v>
      </c>
      <c r="H542" s="33" t="s">
        <v>88</v>
      </c>
      <c r="I542" s="33"/>
      <c r="J542" s="22"/>
      <c r="K542" s="33"/>
      <c r="L542" s="25"/>
      <c r="M542" s="25"/>
      <c r="N542" s="52">
        <v>1</v>
      </c>
      <c r="O542" s="22"/>
      <c r="P542" s="51">
        <v>749.99</v>
      </c>
      <c r="Q542" s="28">
        <f t="shared" si="50"/>
        <v>749.99</v>
      </c>
      <c r="R542" s="35"/>
      <c r="S542" s="35"/>
      <c r="T542" s="35"/>
      <c r="U542" s="35"/>
      <c r="V542" s="22"/>
      <c r="W542" s="22"/>
      <c r="X542" s="22"/>
      <c r="Y542" s="22"/>
      <c r="Z542" s="29"/>
      <c r="AA542" s="29"/>
      <c r="AB542" s="29"/>
      <c r="AC542" s="29"/>
      <c r="AD542" s="29"/>
      <c r="AE542" s="29"/>
      <c r="AF542" s="22"/>
      <c r="AG542" s="29"/>
      <c r="AH542" s="519"/>
      <c r="AI542" s="22"/>
      <c r="AJ542" s="28"/>
      <c r="AK542" s="28"/>
      <c r="AL542" s="22"/>
      <c r="AM542" s="22"/>
      <c r="AN542" s="22"/>
      <c r="AO542" s="22"/>
      <c r="AP542" s="22"/>
      <c r="AQ542" s="22"/>
      <c r="AR542" s="22"/>
    </row>
    <row r="543" spans="1:44" ht="12.75" hidden="1" customHeight="1" x14ac:dyDescent="0.25">
      <c r="A543" s="22"/>
      <c r="B543" s="352">
        <v>8</v>
      </c>
      <c r="C543" s="49">
        <v>4</v>
      </c>
      <c r="D543" s="382" t="s">
        <v>86</v>
      </c>
      <c r="E543" s="65"/>
      <c r="F543" s="22"/>
      <c r="G543" s="33" t="s">
        <v>1330</v>
      </c>
      <c r="H543" s="33" t="s">
        <v>88</v>
      </c>
      <c r="I543" s="33"/>
      <c r="J543" s="22"/>
      <c r="K543" s="33"/>
      <c r="L543" s="25"/>
      <c r="M543" s="25"/>
      <c r="N543" s="52">
        <v>1</v>
      </c>
      <c r="O543" s="22"/>
      <c r="P543" s="51">
        <v>150</v>
      </c>
      <c r="Q543" s="28">
        <f t="shared" si="50"/>
        <v>150</v>
      </c>
      <c r="R543" s="35"/>
      <c r="S543" s="35"/>
      <c r="T543" s="35"/>
      <c r="U543" s="35"/>
      <c r="V543" s="22"/>
      <c r="W543" s="22"/>
      <c r="X543" s="22"/>
      <c r="Y543" s="22"/>
      <c r="Z543" s="29"/>
      <c r="AA543" s="29"/>
      <c r="AB543" s="29"/>
      <c r="AC543" s="29"/>
      <c r="AD543" s="29"/>
      <c r="AE543" s="29"/>
      <c r="AF543" s="22"/>
      <c r="AG543" s="29"/>
      <c r="AH543" s="519"/>
      <c r="AI543" s="22"/>
      <c r="AJ543" s="28"/>
      <c r="AK543" s="28"/>
      <c r="AL543" s="22"/>
      <c r="AM543" s="22"/>
      <c r="AN543" s="22"/>
      <c r="AO543" s="22"/>
      <c r="AP543" s="22"/>
      <c r="AQ543" s="22"/>
      <c r="AR543" s="22"/>
    </row>
    <row r="544" spans="1:44" ht="12.75" hidden="1" customHeight="1" x14ac:dyDescent="0.25">
      <c r="A544" s="22"/>
      <c r="B544" s="352">
        <v>8</v>
      </c>
      <c r="C544" s="49">
        <v>4</v>
      </c>
      <c r="D544" s="382" t="s">
        <v>86</v>
      </c>
      <c r="E544" s="65"/>
      <c r="F544" s="22"/>
      <c r="G544" s="33" t="s">
        <v>1331</v>
      </c>
      <c r="H544" s="33" t="s">
        <v>88</v>
      </c>
      <c r="I544" s="33"/>
      <c r="J544" s="22"/>
      <c r="K544" s="33"/>
      <c r="L544" s="25"/>
      <c r="M544" s="25"/>
      <c r="N544" s="52">
        <v>1</v>
      </c>
      <c r="O544" s="22"/>
      <c r="P544" s="51">
        <v>29</v>
      </c>
      <c r="Q544" s="28">
        <f t="shared" si="50"/>
        <v>29</v>
      </c>
      <c r="R544" s="35"/>
      <c r="S544" s="35"/>
      <c r="T544" s="35"/>
      <c r="U544" s="35"/>
      <c r="V544" s="22"/>
      <c r="W544" s="22"/>
      <c r="X544" s="22"/>
      <c r="Y544" s="22"/>
      <c r="Z544" s="29"/>
      <c r="AA544" s="29"/>
      <c r="AB544" s="29"/>
      <c r="AC544" s="29"/>
      <c r="AD544" s="29"/>
      <c r="AE544" s="29"/>
      <c r="AF544" s="22"/>
      <c r="AG544" s="29"/>
      <c r="AH544" s="519"/>
      <c r="AI544" s="22"/>
      <c r="AJ544" s="28"/>
      <c r="AK544" s="28"/>
      <c r="AL544" s="22"/>
      <c r="AM544" s="22"/>
      <c r="AN544" s="22"/>
      <c r="AO544" s="22"/>
      <c r="AP544" s="22"/>
      <c r="AQ544" s="22"/>
      <c r="AR544" s="22"/>
    </row>
    <row r="545" spans="1:44" ht="12.75" hidden="1" customHeight="1" x14ac:dyDescent="0.25">
      <c r="A545" s="22"/>
      <c r="B545" s="352">
        <v>8</v>
      </c>
      <c r="C545" s="49">
        <v>4</v>
      </c>
      <c r="D545" s="382" t="s">
        <v>86</v>
      </c>
      <c r="E545" s="65"/>
      <c r="F545" s="22"/>
      <c r="G545" s="33" t="s">
        <v>1332</v>
      </c>
      <c r="H545" s="33" t="s">
        <v>88</v>
      </c>
      <c r="I545" s="33"/>
      <c r="J545" s="22"/>
      <c r="K545" s="33"/>
      <c r="L545" s="25"/>
      <c r="M545" s="25"/>
      <c r="N545" s="52">
        <v>4</v>
      </c>
      <c r="O545" s="22"/>
      <c r="P545" s="51">
        <v>69</v>
      </c>
      <c r="Q545" s="28">
        <f t="shared" si="50"/>
        <v>276</v>
      </c>
      <c r="R545" s="35"/>
      <c r="S545" s="35"/>
      <c r="T545" s="35"/>
      <c r="U545" s="35"/>
      <c r="V545" s="22"/>
      <c r="W545" s="22"/>
      <c r="X545" s="22"/>
      <c r="Y545" s="22"/>
      <c r="Z545" s="29"/>
      <c r="AA545" s="29"/>
      <c r="AB545" s="29"/>
      <c r="AC545" s="29"/>
      <c r="AD545" s="29"/>
      <c r="AE545" s="29"/>
      <c r="AF545" s="22"/>
      <c r="AG545" s="29"/>
      <c r="AH545" s="519"/>
      <c r="AI545" s="22"/>
      <c r="AJ545" s="28"/>
      <c r="AK545" s="28"/>
      <c r="AL545" s="22"/>
      <c r="AM545" s="22"/>
      <c r="AN545" s="22"/>
      <c r="AO545" s="22"/>
      <c r="AP545" s="22"/>
      <c r="AQ545" s="22"/>
      <c r="AR545" s="22"/>
    </row>
    <row r="546" spans="1:44" ht="12.75" hidden="1" customHeight="1" x14ac:dyDescent="0.25">
      <c r="A546" s="22"/>
      <c r="B546" s="352">
        <v>8</v>
      </c>
      <c r="C546" s="49">
        <v>4</v>
      </c>
      <c r="D546" s="382" t="s">
        <v>86</v>
      </c>
      <c r="E546" s="65"/>
      <c r="F546" s="22"/>
      <c r="G546" s="33" t="s">
        <v>1333</v>
      </c>
      <c r="H546" s="33" t="s">
        <v>116</v>
      </c>
      <c r="I546" s="33"/>
      <c r="J546" s="22"/>
      <c r="K546" s="33"/>
      <c r="L546" s="25"/>
      <c r="M546" s="25"/>
      <c r="N546" s="52">
        <v>1</v>
      </c>
      <c r="O546" s="22"/>
      <c r="P546" s="51">
        <v>5200</v>
      </c>
      <c r="Q546" s="28">
        <f t="shared" si="50"/>
        <v>5200</v>
      </c>
      <c r="R546" s="35"/>
      <c r="S546" s="35"/>
      <c r="T546" s="35"/>
      <c r="U546" s="35"/>
      <c r="V546" s="22"/>
      <c r="W546" s="22"/>
      <c r="X546" s="22"/>
      <c r="Y546" s="22"/>
      <c r="Z546" s="29"/>
      <c r="AA546" s="29"/>
      <c r="AB546" s="29"/>
      <c r="AC546" s="29"/>
      <c r="AD546" s="29"/>
      <c r="AE546" s="29"/>
      <c r="AF546" s="22"/>
      <c r="AG546" s="29"/>
      <c r="AH546" s="519"/>
      <c r="AI546" s="22"/>
      <c r="AJ546" s="28"/>
      <c r="AK546" s="28"/>
      <c r="AL546" s="22"/>
      <c r="AM546" s="22"/>
      <c r="AN546" s="22"/>
      <c r="AO546" s="22"/>
      <c r="AP546" s="22"/>
      <c r="AQ546" s="22"/>
      <c r="AR546" s="22"/>
    </row>
    <row r="547" spans="1:44" ht="12.75" hidden="1" customHeight="1" x14ac:dyDescent="0.25">
      <c r="A547" s="22"/>
      <c r="B547" s="352">
        <v>8</v>
      </c>
      <c r="C547" s="49">
        <v>4</v>
      </c>
      <c r="D547" s="382" t="s">
        <v>86</v>
      </c>
      <c r="E547" s="65"/>
      <c r="F547" s="22"/>
      <c r="G547" s="33" t="s">
        <v>1334</v>
      </c>
      <c r="H547" s="33"/>
      <c r="I547" s="33"/>
      <c r="J547" s="22"/>
      <c r="K547" s="33"/>
      <c r="L547" s="25"/>
      <c r="M547" s="25"/>
      <c r="N547" s="52">
        <v>1</v>
      </c>
      <c r="O547" s="22"/>
      <c r="P547" s="51">
        <v>230</v>
      </c>
      <c r="Q547" s="28">
        <f t="shared" si="50"/>
        <v>230</v>
      </c>
      <c r="R547" s="35"/>
      <c r="S547" s="35"/>
      <c r="T547" s="35"/>
      <c r="U547" s="35"/>
      <c r="V547" s="22"/>
      <c r="W547" s="22"/>
      <c r="X547" s="22"/>
      <c r="Y547" s="22"/>
      <c r="Z547" s="29"/>
      <c r="AA547" s="29"/>
      <c r="AB547" s="29"/>
      <c r="AC547" s="29"/>
      <c r="AD547" s="29"/>
      <c r="AE547" s="29"/>
      <c r="AF547" s="22"/>
      <c r="AG547" s="29"/>
      <c r="AH547" s="519"/>
      <c r="AI547" s="22"/>
      <c r="AJ547" s="28"/>
      <c r="AK547" s="28"/>
      <c r="AL547" s="22"/>
      <c r="AM547" s="22"/>
      <c r="AN547" s="22"/>
      <c r="AO547" s="22"/>
      <c r="AP547" s="22"/>
      <c r="AQ547" s="22"/>
      <c r="AR547" s="22"/>
    </row>
    <row r="548" spans="1:44" ht="12.75" hidden="1" customHeight="1" x14ac:dyDescent="0.25">
      <c r="A548" s="22"/>
      <c r="B548" s="352">
        <v>8</v>
      </c>
      <c r="C548" s="49">
        <v>4</v>
      </c>
      <c r="D548" s="382" t="s">
        <v>86</v>
      </c>
      <c r="E548" s="65"/>
      <c r="F548" s="22"/>
      <c r="G548" s="33" t="s">
        <v>1335</v>
      </c>
      <c r="H548" s="33"/>
      <c r="I548" s="33"/>
      <c r="J548" s="22"/>
      <c r="K548" s="33"/>
      <c r="L548" s="25"/>
      <c r="M548" s="25"/>
      <c r="N548" s="52">
        <v>1</v>
      </c>
      <c r="O548" s="22"/>
      <c r="P548" s="51">
        <v>7500</v>
      </c>
      <c r="Q548" s="28">
        <f t="shared" si="50"/>
        <v>7500</v>
      </c>
      <c r="R548" s="35"/>
      <c r="S548" s="35"/>
      <c r="T548" s="35"/>
      <c r="U548" s="35"/>
      <c r="V548" s="22"/>
      <c r="W548" s="22"/>
      <c r="X548" s="22"/>
      <c r="Y548" s="22"/>
      <c r="Z548" s="29"/>
      <c r="AA548" s="29"/>
      <c r="AB548" s="29"/>
      <c r="AC548" s="29"/>
      <c r="AD548" s="29"/>
      <c r="AE548" s="29"/>
      <c r="AF548" s="22"/>
      <c r="AG548" s="29"/>
      <c r="AH548" s="519"/>
      <c r="AI548" s="22"/>
      <c r="AJ548" s="28"/>
      <c r="AK548" s="28"/>
      <c r="AL548" s="22"/>
      <c r="AM548" s="22"/>
      <c r="AN548" s="22"/>
      <c r="AO548" s="22"/>
      <c r="AP548" s="22"/>
      <c r="AQ548" s="22"/>
      <c r="AR548" s="22"/>
    </row>
    <row r="549" spans="1:44" ht="12.75" hidden="1" customHeight="1" x14ac:dyDescent="0.25">
      <c r="A549" s="22"/>
      <c r="B549" s="352">
        <v>8</v>
      </c>
      <c r="C549" s="49">
        <v>4</v>
      </c>
      <c r="D549" s="382" t="s">
        <v>86</v>
      </c>
      <c r="E549" s="65"/>
      <c r="F549" s="22"/>
      <c r="G549" s="33" t="s">
        <v>1336</v>
      </c>
      <c r="H549" s="33"/>
      <c r="I549" s="33"/>
      <c r="J549" s="22"/>
      <c r="K549" s="33"/>
      <c r="L549" s="25"/>
      <c r="M549" s="25"/>
      <c r="N549" s="52">
        <v>1</v>
      </c>
      <c r="O549" s="22"/>
      <c r="P549" s="51">
        <v>4500</v>
      </c>
      <c r="Q549" s="28">
        <f t="shared" si="50"/>
        <v>4500</v>
      </c>
      <c r="R549" s="35"/>
      <c r="S549" s="35"/>
      <c r="T549" s="35"/>
      <c r="U549" s="35"/>
      <c r="V549" s="22"/>
      <c r="W549" s="22"/>
      <c r="X549" s="22"/>
      <c r="Y549" s="22"/>
      <c r="Z549" s="29"/>
      <c r="AA549" s="29"/>
      <c r="AB549" s="29"/>
      <c r="AC549" s="29"/>
      <c r="AD549" s="29"/>
      <c r="AE549" s="29"/>
      <c r="AF549" s="22"/>
      <c r="AG549" s="29"/>
      <c r="AH549" s="519"/>
      <c r="AI549" s="22"/>
      <c r="AJ549" s="28"/>
      <c r="AK549" s="28"/>
      <c r="AL549" s="22"/>
      <c r="AM549" s="22"/>
      <c r="AN549" s="22"/>
      <c r="AO549" s="22"/>
      <c r="AP549" s="22"/>
      <c r="AQ549" s="22"/>
      <c r="AR549" s="22"/>
    </row>
    <row r="550" spans="1:44" ht="12.75" hidden="1" customHeight="1" x14ac:dyDescent="0.25">
      <c r="A550" s="22"/>
      <c r="B550" s="352">
        <v>8</v>
      </c>
      <c r="C550" s="49">
        <v>4</v>
      </c>
      <c r="D550" s="382" t="s">
        <v>86</v>
      </c>
      <c r="E550" s="65"/>
      <c r="F550" s="22"/>
      <c r="G550" s="33" t="s">
        <v>1337</v>
      </c>
      <c r="H550" s="33" t="s">
        <v>1338</v>
      </c>
      <c r="I550" s="33"/>
      <c r="J550" s="22"/>
      <c r="K550" s="33"/>
      <c r="L550" s="25"/>
      <c r="M550" s="25"/>
      <c r="N550" s="52">
        <v>1</v>
      </c>
      <c r="O550" s="22"/>
      <c r="P550" s="51">
        <v>246</v>
      </c>
      <c r="Q550" s="28">
        <f t="shared" si="50"/>
        <v>246</v>
      </c>
      <c r="R550" s="35"/>
      <c r="S550" s="35"/>
      <c r="T550" s="35"/>
      <c r="U550" s="35"/>
      <c r="V550" s="22"/>
      <c r="W550" s="22"/>
      <c r="X550" s="22"/>
      <c r="Y550" s="22"/>
      <c r="Z550" s="29"/>
      <c r="AA550" s="29"/>
      <c r="AB550" s="29"/>
      <c r="AC550" s="29"/>
      <c r="AD550" s="29"/>
      <c r="AE550" s="29"/>
      <c r="AF550" s="22"/>
      <c r="AG550" s="29"/>
      <c r="AH550" s="519"/>
      <c r="AI550" s="22"/>
      <c r="AJ550" s="28"/>
      <c r="AK550" s="28"/>
      <c r="AL550" s="22"/>
      <c r="AM550" s="22"/>
      <c r="AN550" s="22"/>
      <c r="AO550" s="22"/>
      <c r="AP550" s="22"/>
      <c r="AQ550" s="22"/>
      <c r="AR550" s="22"/>
    </row>
    <row r="551" spans="1:44" ht="12.75" customHeight="1" x14ac:dyDescent="0.25">
      <c r="A551" s="381" t="s">
        <v>1339</v>
      </c>
      <c r="B551" s="352">
        <v>5</v>
      </c>
      <c r="C551" s="49">
        <v>5</v>
      </c>
      <c r="D551" s="382" t="s">
        <v>86</v>
      </c>
      <c r="E551" s="65"/>
      <c r="F551" s="22"/>
      <c r="G551" s="33" t="s">
        <v>1340</v>
      </c>
      <c r="H551" s="33" t="s">
        <v>1026</v>
      </c>
      <c r="I551" s="33" t="s">
        <v>98</v>
      </c>
      <c r="J551" s="22"/>
      <c r="K551" s="33" t="s">
        <v>621</v>
      </c>
      <c r="L551" s="25"/>
      <c r="M551" s="25"/>
      <c r="N551" s="52">
        <v>10</v>
      </c>
      <c r="O551" s="22"/>
      <c r="P551" s="84">
        <v>275.37</v>
      </c>
      <c r="Q551" s="28">
        <f t="shared" ref="Q551:Q557" si="51">N551*P551</f>
        <v>2753.7</v>
      </c>
      <c r="R551" s="35"/>
      <c r="S551" s="35">
        <v>2500</v>
      </c>
      <c r="T551" s="35"/>
      <c r="U551" s="35">
        <f t="shared" ref="U551:U556" si="52">Q551-S551</f>
        <v>253.69999999999982</v>
      </c>
      <c r="V551" s="22" t="s">
        <v>1341</v>
      </c>
      <c r="W551" s="22" t="s">
        <v>1342</v>
      </c>
      <c r="X551" s="22"/>
      <c r="Y551" s="22"/>
      <c r="Z551" s="29">
        <v>43418</v>
      </c>
      <c r="AA551" s="29"/>
      <c r="AB551" s="29">
        <v>43425</v>
      </c>
      <c r="AC551" s="29">
        <v>43483</v>
      </c>
      <c r="AD551" s="29"/>
      <c r="AE551" s="29"/>
      <c r="AF551" s="22"/>
      <c r="AG551" s="29" t="s">
        <v>98</v>
      </c>
      <c r="AH551" s="519">
        <v>2500</v>
      </c>
      <c r="AI551" s="144"/>
      <c r="AJ551" s="143"/>
      <c r="AK551" s="143"/>
      <c r="AL551" s="143"/>
      <c r="AM551" s="143"/>
      <c r="AN551" s="143"/>
      <c r="AO551" s="143"/>
      <c r="AP551" s="143"/>
      <c r="AQ551" s="143"/>
      <c r="AR551" s="143"/>
    </row>
    <row r="552" spans="1:44" ht="12.75" customHeight="1" x14ac:dyDescent="0.25">
      <c r="A552" s="381" t="s">
        <v>1339</v>
      </c>
      <c r="B552" s="352">
        <v>5</v>
      </c>
      <c r="C552" s="49">
        <v>5</v>
      </c>
      <c r="D552" s="382" t="s">
        <v>86</v>
      </c>
      <c r="E552" s="65"/>
      <c r="F552" s="22"/>
      <c r="G552" s="33" t="s">
        <v>1343</v>
      </c>
      <c r="H552" s="33" t="s">
        <v>1026</v>
      </c>
      <c r="I552" s="33" t="s">
        <v>98</v>
      </c>
      <c r="J552" s="22"/>
      <c r="K552" s="139" t="s">
        <v>1344</v>
      </c>
      <c r="L552" s="25"/>
      <c r="M552" s="25"/>
      <c r="N552" s="52">
        <v>20</v>
      </c>
      <c r="O552" s="22"/>
      <c r="P552" s="313">
        <v>30.56</v>
      </c>
      <c r="Q552" s="28">
        <f t="shared" si="51"/>
        <v>611.19999999999993</v>
      </c>
      <c r="R552" s="35"/>
      <c r="S552" s="35">
        <f>520</f>
        <v>520</v>
      </c>
      <c r="T552" s="35"/>
      <c r="U552" s="35">
        <f t="shared" si="52"/>
        <v>91.199999999999932</v>
      </c>
      <c r="V552" s="22" t="s">
        <v>1341</v>
      </c>
      <c r="W552" s="22" t="s">
        <v>1342</v>
      </c>
      <c r="X552" s="22"/>
      <c r="Y552" s="22"/>
      <c r="Z552" s="29">
        <v>43418</v>
      </c>
      <c r="AA552" s="29"/>
      <c r="AB552" s="29">
        <v>43425</v>
      </c>
      <c r="AC552" s="29">
        <v>43483</v>
      </c>
      <c r="AD552" s="29"/>
      <c r="AE552" s="29"/>
      <c r="AF552" s="22"/>
      <c r="AG552" s="29" t="s">
        <v>98</v>
      </c>
      <c r="AH552" s="519">
        <f>520</f>
        <v>520</v>
      </c>
      <c r="AI552" s="144"/>
      <c r="AJ552" s="143"/>
      <c r="AK552" s="143"/>
      <c r="AL552" s="143"/>
      <c r="AM552" s="143"/>
      <c r="AN552" s="143"/>
      <c r="AO552" s="143"/>
      <c r="AP552" s="143"/>
      <c r="AQ552" s="143"/>
      <c r="AR552" s="143"/>
    </row>
    <row r="553" spans="1:44" ht="12.75" customHeight="1" x14ac:dyDescent="0.25">
      <c r="A553" s="381" t="s">
        <v>1339</v>
      </c>
      <c r="B553" s="352">
        <v>5</v>
      </c>
      <c r="C553" s="49">
        <v>5</v>
      </c>
      <c r="D553" s="382" t="s">
        <v>86</v>
      </c>
      <c r="E553" s="65"/>
      <c r="F553" s="22"/>
      <c r="G553" s="33" t="s">
        <v>1345</v>
      </c>
      <c r="H553" s="33" t="s">
        <v>1026</v>
      </c>
      <c r="I553" s="33"/>
      <c r="J553" s="22"/>
      <c r="K553" s="139" t="s">
        <v>1346</v>
      </c>
      <c r="L553" s="25"/>
      <c r="M553" s="25"/>
      <c r="N553" s="52">
        <v>20</v>
      </c>
      <c r="O553" s="22"/>
      <c r="P553" s="313">
        <v>12.21</v>
      </c>
      <c r="Q553" s="28">
        <f t="shared" si="51"/>
        <v>244.20000000000002</v>
      </c>
      <c r="R553" s="35"/>
      <c r="S553" s="35">
        <v>244.2</v>
      </c>
      <c r="T553" s="35"/>
      <c r="U553" s="35">
        <f t="shared" si="52"/>
        <v>0</v>
      </c>
      <c r="V553" s="22" t="s">
        <v>1341</v>
      </c>
      <c r="W553" s="22" t="s">
        <v>1347</v>
      </c>
      <c r="X553" s="22"/>
      <c r="Y553" s="22"/>
      <c r="Z553" s="29">
        <v>43413</v>
      </c>
      <c r="AA553" s="29"/>
      <c r="AB553" s="29">
        <v>43559</v>
      </c>
      <c r="AC553" s="29"/>
      <c r="AD553" s="29"/>
      <c r="AE553" s="29"/>
      <c r="AF553" s="22"/>
      <c r="AG553" s="29" t="s">
        <v>98</v>
      </c>
      <c r="AH553" s="143">
        <f>Q553</f>
        <v>244.20000000000002</v>
      </c>
      <c r="AI553" s="144"/>
      <c r="AJ553" s="143"/>
      <c r="AK553" s="143"/>
      <c r="AL553" s="21"/>
      <c r="AM553" s="143"/>
      <c r="AN553" s="143"/>
      <c r="AO553" s="143"/>
      <c r="AP553" s="143"/>
      <c r="AQ553" s="143"/>
      <c r="AR553" s="143"/>
    </row>
    <row r="554" spans="1:44" ht="12.75" customHeight="1" x14ac:dyDescent="0.25">
      <c r="A554" s="381" t="s">
        <v>1339</v>
      </c>
      <c r="B554" s="352">
        <v>5</v>
      </c>
      <c r="C554" s="49">
        <v>5</v>
      </c>
      <c r="D554" s="382" t="s">
        <v>86</v>
      </c>
      <c r="E554" s="65"/>
      <c r="F554" s="22"/>
      <c r="G554" s="33" t="s">
        <v>1348</v>
      </c>
      <c r="H554" s="33" t="s">
        <v>1026</v>
      </c>
      <c r="I554" s="33" t="s">
        <v>98</v>
      </c>
      <c r="J554" s="22"/>
      <c r="K554" s="33"/>
      <c r="L554" s="25"/>
      <c r="M554" s="25"/>
      <c r="N554" s="52">
        <v>2</v>
      </c>
      <c r="O554" s="22"/>
      <c r="P554" s="51">
        <v>370.8</v>
      </c>
      <c r="Q554" s="28">
        <f t="shared" si="51"/>
        <v>741.6</v>
      </c>
      <c r="R554" s="35"/>
      <c r="S554" s="28">
        <v>771.26</v>
      </c>
      <c r="T554" s="28"/>
      <c r="U554" s="35">
        <f t="shared" si="52"/>
        <v>-29.659999999999968</v>
      </c>
      <c r="V554" s="22" t="s">
        <v>1341</v>
      </c>
      <c r="W554" s="22" t="s">
        <v>1347</v>
      </c>
      <c r="X554" s="22"/>
      <c r="Y554" s="22"/>
      <c r="Z554" s="29">
        <v>43413</v>
      </c>
      <c r="AA554" s="29"/>
      <c r="AB554" s="29">
        <v>43425</v>
      </c>
      <c r="AC554" s="29"/>
      <c r="AD554" s="29"/>
      <c r="AE554" s="29"/>
      <c r="AF554" s="22"/>
      <c r="AG554" s="29" t="s">
        <v>98</v>
      </c>
      <c r="AH554" s="143">
        <f>Q554</f>
        <v>741.6</v>
      </c>
      <c r="AI554" s="144"/>
      <c r="AJ554" s="143"/>
      <c r="AK554" s="143"/>
      <c r="AL554" s="143"/>
      <c r="AM554" s="143"/>
      <c r="AN554" s="143"/>
      <c r="AO554" s="143"/>
      <c r="AP554" s="143"/>
      <c r="AQ554" s="143"/>
      <c r="AR554" s="143"/>
    </row>
    <row r="555" spans="1:44" ht="25.5" hidden="1" customHeight="1" x14ac:dyDescent="0.25">
      <c r="A555" s="22"/>
      <c r="B555" s="352">
        <v>8</v>
      </c>
      <c r="C555" s="49">
        <v>5</v>
      </c>
      <c r="D555" s="382" t="s">
        <v>86</v>
      </c>
      <c r="E555" s="65"/>
      <c r="F555" s="22"/>
      <c r="G555" s="33" t="s">
        <v>1349</v>
      </c>
      <c r="H555" s="33" t="s">
        <v>116</v>
      </c>
      <c r="I555" s="33" t="s">
        <v>98</v>
      </c>
      <c r="J555" s="22"/>
      <c r="K555" s="33" t="s">
        <v>586</v>
      </c>
      <c r="L555" s="25"/>
      <c r="M555" s="25"/>
      <c r="N555" s="52">
        <v>2</v>
      </c>
      <c r="O555" s="22"/>
      <c r="P555" s="51">
        <v>1398.49</v>
      </c>
      <c r="Q555" s="28">
        <f t="shared" si="51"/>
        <v>2796.98</v>
      </c>
      <c r="R555" s="35"/>
      <c r="S555" s="35"/>
      <c r="T555" s="35"/>
      <c r="U555" s="35"/>
      <c r="V555" s="22"/>
      <c r="W555" s="22"/>
      <c r="X555" s="22"/>
      <c r="Y555" s="22"/>
      <c r="Z555" s="29"/>
      <c r="AA555" s="29"/>
      <c r="AB555" s="29"/>
      <c r="AC555" s="29"/>
      <c r="AD555" s="29"/>
      <c r="AE555" s="29"/>
      <c r="AF555" s="22"/>
      <c r="AG555" s="29"/>
      <c r="AH555" s="519"/>
      <c r="AI555" s="22"/>
      <c r="AJ555" s="292"/>
      <c r="AK555" s="143"/>
      <c r="AL555" s="143"/>
      <c r="AM555" s="22"/>
      <c r="AN555" s="22"/>
      <c r="AO555" s="22"/>
      <c r="AP555" s="22"/>
      <c r="AQ555" s="22"/>
      <c r="AR555" s="22"/>
    </row>
    <row r="556" spans="1:44" ht="39.6" x14ac:dyDescent="0.25">
      <c r="A556" s="381" t="s">
        <v>1339</v>
      </c>
      <c r="B556" s="352">
        <v>5</v>
      </c>
      <c r="C556" s="49">
        <v>5</v>
      </c>
      <c r="D556" s="382" t="s">
        <v>86</v>
      </c>
      <c r="E556" s="65"/>
      <c r="F556" s="22"/>
      <c r="G556" s="33" t="s">
        <v>1350</v>
      </c>
      <c r="H556" s="33" t="s">
        <v>1026</v>
      </c>
      <c r="I556" s="33" t="s">
        <v>98</v>
      </c>
      <c r="J556" s="22"/>
      <c r="K556" s="33" t="s">
        <v>590</v>
      </c>
      <c r="L556" s="25"/>
      <c r="M556" s="25"/>
      <c r="N556" s="52">
        <v>2</v>
      </c>
      <c r="O556" s="22"/>
      <c r="P556" s="51">
        <v>1192.5</v>
      </c>
      <c r="Q556" s="28">
        <f t="shared" si="51"/>
        <v>2385</v>
      </c>
      <c r="R556" s="35"/>
      <c r="S556" s="35">
        <v>2310</v>
      </c>
      <c r="T556" s="35"/>
      <c r="U556" s="35">
        <f t="shared" si="52"/>
        <v>75</v>
      </c>
      <c r="V556" s="22" t="s">
        <v>1341</v>
      </c>
      <c r="W556" s="22" t="s">
        <v>1342</v>
      </c>
      <c r="X556" s="22"/>
      <c r="Y556" s="22"/>
      <c r="Z556" s="29">
        <v>43418</v>
      </c>
      <c r="AA556" s="29"/>
      <c r="AB556" s="29">
        <v>43425</v>
      </c>
      <c r="AC556" s="29">
        <v>43483</v>
      </c>
      <c r="AD556" s="29"/>
      <c r="AE556" s="29"/>
      <c r="AF556" s="22"/>
      <c r="AG556" s="29" t="s">
        <v>98</v>
      </c>
      <c r="AH556" s="519">
        <v>2310</v>
      </c>
      <c r="AI556" s="144"/>
      <c r="AJ556" s="143"/>
      <c r="AK556" s="143"/>
      <c r="AL556" s="143"/>
      <c r="AM556" s="143"/>
      <c r="AN556" s="143"/>
      <c r="AO556" s="143"/>
      <c r="AP556" s="143"/>
      <c r="AQ556" s="143"/>
      <c r="AR556" s="143"/>
    </row>
    <row r="557" spans="1:44" ht="12.75" hidden="1" customHeight="1" x14ac:dyDescent="0.25">
      <c r="A557" s="22"/>
      <c r="B557" s="352">
        <v>8</v>
      </c>
      <c r="C557" s="49">
        <v>5</v>
      </c>
      <c r="D557" s="382" t="s">
        <v>86</v>
      </c>
      <c r="E557" s="65"/>
      <c r="F557" s="22"/>
      <c r="G557" s="33" t="s">
        <v>1351</v>
      </c>
      <c r="H557" s="33" t="s">
        <v>116</v>
      </c>
      <c r="I557" s="33" t="s">
        <v>98</v>
      </c>
      <c r="J557" s="22"/>
      <c r="K557" s="33" t="s">
        <v>592</v>
      </c>
      <c r="L557" s="25"/>
      <c r="M557" s="25"/>
      <c r="N557" s="52">
        <v>2</v>
      </c>
      <c r="O557" s="22"/>
      <c r="P557" s="51">
        <v>5989.98</v>
      </c>
      <c r="Q557" s="28">
        <f t="shared" si="51"/>
        <v>11979.96</v>
      </c>
      <c r="R557" s="35"/>
      <c r="S557" s="35"/>
      <c r="T557" s="35"/>
      <c r="U557" s="35"/>
      <c r="V557" s="22"/>
      <c r="W557" s="22"/>
      <c r="X557" s="22"/>
      <c r="Y557" s="22"/>
      <c r="Z557" s="29"/>
      <c r="AA557" s="29"/>
      <c r="AB557" s="29"/>
      <c r="AC557" s="29"/>
      <c r="AD557" s="29"/>
      <c r="AE557" s="29"/>
      <c r="AF557" s="22"/>
      <c r="AG557" s="29"/>
      <c r="AH557" s="519"/>
      <c r="AI557" s="22"/>
      <c r="AJ557" s="292"/>
      <c r="AK557" s="28"/>
      <c r="AL557" s="22"/>
      <c r="AM557" s="22"/>
      <c r="AN557" s="22"/>
      <c r="AO557" s="22"/>
      <c r="AP557" s="22"/>
      <c r="AQ557" s="22"/>
      <c r="AR557" s="22"/>
    </row>
    <row r="558" spans="1:44" ht="25.5" hidden="1" customHeight="1" x14ac:dyDescent="0.25">
      <c r="A558" s="22"/>
      <c r="B558" s="352">
        <v>8</v>
      </c>
      <c r="C558" s="49">
        <v>5</v>
      </c>
      <c r="D558" s="382" t="s">
        <v>86</v>
      </c>
      <c r="E558" s="65"/>
      <c r="F558" s="22"/>
      <c r="G558" s="33" t="s">
        <v>1352</v>
      </c>
      <c r="H558" s="33" t="s">
        <v>116</v>
      </c>
      <c r="I558" s="33" t="s">
        <v>98</v>
      </c>
      <c r="J558" s="22"/>
      <c r="K558" s="33" t="s">
        <v>594</v>
      </c>
      <c r="L558" s="25"/>
      <c r="M558" s="25"/>
      <c r="N558" s="52">
        <v>2</v>
      </c>
      <c r="O558" s="22"/>
      <c r="P558" s="51">
        <v>5006.4399999999996</v>
      </c>
      <c r="Q558" s="28">
        <f t="shared" ref="Q558" si="53">N558*P558</f>
        <v>10012.879999999999</v>
      </c>
      <c r="R558" s="35"/>
      <c r="S558" s="35"/>
      <c r="T558" s="35"/>
      <c r="U558" s="35"/>
      <c r="V558" s="22"/>
      <c r="W558" s="22"/>
      <c r="X558" s="22"/>
      <c r="Y558" s="22"/>
      <c r="Z558" s="29"/>
      <c r="AA558" s="29"/>
      <c r="AB558" s="29"/>
      <c r="AC558" s="29"/>
      <c r="AD558" s="29"/>
      <c r="AE558" s="29"/>
      <c r="AF558" s="22"/>
      <c r="AG558" s="29"/>
      <c r="AH558" s="519"/>
      <c r="AI558" s="22"/>
      <c r="AJ558" s="292"/>
      <c r="AK558" s="28"/>
      <c r="AL558" s="22"/>
      <c r="AM558" s="22"/>
      <c r="AN558" s="22"/>
      <c r="AO558" s="22"/>
      <c r="AP558" s="22"/>
      <c r="AQ558" s="22"/>
      <c r="AR558" s="22"/>
    </row>
    <row r="559" spans="1:44" ht="12.75" customHeight="1" x14ac:dyDescent="0.25">
      <c r="A559" s="92" t="s">
        <v>1353</v>
      </c>
      <c r="B559" s="352">
        <v>5</v>
      </c>
      <c r="C559" s="49">
        <v>5</v>
      </c>
      <c r="D559" s="382" t="s">
        <v>86</v>
      </c>
      <c r="E559" s="65"/>
      <c r="F559" s="22"/>
      <c r="G559" s="33" t="s">
        <v>1354</v>
      </c>
      <c r="H559" s="33" t="s">
        <v>1026</v>
      </c>
      <c r="I559" s="33" t="s">
        <v>98</v>
      </c>
      <c r="J559" s="22"/>
      <c r="K559" s="33" t="s">
        <v>597</v>
      </c>
      <c r="L559" s="25"/>
      <c r="M559" s="25"/>
      <c r="N559" s="52">
        <v>2</v>
      </c>
      <c r="O559" s="22"/>
      <c r="P559" s="51">
        <v>2173.5100000000002</v>
      </c>
      <c r="Q559" s="28">
        <f t="shared" ref="Q559:Q584" si="54">N559*P559</f>
        <v>4347.0200000000004</v>
      </c>
      <c r="R559" s="35"/>
      <c r="S559" s="22"/>
      <c r="T559" s="22"/>
      <c r="U559" s="22"/>
      <c r="V559" s="22"/>
      <c r="W559" s="22"/>
      <c r="X559" s="22"/>
      <c r="Y559" s="22"/>
      <c r="Z559" s="22"/>
      <c r="AA559" s="22"/>
      <c r="AB559" s="22"/>
      <c r="AC559" s="29"/>
      <c r="AD559" s="474"/>
      <c r="AE559" s="474"/>
      <c r="AF559" s="265"/>
      <c r="AG559" s="29"/>
      <c r="AH559" s="519"/>
      <c r="AI559" s="144"/>
      <c r="AJ559" s="143"/>
      <c r="AK559" s="143"/>
      <c r="AL559" s="143"/>
      <c r="AM559" s="143"/>
      <c r="AN559" s="143"/>
      <c r="AO559" s="143"/>
      <c r="AP559" s="143"/>
      <c r="AQ559" s="143"/>
      <c r="AR559" s="143"/>
    </row>
    <row r="560" spans="1:44" ht="12.75" customHeight="1" x14ac:dyDescent="0.25">
      <c r="A560" s="381" t="s">
        <v>1339</v>
      </c>
      <c r="B560" s="352">
        <v>5</v>
      </c>
      <c r="C560" s="49">
        <v>5</v>
      </c>
      <c r="D560" s="382" t="s">
        <v>86</v>
      </c>
      <c r="E560" s="65"/>
      <c r="F560" s="22"/>
      <c r="G560" s="33" t="s">
        <v>601</v>
      </c>
      <c r="H560" s="33" t="s">
        <v>1026</v>
      </c>
      <c r="I560" s="33" t="s">
        <v>98</v>
      </c>
      <c r="J560" s="22"/>
      <c r="K560" s="33" t="s">
        <v>603</v>
      </c>
      <c r="L560" s="25"/>
      <c r="M560" s="25"/>
      <c r="N560" s="52">
        <v>60</v>
      </c>
      <c r="O560" s="22"/>
      <c r="P560" s="51">
        <v>65.25</v>
      </c>
      <c r="Q560" s="28">
        <f t="shared" si="54"/>
        <v>3915</v>
      </c>
      <c r="R560" s="35"/>
      <c r="S560" s="35">
        <v>3930</v>
      </c>
      <c r="T560" s="35"/>
      <c r="U560" s="35">
        <f t="shared" ref="U560" si="55">Q560-S560</f>
        <v>-15</v>
      </c>
      <c r="V560" s="22" t="s">
        <v>1341</v>
      </c>
      <c r="W560" s="22" t="s">
        <v>1342</v>
      </c>
      <c r="X560" s="22"/>
      <c r="Y560" s="22"/>
      <c r="Z560" s="29">
        <v>43418</v>
      </c>
      <c r="AA560" s="29"/>
      <c r="AB560" s="29">
        <v>43425</v>
      </c>
      <c r="AC560" s="29">
        <v>43483</v>
      </c>
      <c r="AD560" s="29"/>
      <c r="AE560" s="29"/>
      <c r="AF560" s="22"/>
      <c r="AG560" s="29" t="s">
        <v>98</v>
      </c>
      <c r="AH560" s="519">
        <v>3930</v>
      </c>
      <c r="AI560" s="144"/>
      <c r="AJ560" s="143"/>
      <c r="AK560" s="143"/>
      <c r="AL560" s="143"/>
      <c r="AM560" s="143"/>
      <c r="AN560" s="143"/>
      <c r="AO560" s="143"/>
      <c r="AP560" s="143"/>
      <c r="AQ560" s="143"/>
      <c r="AR560" s="143"/>
    </row>
    <row r="561" spans="1:62" ht="12.75" customHeight="1" x14ac:dyDescent="0.25">
      <c r="A561" s="92" t="s">
        <v>1353</v>
      </c>
      <c r="B561" s="352">
        <v>5</v>
      </c>
      <c r="C561" s="49">
        <v>5</v>
      </c>
      <c r="D561" s="382" t="s">
        <v>86</v>
      </c>
      <c r="E561" s="65"/>
      <c r="F561" s="22"/>
      <c r="G561" s="42" t="s">
        <v>1355</v>
      </c>
      <c r="H561" s="42" t="s">
        <v>1356</v>
      </c>
      <c r="I561" s="33"/>
      <c r="J561" s="22"/>
      <c r="K561" s="42" t="s">
        <v>1357</v>
      </c>
      <c r="L561" s="25"/>
      <c r="M561" s="25"/>
      <c r="N561" s="50">
        <v>3</v>
      </c>
      <c r="O561" s="22"/>
      <c r="P561" s="441">
        <v>522.5</v>
      </c>
      <c r="Q561" s="28">
        <f t="shared" si="54"/>
        <v>1567.5</v>
      </c>
      <c r="R561" s="35"/>
      <c r="S561" s="35"/>
      <c r="T561" s="35"/>
      <c r="U561" s="35"/>
      <c r="V561" s="22"/>
      <c r="W561" s="22"/>
      <c r="X561" s="22"/>
      <c r="Y561" s="22"/>
      <c r="Z561" s="29"/>
      <c r="AA561" s="29"/>
      <c r="AB561" s="29"/>
      <c r="AC561" s="29"/>
      <c r="AD561" s="474"/>
      <c r="AE561" s="474"/>
      <c r="AF561" s="265"/>
      <c r="AG561" s="29"/>
      <c r="AH561" s="519"/>
      <c r="AI561" s="144"/>
      <c r="AJ561" s="143"/>
      <c r="AK561" s="143"/>
      <c r="AL561" s="143"/>
      <c r="AM561" s="143"/>
      <c r="AN561" s="143"/>
      <c r="AO561" s="143"/>
      <c r="AP561" s="143"/>
      <c r="AQ561" s="143"/>
      <c r="AR561" s="143"/>
    </row>
    <row r="562" spans="1:62" ht="12.75" customHeight="1" x14ac:dyDescent="0.25">
      <c r="A562" s="92" t="s">
        <v>1353</v>
      </c>
      <c r="B562" s="352">
        <v>5</v>
      </c>
      <c r="C562" s="49">
        <v>5</v>
      </c>
      <c r="D562" s="382" t="s">
        <v>86</v>
      </c>
      <c r="E562" s="65"/>
      <c r="F562" s="22"/>
      <c r="G562" s="42" t="s">
        <v>438</v>
      </c>
      <c r="H562" s="42"/>
      <c r="I562" s="33"/>
      <c r="J562" s="22"/>
      <c r="K562" s="42"/>
      <c r="L562" s="25"/>
      <c r="M562" s="25"/>
      <c r="N562" s="50">
        <v>1</v>
      </c>
      <c r="O562" s="22"/>
      <c r="P562" s="441">
        <v>97</v>
      </c>
      <c r="Q562" s="28">
        <f t="shared" si="54"/>
        <v>97</v>
      </c>
      <c r="R562" s="35"/>
      <c r="S562" s="35"/>
      <c r="T562" s="35"/>
      <c r="U562" s="35"/>
      <c r="V562" s="22"/>
      <c r="W562" s="22"/>
      <c r="X562" s="22"/>
      <c r="Y562" s="22"/>
      <c r="Z562" s="29"/>
      <c r="AA562" s="29"/>
      <c r="AB562" s="29"/>
      <c r="AC562" s="29"/>
      <c r="AD562" s="474"/>
      <c r="AE562" s="474"/>
      <c r="AF562" s="265"/>
      <c r="AG562" s="29"/>
      <c r="AH562" s="519"/>
      <c r="AI562" s="144"/>
      <c r="AJ562" s="143"/>
      <c r="AK562" s="143"/>
      <c r="AL562" s="143"/>
      <c r="AM562" s="143"/>
      <c r="AN562" s="143"/>
      <c r="AO562" s="143"/>
      <c r="AP562" s="143"/>
      <c r="AQ562" s="143"/>
      <c r="AR562" s="143"/>
    </row>
    <row r="563" spans="1:62" ht="12.75" customHeight="1" x14ac:dyDescent="0.25">
      <c r="A563" s="381" t="s">
        <v>1339</v>
      </c>
      <c r="B563" s="352">
        <v>5</v>
      </c>
      <c r="C563" s="49">
        <v>5</v>
      </c>
      <c r="D563" s="382" t="s">
        <v>86</v>
      </c>
      <c r="E563" s="65"/>
      <c r="F563" s="22"/>
      <c r="G563" s="33" t="s">
        <v>1358</v>
      </c>
      <c r="H563" s="33" t="s">
        <v>1026</v>
      </c>
      <c r="I563" s="33"/>
      <c r="J563" s="22"/>
      <c r="K563" s="33" t="s">
        <v>1359</v>
      </c>
      <c r="L563" s="25"/>
      <c r="M563" s="25"/>
      <c r="N563" s="50">
        <v>2</v>
      </c>
      <c r="O563" s="50"/>
      <c r="P563" s="441">
        <v>1868.74</v>
      </c>
      <c r="Q563" s="28">
        <f t="shared" si="54"/>
        <v>3737.48</v>
      </c>
      <c r="R563" s="35"/>
      <c r="S563" s="35">
        <v>5355</v>
      </c>
      <c r="T563" s="35"/>
      <c r="U563" s="35">
        <f t="shared" ref="U563:U566" si="56">Q563-S563</f>
        <v>-1617.52</v>
      </c>
      <c r="V563" s="22" t="s">
        <v>1341</v>
      </c>
      <c r="W563" s="22" t="s">
        <v>1342</v>
      </c>
      <c r="X563" s="22"/>
      <c r="Y563" s="22"/>
      <c r="Z563" s="29">
        <v>43418</v>
      </c>
      <c r="AA563" s="29"/>
      <c r="AB563" s="29">
        <v>43425</v>
      </c>
      <c r="AC563" s="29">
        <v>43483</v>
      </c>
      <c r="AD563" s="29"/>
      <c r="AE563" s="29"/>
      <c r="AF563" s="22"/>
      <c r="AG563" s="29" t="s">
        <v>98</v>
      </c>
      <c r="AH563" s="519">
        <v>5355</v>
      </c>
      <c r="AI563" s="144"/>
      <c r="AJ563" s="143"/>
      <c r="AK563" s="143"/>
      <c r="AL563" s="143"/>
      <c r="AM563" s="143"/>
      <c r="AN563" s="143"/>
      <c r="AO563" s="143"/>
      <c r="AP563" s="143"/>
      <c r="AQ563" s="143"/>
      <c r="AR563" s="143"/>
    </row>
    <row r="564" spans="1:62" s="138" customFormat="1" ht="12.75" customHeight="1" x14ac:dyDescent="0.25">
      <c r="A564" s="381" t="s">
        <v>1339</v>
      </c>
      <c r="B564" s="352">
        <v>5</v>
      </c>
      <c r="C564" s="49">
        <v>5</v>
      </c>
      <c r="D564" s="382" t="s">
        <v>86</v>
      </c>
      <c r="E564" s="65"/>
      <c r="F564" s="22"/>
      <c r="G564" s="33" t="s">
        <v>1360</v>
      </c>
      <c r="H564" s="33" t="s">
        <v>1026</v>
      </c>
      <c r="I564" s="33"/>
      <c r="J564" s="22"/>
      <c r="K564" s="33" t="s">
        <v>1361</v>
      </c>
      <c r="L564" s="25"/>
      <c r="M564" s="25"/>
      <c r="N564" s="50">
        <v>1</v>
      </c>
      <c r="O564" s="22"/>
      <c r="P564" s="313">
        <v>686.01</v>
      </c>
      <c r="Q564" s="28">
        <f t="shared" si="54"/>
        <v>686.01</v>
      </c>
      <c r="R564" s="35"/>
      <c r="S564" s="35">
        <v>610</v>
      </c>
      <c r="T564" s="35"/>
      <c r="U564" s="35">
        <f t="shared" si="56"/>
        <v>76.009999999999991</v>
      </c>
      <c r="V564" s="22" t="s">
        <v>1341</v>
      </c>
      <c r="W564" s="22" t="s">
        <v>1342</v>
      </c>
      <c r="X564" s="22"/>
      <c r="Y564" s="22"/>
      <c r="Z564" s="29">
        <v>43418</v>
      </c>
      <c r="AA564" s="29"/>
      <c r="AB564" s="29">
        <v>43425</v>
      </c>
      <c r="AC564" s="29">
        <v>43483</v>
      </c>
      <c r="AD564" s="29"/>
      <c r="AE564" s="29"/>
      <c r="AF564" s="22"/>
      <c r="AG564" s="29" t="s">
        <v>98</v>
      </c>
      <c r="AH564" s="519">
        <v>610</v>
      </c>
      <c r="AI564" s="144"/>
      <c r="AJ564" s="143"/>
      <c r="AK564" s="143"/>
      <c r="AL564" s="143"/>
      <c r="AM564" s="143"/>
      <c r="AN564" s="143"/>
      <c r="AO564" s="143"/>
      <c r="AP564" s="143"/>
      <c r="AQ564" s="143"/>
      <c r="AR564" s="143"/>
      <c r="AS564" s="21"/>
      <c r="AT564" s="21"/>
      <c r="AU564" s="21"/>
      <c r="AV564" s="21"/>
      <c r="AW564" s="21"/>
      <c r="AX564" s="21"/>
      <c r="AY564" s="21"/>
      <c r="AZ564" s="21"/>
      <c r="BA564" s="21"/>
      <c r="BB564" s="21"/>
      <c r="BC564" s="21"/>
      <c r="BD564" s="21"/>
      <c r="BE564" s="21"/>
      <c r="BF564" s="21"/>
      <c r="BG564" s="21"/>
      <c r="BH564" s="21"/>
      <c r="BI564" s="21"/>
      <c r="BJ564" s="21"/>
    </row>
    <row r="565" spans="1:62" s="138" customFormat="1" ht="12.75" customHeight="1" x14ac:dyDescent="0.25">
      <c r="A565" s="381" t="s">
        <v>1339</v>
      </c>
      <c r="B565" s="352">
        <v>5</v>
      </c>
      <c r="C565" s="49">
        <v>5</v>
      </c>
      <c r="D565" s="382" t="s">
        <v>86</v>
      </c>
      <c r="E565" s="65"/>
      <c r="F565" s="22"/>
      <c r="G565" s="33" t="s">
        <v>1362</v>
      </c>
      <c r="H565" s="33" t="s">
        <v>1026</v>
      </c>
      <c r="I565" s="33"/>
      <c r="J565" s="22"/>
      <c r="K565" s="33" t="s">
        <v>1363</v>
      </c>
      <c r="L565" s="25"/>
      <c r="M565" s="25"/>
      <c r="N565" s="50">
        <v>10</v>
      </c>
      <c r="O565" s="22"/>
      <c r="P565" s="313">
        <v>109.01</v>
      </c>
      <c r="Q565" s="28">
        <f t="shared" si="54"/>
        <v>1090.1000000000001</v>
      </c>
      <c r="R565" s="35"/>
      <c r="S565" s="35">
        <v>1090.0999999999999</v>
      </c>
      <c r="T565" s="35"/>
      <c r="U565" s="35">
        <f t="shared" si="56"/>
        <v>0</v>
      </c>
      <c r="V565" s="22" t="s">
        <v>1341</v>
      </c>
      <c r="W565" s="22" t="s">
        <v>1347</v>
      </c>
      <c r="X565" s="22"/>
      <c r="Y565" s="22"/>
      <c r="Z565" s="29">
        <v>43418</v>
      </c>
      <c r="AA565" s="29"/>
      <c r="AB565" s="29">
        <v>43425</v>
      </c>
      <c r="AC565" s="29"/>
      <c r="AD565" s="29"/>
      <c r="AE565" s="29"/>
      <c r="AF565" s="22"/>
      <c r="AG565" s="29" t="s">
        <v>98</v>
      </c>
      <c r="AH565" s="519">
        <v>1090.0999999999999</v>
      </c>
      <c r="AI565" s="144"/>
      <c r="AJ565" s="143"/>
      <c r="AK565" s="143"/>
      <c r="AL565" s="143"/>
      <c r="AM565" s="143"/>
      <c r="AN565" s="143"/>
      <c r="AO565" s="143"/>
      <c r="AP565" s="143"/>
      <c r="AQ565" s="143"/>
      <c r="AR565" s="143"/>
      <c r="AS565" s="21"/>
      <c r="AT565" s="21"/>
      <c r="AU565" s="21"/>
      <c r="AV565" s="21"/>
      <c r="AW565" s="21"/>
      <c r="AX565" s="21"/>
      <c r="AY565" s="21"/>
      <c r="AZ565" s="21"/>
      <c r="BA565" s="21"/>
      <c r="BB565" s="21"/>
      <c r="BC565" s="21"/>
      <c r="BD565" s="21"/>
      <c r="BE565" s="21"/>
      <c r="BF565" s="21"/>
      <c r="BG565" s="21"/>
      <c r="BH565" s="21"/>
      <c r="BI565" s="21"/>
      <c r="BJ565" s="21"/>
    </row>
    <row r="566" spans="1:62" s="138" customFormat="1" ht="12.75" customHeight="1" x14ac:dyDescent="0.25">
      <c r="A566" s="381" t="s">
        <v>1339</v>
      </c>
      <c r="B566" s="352">
        <v>5</v>
      </c>
      <c r="C566" s="49">
        <v>5</v>
      </c>
      <c r="D566" s="382" t="s">
        <v>86</v>
      </c>
      <c r="E566" s="65"/>
      <c r="F566" s="22"/>
      <c r="G566" s="33" t="s">
        <v>1364</v>
      </c>
      <c r="H566" s="33" t="s">
        <v>1026</v>
      </c>
      <c r="I566" s="33"/>
      <c r="J566" s="22"/>
      <c r="K566" s="33" t="s">
        <v>1365</v>
      </c>
      <c r="L566" s="25"/>
      <c r="M566" s="25"/>
      <c r="N566" s="52">
        <v>1</v>
      </c>
      <c r="O566" s="22"/>
      <c r="P566" s="313">
        <v>231.84</v>
      </c>
      <c r="Q566" s="28">
        <f t="shared" si="54"/>
        <v>231.84</v>
      </c>
      <c r="R566" s="35"/>
      <c r="S566" s="35">
        <v>462</v>
      </c>
      <c r="T566" s="35"/>
      <c r="U566" s="35">
        <f t="shared" si="56"/>
        <v>-230.16</v>
      </c>
      <c r="V566" s="22" t="s">
        <v>1341</v>
      </c>
      <c r="W566" s="22" t="s">
        <v>1342</v>
      </c>
      <c r="X566" s="22"/>
      <c r="Y566" s="22"/>
      <c r="Z566" s="29">
        <v>43418</v>
      </c>
      <c r="AA566" s="29"/>
      <c r="AB566" s="29">
        <v>43425</v>
      </c>
      <c r="AC566" s="29">
        <v>43483</v>
      </c>
      <c r="AD566" s="29"/>
      <c r="AE566" s="29"/>
      <c r="AF566" s="22"/>
      <c r="AG566" s="29" t="s">
        <v>98</v>
      </c>
      <c r="AH566" s="519">
        <v>462</v>
      </c>
      <c r="AI566" s="144"/>
      <c r="AJ566" s="143"/>
      <c r="AK566" s="143"/>
      <c r="AL566" s="143"/>
      <c r="AM566" s="143"/>
      <c r="AN566" s="143"/>
      <c r="AO566" s="143"/>
      <c r="AP566" s="143"/>
      <c r="AQ566" s="143"/>
      <c r="AR566" s="143"/>
      <c r="AS566" s="21"/>
      <c r="AT566" s="21"/>
      <c r="AU566" s="21"/>
      <c r="AV566" s="21"/>
      <c r="AW566" s="21"/>
      <c r="AX566" s="21"/>
      <c r="AY566" s="21"/>
      <c r="AZ566" s="21"/>
      <c r="BA566" s="21"/>
      <c r="BB566" s="21"/>
      <c r="BC566" s="21"/>
      <c r="BD566" s="21"/>
      <c r="BE566" s="21"/>
      <c r="BF566" s="21"/>
      <c r="BG566" s="21"/>
      <c r="BH566" s="21"/>
      <c r="BI566" s="21"/>
      <c r="BJ566" s="21"/>
    </row>
    <row r="567" spans="1:62" s="138" customFormat="1" ht="12.75" customHeight="1" x14ac:dyDescent="0.25">
      <c r="A567" s="381"/>
      <c r="B567" s="352" t="s">
        <v>1939</v>
      </c>
      <c r="C567" s="49">
        <v>5</v>
      </c>
      <c r="D567" s="382" t="s">
        <v>1366</v>
      </c>
      <c r="E567" s="65"/>
      <c r="F567" s="22"/>
      <c r="G567" s="33" t="s">
        <v>1367</v>
      </c>
      <c r="H567" s="33" t="s">
        <v>1368</v>
      </c>
      <c r="I567" s="33"/>
      <c r="J567" s="22"/>
      <c r="K567" s="33"/>
      <c r="L567" s="25"/>
      <c r="M567" s="25"/>
      <c r="N567" s="52">
        <v>1</v>
      </c>
      <c r="O567" s="22"/>
      <c r="P567" s="313"/>
      <c r="Q567" s="28"/>
      <c r="R567" s="35"/>
      <c r="S567" s="35">
        <v>6788</v>
      </c>
      <c r="T567" s="35"/>
      <c r="U567" s="35"/>
      <c r="V567" s="22" t="s">
        <v>1369</v>
      </c>
      <c r="W567" s="22" t="s">
        <v>1370</v>
      </c>
      <c r="X567" s="22"/>
      <c r="Y567" s="22"/>
      <c r="Z567" s="29">
        <v>43465</v>
      </c>
      <c r="AA567" s="29"/>
      <c r="AB567" s="29">
        <v>43476</v>
      </c>
      <c r="AC567" s="29">
        <v>43476</v>
      </c>
      <c r="AD567" s="29"/>
      <c r="AE567" s="29"/>
      <c r="AF567" s="22"/>
      <c r="AG567" s="29" t="s">
        <v>914</v>
      </c>
      <c r="AH567" s="519">
        <v>6788</v>
      </c>
      <c r="AI567" s="144"/>
      <c r="AJ567" s="143"/>
      <c r="AK567" s="143"/>
      <c r="AL567" s="143"/>
      <c r="AM567" s="143"/>
      <c r="AN567" s="143">
        <f>AH567</f>
        <v>6788</v>
      </c>
      <c r="AO567" s="143"/>
      <c r="AP567" s="143"/>
      <c r="AQ567" s="143"/>
      <c r="AR567" s="143"/>
      <c r="AS567" s="21"/>
      <c r="AT567" s="21"/>
      <c r="AU567" s="21"/>
      <c r="AV567" s="21"/>
      <c r="AW567" s="21"/>
      <c r="AX567" s="21"/>
      <c r="AY567" s="21"/>
      <c r="AZ567" s="21"/>
      <c r="BA567" s="21"/>
      <c r="BB567" s="21"/>
      <c r="BC567" s="21"/>
      <c r="BD567" s="21"/>
      <c r="BE567" s="21"/>
      <c r="BF567" s="21"/>
      <c r="BG567" s="21"/>
      <c r="BH567" s="21"/>
      <c r="BI567" s="21"/>
      <c r="BJ567" s="21"/>
    </row>
    <row r="568" spans="1:62" s="138" customFormat="1" ht="92.4" x14ac:dyDescent="0.25">
      <c r="A568" s="87" t="s">
        <v>1371</v>
      </c>
      <c r="B568" s="352">
        <v>5</v>
      </c>
      <c r="C568" s="49">
        <v>5</v>
      </c>
      <c r="D568" s="382" t="s">
        <v>86</v>
      </c>
      <c r="E568" s="65"/>
      <c r="F568" s="22"/>
      <c r="G568" s="33" t="s">
        <v>1372</v>
      </c>
      <c r="H568" s="33" t="s">
        <v>1373</v>
      </c>
      <c r="I568" s="33"/>
      <c r="J568" s="22"/>
      <c r="K568" s="33" t="s">
        <v>1374</v>
      </c>
      <c r="L568" s="25"/>
      <c r="M568" s="25"/>
      <c r="N568" s="52">
        <v>6</v>
      </c>
      <c r="O568" s="22"/>
      <c r="P568" s="313">
        <v>4.3899999999999997</v>
      </c>
      <c r="Q568" s="28">
        <f t="shared" si="54"/>
        <v>26.339999999999996</v>
      </c>
      <c r="R568" s="35"/>
      <c r="S568" s="35">
        <v>300.14999999999998</v>
      </c>
      <c r="T568" s="35"/>
      <c r="U568" s="35">
        <f>Q568-S568</f>
        <v>-273.81</v>
      </c>
      <c r="V568" s="22" t="s">
        <v>1375</v>
      </c>
      <c r="W568" s="22" t="s">
        <v>1376</v>
      </c>
      <c r="X568" s="22"/>
      <c r="Y568" s="22"/>
      <c r="Z568" s="29">
        <v>43514</v>
      </c>
      <c r="AA568" s="29"/>
      <c r="AB568" s="29">
        <v>43518</v>
      </c>
      <c r="AC568" s="29"/>
      <c r="AD568" s="29"/>
      <c r="AE568" s="29"/>
      <c r="AF568" s="22"/>
      <c r="AG568" s="29" t="s">
        <v>914</v>
      </c>
      <c r="AH568" s="519"/>
      <c r="AI568" s="144"/>
      <c r="AJ568" s="143"/>
      <c r="AK568" s="143"/>
      <c r="AL568" s="143"/>
      <c r="AM568" s="143">
        <f>S568</f>
        <v>300.14999999999998</v>
      </c>
      <c r="AN568" s="143"/>
      <c r="AO568" s="143"/>
      <c r="AP568" s="143"/>
      <c r="AQ568" s="143"/>
      <c r="AR568" s="143"/>
      <c r="AS568" s="21"/>
      <c r="AT568" s="21"/>
      <c r="AU568" s="21"/>
      <c r="AV568" s="21"/>
      <c r="AW568" s="21"/>
      <c r="AX568" s="21"/>
      <c r="AY568" s="21"/>
      <c r="AZ568" s="21"/>
      <c r="BA568" s="21"/>
      <c r="BB568" s="21"/>
      <c r="BC568" s="21"/>
      <c r="BD568" s="21"/>
      <c r="BE568" s="21"/>
      <c r="BF568" s="21"/>
      <c r="BG568" s="21"/>
      <c r="BH568" s="21"/>
      <c r="BI568" s="21"/>
      <c r="BJ568" s="21"/>
    </row>
    <row r="569" spans="1:62" s="138" customFormat="1" ht="12.75" customHeight="1" x14ac:dyDescent="0.25">
      <c r="A569" s="381" t="s">
        <v>1339</v>
      </c>
      <c r="B569" s="352">
        <v>5</v>
      </c>
      <c r="C569" s="49">
        <v>5</v>
      </c>
      <c r="D569" s="382" t="s">
        <v>86</v>
      </c>
      <c r="E569" s="65"/>
      <c r="F569" s="22"/>
      <c r="G569" s="33" t="s">
        <v>1025</v>
      </c>
      <c r="H569" s="33" t="s">
        <v>1026</v>
      </c>
      <c r="I569" s="33"/>
      <c r="J569" s="22"/>
      <c r="K569" s="33"/>
      <c r="L569" s="25"/>
      <c r="M569" s="25"/>
      <c r="N569" s="52">
        <v>2</v>
      </c>
      <c r="O569" s="22"/>
      <c r="P569" s="313">
        <v>237.49</v>
      </c>
      <c r="Q569" s="28">
        <f t="shared" si="54"/>
        <v>474.98</v>
      </c>
      <c r="R569" s="35"/>
      <c r="S569" s="35">
        <v>398</v>
      </c>
      <c r="T569" s="35"/>
      <c r="U569" s="35">
        <f t="shared" ref="U569:U583" si="57">Q569-S569</f>
        <v>76.980000000000018</v>
      </c>
      <c r="V569" s="22" t="s">
        <v>1341</v>
      </c>
      <c r="W569" s="22" t="s">
        <v>1342</v>
      </c>
      <c r="X569" s="22"/>
      <c r="Y569" s="22"/>
      <c r="Z569" s="29">
        <v>43418</v>
      </c>
      <c r="AA569" s="29"/>
      <c r="AB569" s="29">
        <v>43425</v>
      </c>
      <c r="AC569" s="29">
        <v>43483</v>
      </c>
      <c r="AD569" s="29"/>
      <c r="AE569" s="29"/>
      <c r="AF569" s="22"/>
      <c r="AG569" s="29" t="s">
        <v>98</v>
      </c>
      <c r="AH569" s="519">
        <v>398</v>
      </c>
      <c r="AI569" s="144"/>
      <c r="AJ569" s="143"/>
      <c r="AK569" s="143"/>
      <c r="AL569" s="143"/>
      <c r="AM569" s="143"/>
      <c r="AN569" s="143"/>
      <c r="AO569" s="143"/>
      <c r="AP569" s="143"/>
      <c r="AQ569" s="143"/>
      <c r="AR569" s="143"/>
      <c r="AS569" s="21"/>
      <c r="AT569" s="21"/>
      <c r="AU569" s="21"/>
      <c r="AV569" s="21"/>
      <c r="AW569" s="21"/>
      <c r="AX569" s="21"/>
      <c r="AY569" s="21"/>
      <c r="AZ569" s="21"/>
      <c r="BA569" s="21"/>
      <c r="BB569" s="21"/>
      <c r="BC569" s="21"/>
      <c r="BD569" s="21"/>
      <c r="BE569" s="21"/>
      <c r="BF569" s="21"/>
      <c r="BG569" s="21"/>
      <c r="BH569" s="21"/>
      <c r="BI569" s="21"/>
      <c r="BJ569" s="21"/>
    </row>
    <row r="570" spans="1:62" s="138" customFormat="1" ht="92.4" x14ac:dyDescent="0.25">
      <c r="A570" s="87" t="s">
        <v>1371</v>
      </c>
      <c r="B570" s="352">
        <v>5</v>
      </c>
      <c r="C570" s="49">
        <v>5</v>
      </c>
      <c r="D570" s="382" t="s">
        <v>86</v>
      </c>
      <c r="E570" s="65"/>
      <c r="F570" s="22"/>
      <c r="G570" s="33" t="s">
        <v>1377</v>
      </c>
      <c r="H570" s="33" t="s">
        <v>1373</v>
      </c>
      <c r="I570" s="33"/>
      <c r="J570" s="22"/>
      <c r="K570" s="33" t="s">
        <v>1378</v>
      </c>
      <c r="L570" s="25"/>
      <c r="M570" s="25"/>
      <c r="N570" s="52">
        <v>3</v>
      </c>
      <c r="O570" s="22"/>
      <c r="P570" s="313">
        <v>92</v>
      </c>
      <c r="Q570" s="28">
        <f t="shared" si="54"/>
        <v>276</v>
      </c>
      <c r="R570" s="35"/>
      <c r="S570" s="35">
        <v>55.2</v>
      </c>
      <c r="T570" s="35"/>
      <c r="U570" s="35">
        <f t="shared" si="57"/>
        <v>220.8</v>
      </c>
      <c r="V570" s="22" t="s">
        <v>1379</v>
      </c>
      <c r="W570" s="22" t="s">
        <v>1376</v>
      </c>
      <c r="X570" s="22"/>
      <c r="Y570" s="22"/>
      <c r="Z570" s="29">
        <v>43514</v>
      </c>
      <c r="AA570" s="29"/>
      <c r="AB570" s="29">
        <v>43518</v>
      </c>
      <c r="AC570" s="29"/>
      <c r="AD570" s="29"/>
      <c r="AE570" s="29"/>
      <c r="AF570" s="22"/>
      <c r="AG570" s="29" t="s">
        <v>914</v>
      </c>
      <c r="AH570" s="519"/>
      <c r="AI570" s="144"/>
      <c r="AJ570" s="143"/>
      <c r="AK570" s="143"/>
      <c r="AL570" s="143"/>
      <c r="AM570" s="143">
        <f>S570</f>
        <v>55.2</v>
      </c>
      <c r="AN570" s="143"/>
      <c r="AO570" s="143"/>
      <c r="AP570" s="143"/>
      <c r="AQ570" s="143"/>
      <c r="AR570" s="143"/>
      <c r="AS570" s="21"/>
      <c r="AT570" s="21"/>
      <c r="AU570" s="21"/>
      <c r="AV570" s="21"/>
      <c r="AW570" s="21"/>
      <c r="AX570" s="21"/>
      <c r="AY570" s="21"/>
      <c r="AZ570" s="21"/>
      <c r="BA570" s="21"/>
      <c r="BB570" s="21"/>
      <c r="BC570" s="21"/>
      <c r="BD570" s="21"/>
      <c r="BE570" s="21"/>
      <c r="BF570" s="21"/>
      <c r="BG570" s="21"/>
      <c r="BH570" s="21"/>
      <c r="BI570" s="21"/>
      <c r="BJ570" s="21"/>
    </row>
    <row r="571" spans="1:62" s="138" customFormat="1" ht="92.4" x14ac:dyDescent="0.25">
      <c r="A571" s="87" t="s">
        <v>1371</v>
      </c>
      <c r="B571" s="352">
        <v>5</v>
      </c>
      <c r="C571" s="80">
        <v>5</v>
      </c>
      <c r="D571" s="382" t="s">
        <v>86</v>
      </c>
      <c r="E571" s="65"/>
      <c r="F571" s="22"/>
      <c r="G571" s="42" t="s">
        <v>438</v>
      </c>
      <c r="H571" s="33" t="s">
        <v>1373</v>
      </c>
      <c r="I571" s="42"/>
      <c r="J571" s="22"/>
      <c r="K571" s="42"/>
      <c r="L571" s="25"/>
      <c r="M571" s="25"/>
      <c r="N571" s="50">
        <v>1</v>
      </c>
      <c r="O571" s="22"/>
      <c r="P571" s="441">
        <v>49.1</v>
      </c>
      <c r="Q571" s="28">
        <f t="shared" si="54"/>
        <v>49.1</v>
      </c>
      <c r="R571" s="35"/>
      <c r="S571" s="35">
        <v>0</v>
      </c>
      <c r="T571" s="35"/>
      <c r="U571" s="35">
        <f t="shared" si="57"/>
        <v>49.1</v>
      </c>
      <c r="V571" s="22" t="s">
        <v>1379</v>
      </c>
      <c r="W571" s="22" t="s">
        <v>1376</v>
      </c>
      <c r="X571" s="22"/>
      <c r="Y571" s="22"/>
      <c r="Z571" s="29">
        <v>43514</v>
      </c>
      <c r="AA571" s="29"/>
      <c r="AB571" s="29">
        <v>43518</v>
      </c>
      <c r="AC571" s="29"/>
      <c r="AD571" s="29"/>
      <c r="AE571" s="29"/>
      <c r="AF571" s="22"/>
      <c r="AG571" s="29" t="s">
        <v>914</v>
      </c>
      <c r="AH571" s="519"/>
      <c r="AI571" s="144"/>
      <c r="AJ571" s="143"/>
      <c r="AK571" s="143"/>
      <c r="AL571" s="143"/>
      <c r="AM571" s="143">
        <f>S571</f>
        <v>0</v>
      </c>
      <c r="AN571" s="143"/>
      <c r="AO571" s="143"/>
      <c r="AP571" s="143"/>
      <c r="AQ571" s="143"/>
      <c r="AR571" s="143"/>
      <c r="AS571" s="21"/>
      <c r="AT571" s="21"/>
      <c r="AU571" s="21"/>
      <c r="AV571" s="21"/>
      <c r="AW571" s="21"/>
      <c r="AX571" s="21"/>
      <c r="AY571" s="21"/>
      <c r="AZ571" s="21"/>
      <c r="BA571" s="21"/>
      <c r="BB571" s="21"/>
      <c r="BC571" s="21"/>
      <c r="BD571" s="21"/>
      <c r="BE571" s="21"/>
      <c r="BF571" s="21"/>
      <c r="BG571" s="21"/>
      <c r="BH571" s="21"/>
      <c r="BI571" s="21"/>
      <c r="BJ571" s="21"/>
    </row>
    <row r="572" spans="1:62" s="138" customFormat="1" ht="12.75" customHeight="1" x14ac:dyDescent="0.25">
      <c r="A572" s="381" t="s">
        <v>1380</v>
      </c>
      <c r="B572" s="352">
        <v>5</v>
      </c>
      <c r="C572" s="49">
        <v>5</v>
      </c>
      <c r="D572" s="382" t="s">
        <v>86</v>
      </c>
      <c r="E572" s="65"/>
      <c r="F572" s="22"/>
      <c r="G572" s="33" t="s">
        <v>1381</v>
      </c>
      <c r="H572" s="33" t="s">
        <v>1218</v>
      </c>
      <c r="I572" s="33"/>
      <c r="J572" s="22"/>
      <c r="K572" s="33" t="s">
        <v>1382</v>
      </c>
      <c r="L572" s="25"/>
      <c r="M572" s="25"/>
      <c r="N572" s="52">
        <v>5</v>
      </c>
      <c r="O572" s="22"/>
      <c r="P572" s="313">
        <v>120.33</v>
      </c>
      <c r="Q572" s="28">
        <f t="shared" si="54"/>
        <v>601.65</v>
      </c>
      <c r="R572" s="35"/>
      <c r="S572" s="35">
        <v>541.48</v>
      </c>
      <c r="T572" s="35"/>
      <c r="U572" s="35">
        <f t="shared" si="57"/>
        <v>60.169999999999959</v>
      </c>
      <c r="V572" s="22" t="s">
        <v>1383</v>
      </c>
      <c r="W572" s="22" t="s">
        <v>1384</v>
      </c>
      <c r="X572" s="22"/>
      <c r="Y572" s="22"/>
      <c r="Z572" s="29">
        <v>43405</v>
      </c>
      <c r="AA572" s="29"/>
      <c r="AB572" s="29">
        <v>43413</v>
      </c>
      <c r="AC572" s="29"/>
      <c r="AD572" s="29"/>
      <c r="AE572" s="29"/>
      <c r="AF572" s="22"/>
      <c r="AG572" s="29" t="s">
        <v>914</v>
      </c>
      <c r="AH572" s="519"/>
      <c r="AI572" s="144"/>
      <c r="AJ572" s="143"/>
      <c r="AK572" s="143"/>
      <c r="AL572" s="143"/>
      <c r="AM572" s="143"/>
      <c r="AN572" s="143">
        <v>541.48</v>
      </c>
      <c r="AO572" s="143"/>
      <c r="AP572" s="143"/>
      <c r="AQ572" s="143"/>
      <c r="AR572" s="143"/>
      <c r="AS572" s="21"/>
      <c r="AT572" s="21"/>
      <c r="AU572" s="21"/>
      <c r="AV572" s="21"/>
      <c r="AW572" s="21"/>
      <c r="AX572" s="21"/>
      <c r="AY572" s="21"/>
      <c r="AZ572" s="21"/>
      <c r="BA572" s="21"/>
      <c r="BB572" s="21"/>
      <c r="BC572" s="21"/>
      <c r="BD572" s="21"/>
      <c r="BE572" s="21"/>
      <c r="BF572" s="21"/>
      <c r="BG572" s="21"/>
      <c r="BH572" s="21"/>
      <c r="BI572" s="21"/>
      <c r="BJ572" s="21"/>
    </row>
    <row r="573" spans="1:62" s="138" customFormat="1" ht="12.75" customHeight="1" x14ac:dyDescent="0.25">
      <c r="A573" s="381" t="s">
        <v>1380</v>
      </c>
      <c r="B573" s="352">
        <v>5</v>
      </c>
      <c r="C573" s="49">
        <v>5</v>
      </c>
      <c r="D573" s="382" t="s">
        <v>86</v>
      </c>
      <c r="E573" s="65"/>
      <c r="F573" s="22"/>
      <c r="G573" s="33" t="s">
        <v>1385</v>
      </c>
      <c r="H573" s="33" t="s">
        <v>1218</v>
      </c>
      <c r="I573" s="33"/>
      <c r="J573" s="22"/>
      <c r="K573" s="33" t="s">
        <v>1386</v>
      </c>
      <c r="L573" s="25"/>
      <c r="M573" s="25"/>
      <c r="N573" s="52">
        <v>3</v>
      </c>
      <c r="O573" s="22"/>
      <c r="P573" s="313">
        <v>96.93</v>
      </c>
      <c r="Q573" s="28">
        <f t="shared" si="54"/>
        <v>290.79000000000002</v>
      </c>
      <c r="R573" s="35"/>
      <c r="S573" s="35">
        <v>141.49</v>
      </c>
      <c r="T573" s="35"/>
      <c r="U573" s="35">
        <f t="shared" si="57"/>
        <v>149.30000000000001</v>
      </c>
      <c r="V573" s="22" t="s">
        <v>1383</v>
      </c>
      <c r="W573" s="22" t="s">
        <v>1384</v>
      </c>
      <c r="X573" s="22"/>
      <c r="Y573" s="22"/>
      <c r="Z573" s="29">
        <v>43405</v>
      </c>
      <c r="AA573" s="29"/>
      <c r="AB573" s="29">
        <v>43413</v>
      </c>
      <c r="AC573" s="29"/>
      <c r="AD573" s="29"/>
      <c r="AE573" s="29"/>
      <c r="AF573" s="22"/>
      <c r="AG573" s="29" t="s">
        <v>914</v>
      </c>
      <c r="AH573" s="519"/>
      <c r="AI573" s="144"/>
      <c r="AJ573" s="143"/>
      <c r="AK573" s="143"/>
      <c r="AL573" s="143"/>
      <c r="AM573" s="143"/>
      <c r="AN573" s="143">
        <v>141.49</v>
      </c>
      <c r="AO573" s="143"/>
      <c r="AP573" s="143"/>
      <c r="AQ573" s="143"/>
      <c r="AR573" s="143"/>
      <c r="AS573" s="21"/>
      <c r="AT573" s="21"/>
      <c r="AU573" s="21"/>
      <c r="AV573" s="21"/>
      <c r="AW573" s="21"/>
      <c r="AX573" s="21"/>
      <c r="AY573" s="21"/>
      <c r="AZ573" s="21"/>
      <c r="BA573" s="21"/>
      <c r="BB573" s="21"/>
      <c r="BC573" s="21"/>
      <c r="BD573" s="21"/>
      <c r="BE573" s="21"/>
      <c r="BF573" s="21"/>
      <c r="BG573" s="21"/>
      <c r="BH573" s="21"/>
      <c r="BI573" s="21"/>
      <c r="BJ573" s="21"/>
    </row>
    <row r="574" spans="1:62" s="138" customFormat="1" ht="12.75" customHeight="1" x14ac:dyDescent="0.25">
      <c r="A574" s="381" t="s">
        <v>1380</v>
      </c>
      <c r="B574" s="352">
        <v>5</v>
      </c>
      <c r="C574" s="49">
        <v>5</v>
      </c>
      <c r="D574" s="382" t="s">
        <v>86</v>
      </c>
      <c r="E574" s="65"/>
      <c r="F574" s="22"/>
      <c r="G574" s="33" t="s">
        <v>1387</v>
      </c>
      <c r="H574" s="33" t="s">
        <v>1218</v>
      </c>
      <c r="I574" s="33"/>
      <c r="J574" s="22"/>
      <c r="K574" s="33" t="s">
        <v>1388</v>
      </c>
      <c r="L574" s="25"/>
      <c r="M574" s="25"/>
      <c r="N574" s="52">
        <v>2</v>
      </c>
      <c r="O574" s="22"/>
      <c r="P574" s="313">
        <v>115.73</v>
      </c>
      <c r="Q574" s="28">
        <f t="shared" si="54"/>
        <v>231.46</v>
      </c>
      <c r="R574" s="35"/>
      <c r="S574" s="35">
        <v>231.46</v>
      </c>
      <c r="T574" s="35"/>
      <c r="U574" s="35">
        <f t="shared" si="57"/>
        <v>0</v>
      </c>
      <c r="V574" s="22" t="s">
        <v>1383</v>
      </c>
      <c r="W574" s="22" t="s">
        <v>1384</v>
      </c>
      <c r="X574" s="22"/>
      <c r="Y574" s="22"/>
      <c r="Z574" s="29">
        <v>43405</v>
      </c>
      <c r="AA574" s="29"/>
      <c r="AB574" s="29">
        <v>43413</v>
      </c>
      <c r="AC574" s="29"/>
      <c r="AD574" s="29"/>
      <c r="AE574" s="29"/>
      <c r="AF574" s="22"/>
      <c r="AG574" s="29" t="s">
        <v>914</v>
      </c>
      <c r="AH574" s="519"/>
      <c r="AI574" s="144"/>
      <c r="AJ574" s="143"/>
      <c r="AK574" s="143"/>
      <c r="AL574" s="143"/>
      <c r="AM574" s="143"/>
      <c r="AN574" s="143">
        <v>231.46</v>
      </c>
      <c r="AO574" s="143"/>
      <c r="AP574" s="143"/>
      <c r="AQ574" s="143"/>
      <c r="AR574" s="143"/>
      <c r="AS574" s="21"/>
      <c r="AT574" s="21"/>
      <c r="AU574" s="21"/>
      <c r="AV574" s="21"/>
      <c r="AW574" s="21"/>
      <c r="AX574" s="21"/>
      <c r="AY574" s="21"/>
      <c r="AZ574" s="21"/>
      <c r="BA574" s="21"/>
      <c r="BB574" s="21"/>
      <c r="BC574" s="21"/>
      <c r="BD574" s="21"/>
      <c r="BE574" s="21"/>
      <c r="BF574" s="21"/>
      <c r="BG574" s="21"/>
      <c r="BH574" s="21"/>
      <c r="BI574" s="21"/>
      <c r="BJ574" s="21"/>
    </row>
    <row r="575" spans="1:62" s="138" customFormat="1" ht="12.75" customHeight="1" x14ac:dyDescent="0.25">
      <c r="A575" s="381" t="s">
        <v>1380</v>
      </c>
      <c r="B575" s="352">
        <v>5</v>
      </c>
      <c r="C575" s="49">
        <v>5</v>
      </c>
      <c r="D575" s="382" t="s">
        <v>86</v>
      </c>
      <c r="E575" s="65"/>
      <c r="F575" s="22"/>
      <c r="G575" s="33" t="s">
        <v>1389</v>
      </c>
      <c r="H575" s="33" t="s">
        <v>1218</v>
      </c>
      <c r="I575" s="33"/>
      <c r="J575" s="22"/>
      <c r="K575" s="33" t="s">
        <v>1390</v>
      </c>
      <c r="L575" s="25"/>
      <c r="M575" s="25"/>
      <c r="N575" s="52">
        <v>1</v>
      </c>
      <c r="O575" s="22"/>
      <c r="P575" s="313">
        <v>180.93</v>
      </c>
      <c r="Q575" s="28">
        <f t="shared" si="54"/>
        <v>180.93</v>
      </c>
      <c r="R575" s="35"/>
      <c r="S575" s="35">
        <v>162.84</v>
      </c>
      <c r="T575" s="35"/>
      <c r="U575" s="35">
        <f t="shared" si="57"/>
        <v>18.090000000000003</v>
      </c>
      <c r="V575" s="22" t="s">
        <v>1383</v>
      </c>
      <c r="W575" s="22" t="s">
        <v>1384</v>
      </c>
      <c r="X575" s="22"/>
      <c r="Y575" s="22"/>
      <c r="Z575" s="29">
        <v>43405</v>
      </c>
      <c r="AA575" s="29"/>
      <c r="AB575" s="29">
        <v>43413</v>
      </c>
      <c r="AC575" s="29"/>
      <c r="AD575" s="29"/>
      <c r="AE575" s="29"/>
      <c r="AF575" s="22"/>
      <c r="AG575" s="29" t="s">
        <v>914</v>
      </c>
      <c r="AH575" s="519"/>
      <c r="AI575" s="144"/>
      <c r="AJ575" s="143"/>
      <c r="AK575" s="143"/>
      <c r="AL575" s="143"/>
      <c r="AM575" s="143"/>
      <c r="AN575" s="143">
        <v>162.84</v>
      </c>
      <c r="AO575" s="143"/>
      <c r="AP575" s="143"/>
      <c r="AQ575" s="143"/>
      <c r="AR575" s="143"/>
      <c r="AS575" s="21"/>
      <c r="AT575" s="21"/>
      <c r="AU575" s="21"/>
      <c r="AV575" s="21"/>
      <c r="AW575" s="21"/>
      <c r="AX575" s="21"/>
      <c r="AY575" s="21"/>
      <c r="AZ575" s="21"/>
      <c r="BA575" s="21"/>
      <c r="BB575" s="21"/>
      <c r="BC575" s="21"/>
      <c r="BD575" s="21"/>
      <c r="BE575" s="21"/>
      <c r="BF575" s="21"/>
      <c r="BG575" s="21"/>
      <c r="BH575" s="21"/>
      <c r="BI575" s="21"/>
      <c r="BJ575" s="21"/>
    </row>
    <row r="576" spans="1:62" s="138" customFormat="1" ht="12.75" customHeight="1" x14ac:dyDescent="0.25">
      <c r="A576" s="381" t="s">
        <v>1380</v>
      </c>
      <c r="B576" s="352">
        <v>5</v>
      </c>
      <c r="C576" s="49">
        <v>5</v>
      </c>
      <c r="D576" s="382" t="s">
        <v>86</v>
      </c>
      <c r="E576" s="65"/>
      <c r="F576" s="22"/>
      <c r="G576" s="33" t="s">
        <v>1391</v>
      </c>
      <c r="H576" s="33" t="s">
        <v>1218</v>
      </c>
      <c r="I576" s="33"/>
      <c r="J576" s="22"/>
      <c r="K576" s="33" t="s">
        <v>1392</v>
      </c>
      <c r="L576" s="25"/>
      <c r="M576" s="25"/>
      <c r="N576" s="52">
        <v>1</v>
      </c>
      <c r="O576" s="22"/>
      <c r="P576" s="313">
        <v>135.43</v>
      </c>
      <c r="Q576" s="28">
        <f t="shared" si="54"/>
        <v>135.43</v>
      </c>
      <c r="R576" s="35"/>
      <c r="S576" s="35">
        <v>121.89</v>
      </c>
      <c r="T576" s="35"/>
      <c r="U576" s="35">
        <f t="shared" si="57"/>
        <v>13.540000000000006</v>
      </c>
      <c r="V576" s="22" t="s">
        <v>1383</v>
      </c>
      <c r="W576" s="22" t="s">
        <v>1384</v>
      </c>
      <c r="X576" s="22"/>
      <c r="Y576" s="22"/>
      <c r="Z576" s="29">
        <v>43405</v>
      </c>
      <c r="AA576" s="29"/>
      <c r="AB576" s="29">
        <v>43413</v>
      </c>
      <c r="AC576" s="29"/>
      <c r="AD576" s="29"/>
      <c r="AE576" s="29"/>
      <c r="AF576" s="22"/>
      <c r="AG576" s="29" t="s">
        <v>914</v>
      </c>
      <c r="AH576" s="519"/>
      <c r="AI576" s="144"/>
      <c r="AJ576" s="143"/>
      <c r="AK576" s="143"/>
      <c r="AL576" s="143"/>
      <c r="AM576" s="143"/>
      <c r="AN576" s="143">
        <v>121.89</v>
      </c>
      <c r="AO576" s="143"/>
      <c r="AP576" s="143"/>
      <c r="AQ576" s="143"/>
      <c r="AR576" s="143"/>
      <c r="AS576" s="21"/>
      <c r="AT576" s="21"/>
      <c r="AU576" s="21"/>
      <c r="AV576" s="21"/>
      <c r="AW576" s="21"/>
      <c r="AX576" s="21"/>
      <c r="AY576" s="21"/>
      <c r="AZ576" s="21"/>
      <c r="BA576" s="21"/>
      <c r="BB576" s="21"/>
      <c r="BC576" s="21"/>
      <c r="BD576" s="21"/>
      <c r="BE576" s="21"/>
      <c r="BF576" s="21"/>
      <c r="BG576" s="21"/>
      <c r="BH576" s="21"/>
      <c r="BI576" s="21"/>
      <c r="BJ576" s="21"/>
    </row>
    <row r="577" spans="1:62" s="138" customFormat="1" ht="12.75" customHeight="1" x14ac:dyDescent="0.25">
      <c r="A577" s="381" t="s">
        <v>1380</v>
      </c>
      <c r="B577" s="352">
        <v>5</v>
      </c>
      <c r="C577" s="49">
        <v>5</v>
      </c>
      <c r="D577" s="382" t="s">
        <v>86</v>
      </c>
      <c r="E577" s="65"/>
      <c r="F577" s="22"/>
      <c r="G577" s="33" t="s">
        <v>1393</v>
      </c>
      <c r="H577" s="33" t="s">
        <v>1218</v>
      </c>
      <c r="I577" s="33"/>
      <c r="J577" s="22"/>
      <c r="K577" s="33" t="s">
        <v>1394</v>
      </c>
      <c r="L577" s="25"/>
      <c r="M577" s="25"/>
      <c r="N577" s="52">
        <v>1</v>
      </c>
      <c r="O577" s="22"/>
      <c r="P577" s="313">
        <v>262.73</v>
      </c>
      <c r="Q577" s="28">
        <f t="shared" si="54"/>
        <v>262.73</v>
      </c>
      <c r="R577" s="35"/>
      <c r="S577" s="35">
        <v>262.73</v>
      </c>
      <c r="T577" s="35"/>
      <c r="U577" s="35">
        <f t="shared" si="57"/>
        <v>0</v>
      </c>
      <c r="V577" s="22" t="s">
        <v>1383</v>
      </c>
      <c r="W577" s="22" t="s">
        <v>1384</v>
      </c>
      <c r="X577" s="22"/>
      <c r="Y577" s="22"/>
      <c r="Z577" s="29">
        <v>43405</v>
      </c>
      <c r="AA577" s="29"/>
      <c r="AB577" s="29">
        <v>43413</v>
      </c>
      <c r="AC577" s="29"/>
      <c r="AD577" s="29"/>
      <c r="AE577" s="29"/>
      <c r="AF577" s="22"/>
      <c r="AG577" s="29" t="s">
        <v>914</v>
      </c>
      <c r="AH577" s="519"/>
      <c r="AI577" s="144"/>
      <c r="AJ577" s="143"/>
      <c r="AK577" s="143"/>
      <c r="AL577" s="143"/>
      <c r="AM577" s="143"/>
      <c r="AN577" s="143">
        <v>262.73</v>
      </c>
      <c r="AO577" s="143"/>
      <c r="AP577" s="143"/>
      <c r="AQ577" s="143"/>
      <c r="AR577" s="143"/>
      <c r="AS577" s="21"/>
      <c r="AT577" s="21"/>
      <c r="AU577" s="21"/>
      <c r="AV577" s="21"/>
      <c r="AW577" s="21"/>
      <c r="AX577" s="21"/>
      <c r="AY577" s="21"/>
      <c r="AZ577" s="21"/>
      <c r="BA577" s="21"/>
      <c r="BB577" s="21"/>
      <c r="BC577" s="21"/>
      <c r="BD577" s="21"/>
      <c r="BE577" s="21"/>
      <c r="BF577" s="21"/>
      <c r="BG577" s="21"/>
      <c r="BH577" s="21"/>
      <c r="BI577" s="21"/>
      <c r="BJ577" s="21"/>
    </row>
    <row r="578" spans="1:62" s="138" customFormat="1" ht="12.75" customHeight="1" x14ac:dyDescent="0.25">
      <c r="A578" s="381" t="s">
        <v>1380</v>
      </c>
      <c r="B578" s="352">
        <v>5</v>
      </c>
      <c r="C578" s="49">
        <v>5</v>
      </c>
      <c r="D578" s="382" t="s">
        <v>86</v>
      </c>
      <c r="E578" s="65"/>
      <c r="F578" s="22"/>
      <c r="G578" s="33" t="s">
        <v>1395</v>
      </c>
      <c r="H578" s="33" t="s">
        <v>1218</v>
      </c>
      <c r="I578" s="33"/>
      <c r="J578" s="22"/>
      <c r="K578" s="33" t="s">
        <v>1396</v>
      </c>
      <c r="L578" s="25"/>
      <c r="M578" s="25"/>
      <c r="N578" s="52">
        <v>1</v>
      </c>
      <c r="O578" s="22"/>
      <c r="P578" s="313">
        <v>206.73</v>
      </c>
      <c r="Q578" s="28">
        <f t="shared" si="54"/>
        <v>206.73</v>
      </c>
      <c r="R578" s="35"/>
      <c r="S578" s="35">
        <v>261.70999999999998</v>
      </c>
      <c r="T578" s="35"/>
      <c r="U578" s="35">
        <f t="shared" si="57"/>
        <v>-54.97999999999999</v>
      </c>
      <c r="V578" s="22" t="s">
        <v>1383</v>
      </c>
      <c r="W578" s="22" t="s">
        <v>1384</v>
      </c>
      <c r="X578" s="22"/>
      <c r="Y578" s="22"/>
      <c r="Z578" s="29">
        <v>43405</v>
      </c>
      <c r="AA578" s="29"/>
      <c r="AB578" s="29">
        <v>43413</v>
      </c>
      <c r="AC578" s="29"/>
      <c r="AD578" s="29"/>
      <c r="AE578" s="29"/>
      <c r="AF578" s="22"/>
      <c r="AG578" s="29" t="s">
        <v>914</v>
      </c>
      <c r="AH578" s="519"/>
      <c r="AI578" s="144"/>
      <c r="AJ578" s="143"/>
      <c r="AK578" s="143"/>
      <c r="AL578" s="143"/>
      <c r="AM578" s="143"/>
      <c r="AN578" s="143">
        <v>261.70999999999998</v>
      </c>
      <c r="AO578" s="143"/>
      <c r="AP578" s="143"/>
      <c r="AQ578" s="143"/>
      <c r="AR578" s="143"/>
      <c r="AS578" s="21"/>
      <c r="AT578" s="21"/>
      <c r="AU578" s="21"/>
      <c r="AV578" s="21"/>
      <c r="AW578" s="21"/>
      <c r="AX578" s="21"/>
      <c r="AY578" s="21"/>
      <c r="AZ578" s="21"/>
      <c r="BA578" s="21"/>
      <c r="BB578" s="21"/>
      <c r="BC578" s="21"/>
      <c r="BD578" s="21"/>
      <c r="BE578" s="21"/>
      <c r="BF578" s="21"/>
      <c r="BG578" s="21"/>
      <c r="BH578" s="21"/>
      <c r="BI578" s="21"/>
      <c r="BJ578" s="21"/>
    </row>
    <row r="579" spans="1:62" s="138" customFormat="1" ht="12.75" customHeight="1" x14ac:dyDescent="0.25">
      <c r="A579" s="381" t="s">
        <v>1380</v>
      </c>
      <c r="B579" s="352">
        <v>5</v>
      </c>
      <c r="C579" s="49">
        <v>5</v>
      </c>
      <c r="D579" s="382" t="s">
        <v>86</v>
      </c>
      <c r="E579" s="65"/>
      <c r="F579" s="22"/>
      <c r="G579" s="33" t="s">
        <v>1397</v>
      </c>
      <c r="H579" s="33" t="s">
        <v>1218</v>
      </c>
      <c r="I579" s="33"/>
      <c r="J579" s="22"/>
      <c r="K579" s="33" t="s">
        <v>1398</v>
      </c>
      <c r="L579" s="25"/>
      <c r="M579" s="25"/>
      <c r="N579" s="52">
        <v>1</v>
      </c>
      <c r="O579" s="22"/>
      <c r="P579" s="313">
        <v>107.04</v>
      </c>
      <c r="Q579" s="28">
        <f t="shared" si="54"/>
        <v>107.04</v>
      </c>
      <c r="R579" s="35"/>
      <c r="S579" s="35">
        <v>107.04</v>
      </c>
      <c r="T579" s="35"/>
      <c r="U579" s="35">
        <f t="shared" si="57"/>
        <v>0</v>
      </c>
      <c r="V579" s="22" t="s">
        <v>1383</v>
      </c>
      <c r="W579" s="22" t="s">
        <v>1384</v>
      </c>
      <c r="X579" s="22"/>
      <c r="Y579" s="22"/>
      <c r="Z579" s="29">
        <v>43405</v>
      </c>
      <c r="AA579" s="29"/>
      <c r="AB579" s="29">
        <v>43413</v>
      </c>
      <c r="AC579" s="29"/>
      <c r="AD579" s="29"/>
      <c r="AE579" s="29"/>
      <c r="AF579" s="22"/>
      <c r="AG579" s="29" t="s">
        <v>914</v>
      </c>
      <c r="AH579" s="519"/>
      <c r="AI579" s="144"/>
      <c r="AJ579" s="143"/>
      <c r="AK579" s="143"/>
      <c r="AL579" s="143"/>
      <c r="AM579" s="143"/>
      <c r="AN579" s="143">
        <v>107.04</v>
      </c>
      <c r="AO579" s="143"/>
      <c r="AP579" s="143"/>
      <c r="AQ579" s="143"/>
      <c r="AR579" s="143"/>
      <c r="AS579" s="21"/>
      <c r="AT579" s="21"/>
      <c r="AU579" s="21"/>
      <c r="AV579" s="21"/>
      <c r="AW579" s="21"/>
      <c r="AX579" s="21"/>
      <c r="AY579" s="21"/>
      <c r="AZ579" s="21"/>
      <c r="BA579" s="21"/>
      <c r="BB579" s="21"/>
      <c r="BC579" s="21"/>
      <c r="BD579" s="21"/>
      <c r="BE579" s="21"/>
      <c r="BF579" s="21"/>
      <c r="BG579" s="21"/>
      <c r="BH579" s="21"/>
      <c r="BI579" s="21"/>
      <c r="BJ579" s="21"/>
    </row>
    <row r="580" spans="1:62" s="138" customFormat="1" ht="12.75" customHeight="1" x14ac:dyDescent="0.25">
      <c r="A580" s="381" t="s">
        <v>1380</v>
      </c>
      <c r="B580" s="352">
        <v>5</v>
      </c>
      <c r="C580" s="49">
        <v>5</v>
      </c>
      <c r="D580" s="382" t="s">
        <v>86</v>
      </c>
      <c r="E580" s="65"/>
      <c r="F580" s="22"/>
      <c r="G580" s="33" t="s">
        <v>988</v>
      </c>
      <c r="H580" s="33" t="s">
        <v>1218</v>
      </c>
      <c r="I580" s="33"/>
      <c r="J580" s="22"/>
      <c r="K580" s="33"/>
      <c r="L580" s="25"/>
      <c r="M580" s="25"/>
      <c r="N580" s="52">
        <v>1</v>
      </c>
      <c r="O580" s="22"/>
      <c r="P580" s="313">
        <v>141.49</v>
      </c>
      <c r="Q580" s="28">
        <f t="shared" si="54"/>
        <v>141.49</v>
      </c>
      <c r="R580" s="35"/>
      <c r="S580" s="35">
        <v>206.73</v>
      </c>
      <c r="T580" s="35"/>
      <c r="U580" s="35">
        <f t="shared" si="57"/>
        <v>-65.239999999999981</v>
      </c>
      <c r="V580" s="22" t="s">
        <v>1383</v>
      </c>
      <c r="W580" s="22" t="s">
        <v>1384</v>
      </c>
      <c r="X580" s="22"/>
      <c r="Y580" s="22"/>
      <c r="Z580" s="29">
        <v>43405</v>
      </c>
      <c r="AA580" s="29"/>
      <c r="AB580" s="29">
        <v>43413</v>
      </c>
      <c r="AC580" s="29"/>
      <c r="AD580" s="29"/>
      <c r="AE580" s="29"/>
      <c r="AF580" s="22"/>
      <c r="AG580" s="29" t="s">
        <v>914</v>
      </c>
      <c r="AH580" s="519"/>
      <c r="AI580" s="144"/>
      <c r="AJ580" s="143"/>
      <c r="AK580" s="143"/>
      <c r="AL580" s="143"/>
      <c r="AM580" s="143"/>
      <c r="AN580" s="143">
        <v>206.73</v>
      </c>
      <c r="AO580" s="143"/>
      <c r="AP580" s="143"/>
      <c r="AQ580" s="143"/>
      <c r="AR580" s="143"/>
      <c r="AS580" s="21"/>
      <c r="AT580" s="21"/>
      <c r="AU580" s="21"/>
      <c r="AV580" s="21"/>
      <c r="AW580" s="21"/>
      <c r="AX580" s="21"/>
      <c r="AY580" s="21"/>
      <c r="AZ580" s="21"/>
      <c r="BA580" s="21"/>
      <c r="BB580" s="21"/>
      <c r="BC580" s="21"/>
      <c r="BD580" s="21"/>
      <c r="BE580" s="21"/>
      <c r="BF580" s="21"/>
      <c r="BG580" s="21"/>
      <c r="BH580" s="21"/>
      <c r="BI580" s="21"/>
      <c r="BJ580" s="21"/>
    </row>
    <row r="581" spans="1:62" s="138" customFormat="1" ht="12.75" customHeight="1" x14ac:dyDescent="0.25">
      <c r="A581" s="381" t="s">
        <v>1339</v>
      </c>
      <c r="B581" s="352">
        <v>5</v>
      </c>
      <c r="C581" s="49">
        <v>5</v>
      </c>
      <c r="D581" s="382" t="s">
        <v>86</v>
      </c>
      <c r="E581" s="65"/>
      <c r="F581" s="22"/>
      <c r="G581" s="33" t="s">
        <v>1399</v>
      </c>
      <c r="H581" s="33" t="s">
        <v>1026</v>
      </c>
      <c r="I581" s="33"/>
      <c r="J581" s="22"/>
      <c r="K581" s="33" t="s">
        <v>1400</v>
      </c>
      <c r="L581" s="25"/>
      <c r="M581" s="25"/>
      <c r="N581" s="52">
        <v>10</v>
      </c>
      <c r="O581" s="22"/>
      <c r="P581" s="313">
        <v>7.42</v>
      </c>
      <c r="Q581" s="28">
        <f t="shared" si="54"/>
        <v>74.2</v>
      </c>
      <c r="R581" s="35"/>
      <c r="S581" s="35">
        <v>80</v>
      </c>
      <c r="T581" s="35"/>
      <c r="U581" s="35">
        <f t="shared" si="57"/>
        <v>-5.7999999999999972</v>
      </c>
      <c r="V581" s="22" t="s">
        <v>1341</v>
      </c>
      <c r="W581" s="22" t="s">
        <v>1342</v>
      </c>
      <c r="X581" s="22"/>
      <c r="Y581" s="22"/>
      <c r="Z581" s="29">
        <v>43418</v>
      </c>
      <c r="AA581" s="29"/>
      <c r="AB581" s="29">
        <v>43425</v>
      </c>
      <c r="AC581" s="29">
        <v>43483</v>
      </c>
      <c r="AD581" s="29"/>
      <c r="AE581" s="29"/>
      <c r="AF581" s="22"/>
      <c r="AG581" s="29" t="s">
        <v>98</v>
      </c>
      <c r="AH581" s="35">
        <v>80</v>
      </c>
      <c r="AI581" s="144"/>
      <c r="AJ581" s="143"/>
      <c r="AK581" s="143"/>
      <c r="AL581" s="143"/>
      <c r="AM581" s="143"/>
      <c r="AN581" s="143"/>
      <c r="AO581" s="143"/>
      <c r="AP581" s="143"/>
      <c r="AQ581" s="143"/>
      <c r="AR581" s="143"/>
      <c r="AS581" s="21"/>
      <c r="AT581" s="21"/>
      <c r="AU581" s="21"/>
      <c r="AV581" s="21"/>
      <c r="AW581" s="21"/>
      <c r="AX581" s="21"/>
      <c r="AY581" s="21"/>
      <c r="AZ581" s="21"/>
      <c r="BA581" s="21"/>
      <c r="BB581" s="21"/>
      <c r="BC581" s="21"/>
      <c r="BD581" s="21"/>
      <c r="BE581" s="21"/>
      <c r="BF581" s="21"/>
      <c r="BG581" s="21"/>
      <c r="BH581" s="21"/>
      <c r="BI581" s="21"/>
      <c r="BJ581" s="21"/>
    </row>
    <row r="582" spans="1:62" s="138" customFormat="1" ht="12.75" customHeight="1" x14ac:dyDescent="0.25">
      <c r="A582" s="381" t="s">
        <v>1339</v>
      </c>
      <c r="B582" s="352">
        <v>5</v>
      </c>
      <c r="C582" s="49">
        <v>5</v>
      </c>
      <c r="D582" s="382" t="s">
        <v>86</v>
      </c>
      <c r="E582" s="65"/>
      <c r="F582" s="22"/>
      <c r="G582" s="33" t="s">
        <v>1401</v>
      </c>
      <c r="H582" s="33" t="s">
        <v>1026</v>
      </c>
      <c r="I582" s="33"/>
      <c r="J582" s="22"/>
      <c r="K582" s="139">
        <v>3049291</v>
      </c>
      <c r="L582" s="25"/>
      <c r="M582" s="25"/>
      <c r="N582" s="52">
        <v>10</v>
      </c>
      <c r="O582" s="22"/>
      <c r="P582" s="313">
        <v>7.46</v>
      </c>
      <c r="Q582" s="28">
        <f t="shared" si="54"/>
        <v>74.599999999999994</v>
      </c>
      <c r="R582" s="35"/>
      <c r="S582" s="35">
        <v>50</v>
      </c>
      <c r="T582" s="35"/>
      <c r="U582" s="35">
        <f t="shared" si="57"/>
        <v>24.599999999999994</v>
      </c>
      <c r="V582" s="22" t="s">
        <v>1341</v>
      </c>
      <c r="W582" s="22" t="s">
        <v>1342</v>
      </c>
      <c r="X582" s="22"/>
      <c r="Y582" s="22"/>
      <c r="Z582" s="29">
        <v>43418</v>
      </c>
      <c r="AA582" s="29"/>
      <c r="AB582" s="29">
        <v>43425</v>
      </c>
      <c r="AC582" s="29">
        <v>43483</v>
      </c>
      <c r="AD582" s="29"/>
      <c r="AE582" s="29"/>
      <c r="AF582" s="22"/>
      <c r="AG582" s="29" t="s">
        <v>98</v>
      </c>
      <c r="AH582" s="35">
        <v>50</v>
      </c>
      <c r="AI582" s="144"/>
      <c r="AJ582" s="143"/>
      <c r="AK582" s="143"/>
      <c r="AL582" s="143"/>
      <c r="AM582" s="143"/>
      <c r="AN582" s="143"/>
      <c r="AO582" s="143"/>
      <c r="AP582" s="143"/>
      <c r="AQ582" s="143"/>
      <c r="AR582" s="143"/>
      <c r="AS582" s="21"/>
      <c r="AT582" s="21"/>
      <c r="AU582" s="21"/>
      <c r="AV582" s="21"/>
      <c r="AW582" s="21"/>
      <c r="AX582" s="21"/>
      <c r="AY582" s="21"/>
      <c r="AZ582" s="21"/>
      <c r="BA582" s="21"/>
      <c r="BB582" s="21"/>
      <c r="BC582" s="21"/>
      <c r="BD582" s="21"/>
      <c r="BE582" s="21"/>
      <c r="BF582" s="21"/>
      <c r="BG582" s="21"/>
      <c r="BH582" s="21"/>
      <c r="BI582" s="21"/>
      <c r="BJ582" s="21"/>
    </row>
    <row r="583" spans="1:62" s="138" customFormat="1" ht="12.75" customHeight="1" x14ac:dyDescent="0.25">
      <c r="A583" s="381" t="s">
        <v>1339</v>
      </c>
      <c r="B583" s="352">
        <v>5</v>
      </c>
      <c r="C583" s="49">
        <v>5</v>
      </c>
      <c r="D583" s="382" t="s">
        <v>86</v>
      </c>
      <c r="E583" s="65"/>
      <c r="F583" s="22"/>
      <c r="G583" s="33" t="s">
        <v>1402</v>
      </c>
      <c r="H583" s="33" t="s">
        <v>1026</v>
      </c>
      <c r="I583" s="33"/>
      <c r="J583" s="22"/>
      <c r="K583" s="33" t="s">
        <v>1403</v>
      </c>
      <c r="L583" s="25"/>
      <c r="M583" s="25"/>
      <c r="N583" s="52">
        <v>2</v>
      </c>
      <c r="O583" s="22"/>
      <c r="P583" s="313">
        <v>68.69</v>
      </c>
      <c r="Q583" s="28">
        <f t="shared" si="54"/>
        <v>137.38</v>
      </c>
      <c r="R583" s="35"/>
      <c r="S583" s="35">
        <v>128</v>
      </c>
      <c r="T583" s="35"/>
      <c r="U583" s="35">
        <f t="shared" si="57"/>
        <v>9.3799999999999955</v>
      </c>
      <c r="V583" s="22" t="s">
        <v>1341</v>
      </c>
      <c r="W583" s="22" t="s">
        <v>1342</v>
      </c>
      <c r="X583" s="22"/>
      <c r="Y583" s="22"/>
      <c r="Z583" s="29">
        <v>43418</v>
      </c>
      <c r="AA583" s="29"/>
      <c r="AB583" s="29">
        <v>43425</v>
      </c>
      <c r="AC583" s="29">
        <v>43483</v>
      </c>
      <c r="AD583" s="29"/>
      <c r="AE583" s="29"/>
      <c r="AF583" s="22"/>
      <c r="AG583" s="29" t="s">
        <v>98</v>
      </c>
      <c r="AH583" s="35">
        <v>128</v>
      </c>
      <c r="AI583" s="144"/>
      <c r="AJ583" s="143"/>
      <c r="AK583" s="143"/>
      <c r="AL583" s="143"/>
      <c r="AM583" s="143"/>
      <c r="AN583" s="143"/>
      <c r="AO583" s="143"/>
      <c r="AP583" s="143"/>
      <c r="AQ583" s="143"/>
      <c r="AR583" s="143"/>
      <c r="AS583" s="21"/>
      <c r="AT583" s="21"/>
      <c r="AU583" s="21"/>
      <c r="AV583" s="21"/>
      <c r="AW583" s="21"/>
      <c r="AX583" s="21"/>
      <c r="AY583" s="21"/>
      <c r="AZ583" s="21"/>
      <c r="BA583" s="21"/>
      <c r="BB583" s="21"/>
      <c r="BC583" s="21"/>
      <c r="BD583" s="21"/>
      <c r="BE583" s="21"/>
      <c r="BF583" s="21"/>
      <c r="BG583" s="21"/>
      <c r="BH583" s="21"/>
      <c r="BI583" s="21"/>
      <c r="BJ583" s="21"/>
    </row>
    <row r="584" spans="1:62" s="138" customFormat="1" ht="39.6" x14ac:dyDescent="0.25">
      <c r="A584" s="381" t="s">
        <v>1339</v>
      </c>
      <c r="B584" s="352">
        <v>5</v>
      </c>
      <c r="C584" s="49">
        <v>5</v>
      </c>
      <c r="D584" s="382" t="s">
        <v>86</v>
      </c>
      <c r="E584" s="65"/>
      <c r="F584" s="22"/>
      <c r="G584" s="33" t="s">
        <v>1404</v>
      </c>
      <c r="H584" s="33" t="s">
        <v>1026</v>
      </c>
      <c r="I584" s="33" t="s">
        <v>98</v>
      </c>
      <c r="J584" s="22"/>
      <c r="K584" s="33" t="s">
        <v>1405</v>
      </c>
      <c r="L584" s="25"/>
      <c r="M584" s="25"/>
      <c r="N584" s="52">
        <v>17</v>
      </c>
      <c r="O584" s="22"/>
      <c r="P584" s="313">
        <v>34.96</v>
      </c>
      <c r="Q584" s="28">
        <f t="shared" si="54"/>
        <v>594.32000000000005</v>
      </c>
      <c r="R584" s="35"/>
      <c r="S584" s="35">
        <v>510</v>
      </c>
      <c r="T584" s="35"/>
      <c r="U584" s="35"/>
      <c r="V584" s="22" t="s">
        <v>1341</v>
      </c>
      <c r="W584" s="22" t="s">
        <v>1342</v>
      </c>
      <c r="X584" s="22"/>
      <c r="Y584" s="22"/>
      <c r="Z584" s="29">
        <v>43418</v>
      </c>
      <c r="AA584" s="29"/>
      <c r="AB584" s="29">
        <v>43425</v>
      </c>
      <c r="AC584" s="29">
        <v>43483</v>
      </c>
      <c r="AD584" s="29"/>
      <c r="AE584" s="29"/>
      <c r="AF584" s="22"/>
      <c r="AG584" s="29" t="s">
        <v>98</v>
      </c>
      <c r="AH584" s="35">
        <v>510</v>
      </c>
      <c r="AI584" s="144"/>
      <c r="AJ584" s="143"/>
      <c r="AK584" s="143"/>
      <c r="AL584" s="143"/>
      <c r="AM584" s="143"/>
      <c r="AN584" s="143"/>
      <c r="AO584" s="143"/>
      <c r="AP584" s="143"/>
      <c r="AQ584" s="143"/>
      <c r="AR584" s="143"/>
      <c r="AS584" s="21"/>
      <c r="AT584" s="21"/>
      <c r="AU584" s="21"/>
      <c r="AV584" s="21"/>
      <c r="AW584" s="21"/>
      <c r="AX584" s="21"/>
      <c r="AY584" s="21"/>
      <c r="AZ584" s="21"/>
      <c r="BA584" s="21"/>
      <c r="BB584" s="21"/>
      <c r="BC584" s="21"/>
      <c r="BD584" s="21"/>
      <c r="BE584" s="21"/>
      <c r="BF584" s="21"/>
      <c r="BG584" s="21"/>
      <c r="BH584" s="21"/>
      <c r="BI584" s="21"/>
      <c r="BJ584" s="21"/>
    </row>
    <row r="585" spans="1:62" ht="26.4" hidden="1" x14ac:dyDescent="0.25">
      <c r="A585" s="22"/>
      <c r="B585" s="352">
        <v>8</v>
      </c>
      <c r="C585" s="49">
        <v>5</v>
      </c>
      <c r="D585" s="382" t="s">
        <v>86</v>
      </c>
      <c r="E585" s="65"/>
      <c r="F585" s="22"/>
      <c r="G585" s="33" t="s">
        <v>1406</v>
      </c>
      <c r="H585" s="33" t="s">
        <v>116</v>
      </c>
      <c r="I585" s="33"/>
      <c r="J585" s="22"/>
      <c r="K585" s="33" t="s">
        <v>651</v>
      </c>
      <c r="L585" s="25"/>
      <c r="M585" s="25"/>
      <c r="N585" s="52">
        <v>2</v>
      </c>
      <c r="O585" s="22"/>
      <c r="P585" s="313">
        <v>1295</v>
      </c>
      <c r="Q585" s="28">
        <f t="shared" ref="Q585:Q591" si="58">N585*P585</f>
        <v>2590</v>
      </c>
      <c r="R585" s="35"/>
      <c r="S585" s="35"/>
      <c r="T585" s="35"/>
      <c r="U585" s="35"/>
      <c r="V585" s="22"/>
      <c r="W585" s="22"/>
      <c r="X585" s="22"/>
      <c r="Y585" s="22"/>
      <c r="Z585" s="29"/>
      <c r="AA585" s="29"/>
      <c r="AB585" s="29"/>
      <c r="AC585" s="29"/>
      <c r="AD585" s="29"/>
      <c r="AE585" s="29"/>
      <c r="AF585" s="22"/>
      <c r="AG585" s="29"/>
      <c r="AH585" s="145"/>
      <c r="AI585" s="22"/>
      <c r="AJ585" s="292"/>
      <c r="AK585" s="28"/>
      <c r="AL585" s="22"/>
      <c r="AM585" s="22"/>
      <c r="AN585" s="22"/>
      <c r="AO585" s="22"/>
      <c r="AP585" s="22"/>
      <c r="AQ585" s="22"/>
      <c r="AR585" s="22"/>
    </row>
    <row r="586" spans="1:62" ht="26.4" hidden="1" x14ac:dyDescent="0.25">
      <c r="A586" s="22"/>
      <c r="B586" s="352">
        <v>8</v>
      </c>
      <c r="C586" s="49">
        <v>5</v>
      </c>
      <c r="D586" s="382" t="s">
        <v>86</v>
      </c>
      <c r="E586" s="65"/>
      <c r="F586" s="22"/>
      <c r="G586" s="33" t="s">
        <v>1407</v>
      </c>
      <c r="H586" s="33" t="s">
        <v>116</v>
      </c>
      <c r="I586" s="33"/>
      <c r="J586" s="22"/>
      <c r="K586" s="33" t="s">
        <v>655</v>
      </c>
      <c r="L586" s="25"/>
      <c r="M586" s="25"/>
      <c r="N586" s="52">
        <v>2</v>
      </c>
      <c r="O586" s="22"/>
      <c r="P586" s="313">
        <v>1295</v>
      </c>
      <c r="Q586" s="28">
        <f t="shared" si="58"/>
        <v>2590</v>
      </c>
      <c r="R586" s="35"/>
      <c r="S586" s="35"/>
      <c r="T586" s="35"/>
      <c r="U586" s="35"/>
      <c r="V586" s="22"/>
      <c r="W586" s="22"/>
      <c r="X586" s="22"/>
      <c r="Y586" s="22"/>
      <c r="Z586" s="29"/>
      <c r="AA586" s="29"/>
      <c r="AB586" s="29"/>
      <c r="AC586" s="29"/>
      <c r="AD586" s="29"/>
      <c r="AE586" s="29"/>
      <c r="AF586" s="22"/>
      <c r="AG586" s="29"/>
      <c r="AH586" s="145"/>
      <c r="AI586" s="22"/>
      <c r="AJ586" s="292"/>
      <c r="AK586" s="28"/>
      <c r="AL586" s="22"/>
      <c r="AM586" s="22"/>
      <c r="AN586" s="22"/>
      <c r="AO586" s="22"/>
      <c r="AP586" s="22"/>
      <c r="AQ586" s="22"/>
      <c r="AR586" s="22"/>
    </row>
    <row r="587" spans="1:62" ht="26.4" hidden="1" x14ac:dyDescent="0.25">
      <c r="A587" s="22"/>
      <c r="B587" s="352">
        <v>8</v>
      </c>
      <c r="C587" s="49">
        <v>5</v>
      </c>
      <c r="D587" s="382" t="s">
        <v>86</v>
      </c>
      <c r="E587" s="65"/>
      <c r="F587" s="22"/>
      <c r="G587" s="33" t="s">
        <v>656</v>
      </c>
      <c r="H587" s="33" t="s">
        <v>116</v>
      </c>
      <c r="I587" s="33"/>
      <c r="J587" s="22"/>
      <c r="K587" s="33" t="s">
        <v>657</v>
      </c>
      <c r="L587" s="25"/>
      <c r="M587" s="25"/>
      <c r="N587" s="52">
        <v>4</v>
      </c>
      <c r="O587" s="22"/>
      <c r="P587" s="313">
        <v>69</v>
      </c>
      <c r="Q587" s="28">
        <f t="shared" si="58"/>
        <v>276</v>
      </c>
      <c r="R587" s="35"/>
      <c r="S587" s="35"/>
      <c r="T587" s="35"/>
      <c r="U587" s="35"/>
      <c r="V587" s="22"/>
      <c r="W587" s="22"/>
      <c r="X587" s="22"/>
      <c r="Y587" s="22"/>
      <c r="Z587" s="29"/>
      <c r="AA587" s="29"/>
      <c r="AB587" s="29"/>
      <c r="AC587" s="29"/>
      <c r="AD587" s="29"/>
      <c r="AE587" s="29"/>
      <c r="AF587" s="22"/>
      <c r="AG587" s="29"/>
      <c r="AH587" s="145"/>
      <c r="AI587" s="22"/>
      <c r="AJ587" s="292"/>
      <c r="AK587" s="28"/>
      <c r="AL587" s="22"/>
      <c r="AM587" s="22"/>
      <c r="AN587" s="22"/>
      <c r="AO587" s="22"/>
      <c r="AP587" s="22"/>
      <c r="AQ587" s="22"/>
      <c r="AR587" s="22"/>
    </row>
    <row r="588" spans="1:62" ht="26.4" hidden="1" x14ac:dyDescent="0.25">
      <c r="A588" s="22"/>
      <c r="B588" s="352">
        <v>8</v>
      </c>
      <c r="C588" s="49">
        <v>5</v>
      </c>
      <c r="D588" s="382" t="s">
        <v>86</v>
      </c>
      <c r="E588" s="65"/>
      <c r="F588" s="22"/>
      <c r="G588" s="33" t="s">
        <v>660</v>
      </c>
      <c r="H588" s="33" t="s">
        <v>116</v>
      </c>
      <c r="I588" s="33"/>
      <c r="J588" s="22"/>
      <c r="K588" s="33" t="s">
        <v>661</v>
      </c>
      <c r="L588" s="25"/>
      <c r="M588" s="25"/>
      <c r="N588" s="52">
        <v>4</v>
      </c>
      <c r="O588" s="22"/>
      <c r="P588" s="313">
        <v>39</v>
      </c>
      <c r="Q588" s="28">
        <f t="shared" si="58"/>
        <v>156</v>
      </c>
      <c r="R588" s="35"/>
      <c r="S588" s="35"/>
      <c r="T588" s="35"/>
      <c r="U588" s="35"/>
      <c r="V588" s="22"/>
      <c r="W588" s="22"/>
      <c r="X588" s="22"/>
      <c r="Y588" s="22"/>
      <c r="Z588" s="29"/>
      <c r="AA588" s="29"/>
      <c r="AB588" s="29"/>
      <c r="AC588" s="29"/>
      <c r="AD588" s="29"/>
      <c r="AE588" s="29"/>
      <c r="AF588" s="22"/>
      <c r="AG588" s="29"/>
      <c r="AH588" s="145"/>
      <c r="AI588" s="22"/>
      <c r="AJ588" s="292"/>
      <c r="AK588" s="28"/>
      <c r="AL588" s="22"/>
      <c r="AM588" s="22"/>
      <c r="AN588" s="22"/>
      <c r="AO588" s="22"/>
      <c r="AP588" s="22"/>
      <c r="AQ588" s="22"/>
      <c r="AR588" s="22"/>
    </row>
    <row r="589" spans="1:62" ht="12.75" hidden="1" customHeight="1" x14ac:dyDescent="0.25">
      <c r="A589" s="22"/>
      <c r="B589" s="352">
        <v>8</v>
      </c>
      <c r="C589" s="80">
        <v>5</v>
      </c>
      <c r="D589" s="382" t="s">
        <v>86</v>
      </c>
      <c r="E589" s="65"/>
      <c r="F589" s="22"/>
      <c r="G589" s="42" t="s">
        <v>732</v>
      </c>
      <c r="H589" s="42" t="s">
        <v>88</v>
      </c>
      <c r="I589" s="33" t="s">
        <v>98</v>
      </c>
      <c r="J589" s="22"/>
      <c r="K589" s="42" t="s">
        <v>733</v>
      </c>
      <c r="L589" s="25"/>
      <c r="M589" s="25"/>
      <c r="N589" s="50">
        <v>2</v>
      </c>
      <c r="O589" s="22"/>
      <c r="P589" s="81">
        <v>932.37</v>
      </c>
      <c r="Q589" s="28">
        <f t="shared" si="58"/>
        <v>1864.74</v>
      </c>
      <c r="R589" s="35"/>
      <c r="S589" s="35"/>
      <c r="T589" s="35"/>
      <c r="U589" s="35"/>
      <c r="V589" s="22"/>
      <c r="W589" s="22"/>
      <c r="X589" s="22"/>
      <c r="Y589" s="22"/>
      <c r="Z589" s="29"/>
      <c r="AA589" s="29"/>
      <c r="AB589" s="29"/>
      <c r="AC589" s="29"/>
      <c r="AD589" s="29"/>
      <c r="AE589" s="29"/>
      <c r="AF589" s="22"/>
      <c r="AG589" s="29"/>
      <c r="AH589" s="145"/>
      <c r="AI589" s="22"/>
      <c r="AJ589" s="292"/>
      <c r="AK589" s="28"/>
      <c r="AL589" s="22"/>
      <c r="AM589" s="22"/>
      <c r="AN589" s="22"/>
      <c r="AO589" s="22"/>
      <c r="AP589" s="22"/>
      <c r="AQ589" s="22"/>
      <c r="AR589" s="22"/>
    </row>
    <row r="590" spans="1:62" ht="12.75" hidden="1" customHeight="1" x14ac:dyDescent="0.25">
      <c r="A590" s="22" t="s">
        <v>1408</v>
      </c>
      <c r="B590" s="352">
        <v>8</v>
      </c>
      <c r="C590" s="80">
        <v>5</v>
      </c>
      <c r="D590" s="382" t="s">
        <v>86</v>
      </c>
      <c r="E590" s="65"/>
      <c r="F590" s="22"/>
      <c r="G590" s="42" t="s">
        <v>1409</v>
      </c>
      <c r="H590" s="42" t="s">
        <v>708</v>
      </c>
      <c r="I590" s="33" t="s">
        <v>98</v>
      </c>
      <c r="J590" s="22"/>
      <c r="K590" s="42" t="s">
        <v>709</v>
      </c>
      <c r="L590" s="25"/>
      <c r="M590" s="25"/>
      <c r="N590" s="50">
        <v>2</v>
      </c>
      <c r="O590" s="22"/>
      <c r="P590" s="81">
        <v>810</v>
      </c>
      <c r="Q590" s="28">
        <f t="shared" si="58"/>
        <v>1620</v>
      </c>
      <c r="R590" s="35"/>
      <c r="S590" s="35"/>
      <c r="T590" s="35"/>
      <c r="U590" s="35"/>
      <c r="V590" s="22"/>
      <c r="W590" s="22"/>
      <c r="X590" s="22"/>
      <c r="Y590" s="22"/>
      <c r="Z590" s="29"/>
      <c r="AA590" s="29"/>
      <c r="AB590" s="29"/>
      <c r="AC590" s="29"/>
      <c r="AD590" s="29"/>
      <c r="AE590" s="29"/>
      <c r="AF590" s="22"/>
      <c r="AG590" s="29"/>
      <c r="AH590" s="145"/>
      <c r="AI590" s="22"/>
      <c r="AJ590" s="28"/>
      <c r="AK590" s="28"/>
      <c r="AL590" s="22"/>
      <c r="AM590" s="22"/>
      <c r="AN590" s="22"/>
      <c r="AO590" s="22"/>
      <c r="AP590" s="22"/>
      <c r="AQ590" s="22"/>
      <c r="AR590" s="22"/>
    </row>
    <row r="591" spans="1:62" ht="12.75" hidden="1" customHeight="1" x14ac:dyDescent="0.25">
      <c r="A591" s="22" t="s">
        <v>1408</v>
      </c>
      <c r="B591" s="352">
        <v>8</v>
      </c>
      <c r="C591" s="80">
        <v>5</v>
      </c>
      <c r="D591" s="382" t="s">
        <v>86</v>
      </c>
      <c r="E591" s="65"/>
      <c r="F591" s="22"/>
      <c r="G591" s="42" t="s">
        <v>1410</v>
      </c>
      <c r="H591" s="42" t="s">
        <v>708</v>
      </c>
      <c r="I591" s="33" t="s">
        <v>98</v>
      </c>
      <c r="J591" s="22"/>
      <c r="K591" s="42" t="s">
        <v>713</v>
      </c>
      <c r="L591" s="25"/>
      <c r="M591" s="25"/>
      <c r="N591" s="50">
        <v>2</v>
      </c>
      <c r="O591" s="22"/>
      <c r="P591" s="81">
        <v>135</v>
      </c>
      <c r="Q591" s="28">
        <f t="shared" si="58"/>
        <v>270</v>
      </c>
      <c r="R591" s="35"/>
      <c r="S591" s="35"/>
      <c r="T591" s="35"/>
      <c r="U591" s="35"/>
      <c r="V591" s="22"/>
      <c r="W591" s="22"/>
      <c r="X591" s="22"/>
      <c r="Y591" s="22"/>
      <c r="Z591" s="29"/>
      <c r="AA591" s="29"/>
      <c r="AB591" s="29"/>
      <c r="AC591" s="29"/>
      <c r="AD591" s="29"/>
      <c r="AE591" s="29"/>
      <c r="AF591" s="22"/>
      <c r="AG591" s="29"/>
      <c r="AH591" s="145"/>
      <c r="AI591" s="22"/>
      <c r="AJ591" s="28"/>
      <c r="AK591" s="28"/>
      <c r="AL591" s="22"/>
      <c r="AM591" s="22"/>
      <c r="AN591" s="22"/>
      <c r="AO591" s="22"/>
      <c r="AP591" s="22"/>
      <c r="AQ591" s="22"/>
      <c r="AR591" s="22"/>
    </row>
    <row r="592" spans="1:62" s="138" customFormat="1" ht="12.75" customHeight="1" x14ac:dyDescent="0.25">
      <c r="A592" s="265" t="s">
        <v>903</v>
      </c>
      <c r="B592" s="352">
        <v>5</v>
      </c>
      <c r="C592" s="49">
        <v>5</v>
      </c>
      <c r="D592" s="382" t="s">
        <v>86</v>
      </c>
      <c r="E592" s="65"/>
      <c r="F592" s="22"/>
      <c r="G592" s="33" t="s">
        <v>1411</v>
      </c>
      <c r="H592" s="33" t="s">
        <v>1412</v>
      </c>
      <c r="I592" s="33"/>
      <c r="J592" s="22"/>
      <c r="K592" s="33" t="s">
        <v>1413</v>
      </c>
      <c r="L592" s="25"/>
      <c r="M592" s="25"/>
      <c r="N592" s="50">
        <v>1</v>
      </c>
      <c r="O592" s="22"/>
      <c r="P592" s="313">
        <v>189.99</v>
      </c>
      <c r="Q592" s="28">
        <f t="shared" ref="Q592:Q602" si="59">N592*P592</f>
        <v>189.99</v>
      </c>
      <c r="R592" s="35"/>
      <c r="S592" s="35"/>
      <c r="T592" s="35"/>
      <c r="U592" s="35"/>
      <c r="V592" s="22" t="s">
        <v>1414</v>
      </c>
      <c r="W592" s="22" t="s">
        <v>1415</v>
      </c>
      <c r="X592" s="22"/>
      <c r="Y592" s="22"/>
      <c r="Z592" s="29">
        <v>43525</v>
      </c>
      <c r="AA592" s="29"/>
      <c r="AB592" s="29">
        <v>43532</v>
      </c>
      <c r="AC592" s="29"/>
      <c r="AD592" s="29"/>
      <c r="AE592" s="29"/>
      <c r="AF592" s="22"/>
      <c r="AG592" s="29" t="s">
        <v>914</v>
      </c>
      <c r="AH592" s="519"/>
      <c r="AI592" s="144"/>
      <c r="AJ592" s="143"/>
      <c r="AK592" s="143"/>
      <c r="AL592" s="143"/>
      <c r="AM592" s="143"/>
      <c r="AN592" s="143">
        <f>Q592</f>
        <v>189.99</v>
      </c>
      <c r="AO592" s="143"/>
      <c r="AP592" s="143"/>
      <c r="AQ592" s="143"/>
      <c r="AR592" s="143"/>
      <c r="AS592" s="21"/>
      <c r="AT592" s="21"/>
      <c r="AU592" s="21"/>
      <c r="AV592" s="21"/>
      <c r="AW592" s="21"/>
      <c r="AX592" s="21"/>
      <c r="AY592" s="21"/>
      <c r="AZ592" s="21"/>
      <c r="BA592" s="21"/>
      <c r="BB592" s="21"/>
      <c r="BC592" s="21"/>
      <c r="BD592" s="21"/>
      <c r="BE592" s="21"/>
      <c r="BF592" s="21"/>
      <c r="BG592" s="21"/>
      <c r="BH592" s="21"/>
      <c r="BI592" s="21"/>
      <c r="BJ592" s="21"/>
    </row>
    <row r="593" spans="1:62" s="138" customFormat="1" ht="92.4" x14ac:dyDescent="0.25">
      <c r="A593" s="87" t="s">
        <v>1371</v>
      </c>
      <c r="B593" s="352">
        <v>5</v>
      </c>
      <c r="C593" s="49">
        <v>5</v>
      </c>
      <c r="D593" s="382" t="s">
        <v>86</v>
      </c>
      <c r="E593" s="65"/>
      <c r="F593" s="22"/>
      <c r="G593" s="33" t="s">
        <v>1416</v>
      </c>
      <c r="H593" s="33" t="s">
        <v>1412</v>
      </c>
      <c r="I593" s="33"/>
      <c r="J593" s="22"/>
      <c r="K593" s="139">
        <v>878614</v>
      </c>
      <c r="L593" s="25"/>
      <c r="M593" s="25"/>
      <c r="N593" s="50">
        <v>1</v>
      </c>
      <c r="O593" s="22"/>
      <c r="P593" s="313">
        <v>239.99</v>
      </c>
      <c r="Q593" s="28">
        <f t="shared" si="59"/>
        <v>239.99</v>
      </c>
      <c r="R593" s="35"/>
      <c r="S593" s="35"/>
      <c r="T593" s="35"/>
      <c r="U593" s="35"/>
      <c r="V593" s="22" t="s">
        <v>1414</v>
      </c>
      <c r="W593" s="22" t="s">
        <v>1415</v>
      </c>
      <c r="X593" s="22"/>
      <c r="Y593" s="22"/>
      <c r="Z593" s="29">
        <v>43525</v>
      </c>
      <c r="AA593" s="29"/>
      <c r="AB593" s="29">
        <v>43532</v>
      </c>
      <c r="AC593" s="29"/>
      <c r="AD593" s="29"/>
      <c r="AE593" s="29"/>
      <c r="AF593" s="22"/>
      <c r="AG593" s="29" t="s">
        <v>914</v>
      </c>
      <c r="AH593" s="519"/>
      <c r="AI593" s="144"/>
      <c r="AJ593" s="534"/>
      <c r="AK593" s="143"/>
      <c r="AL593" s="143"/>
      <c r="AM593" s="143"/>
      <c r="AN593" s="143">
        <f>Q593</f>
        <v>239.99</v>
      </c>
      <c r="AO593" s="143"/>
      <c r="AP593" s="143"/>
      <c r="AQ593" s="143"/>
      <c r="AR593" s="143"/>
      <c r="AS593" s="21"/>
      <c r="AT593" s="21"/>
      <c r="AU593" s="21"/>
      <c r="AV593" s="21"/>
      <c r="AW593" s="21"/>
      <c r="AX593" s="21"/>
      <c r="AY593" s="21"/>
      <c r="AZ593" s="21"/>
      <c r="BA593" s="21"/>
      <c r="BB593" s="21"/>
      <c r="BC593" s="21"/>
      <c r="BD593" s="21"/>
      <c r="BE593" s="21"/>
      <c r="BF593" s="21"/>
      <c r="BG593" s="21"/>
      <c r="BH593" s="21"/>
      <c r="BI593" s="21"/>
      <c r="BJ593" s="21"/>
    </row>
    <row r="594" spans="1:62" s="138" customFormat="1" ht="92.4" x14ac:dyDescent="0.25">
      <c r="A594" s="87" t="s">
        <v>1371</v>
      </c>
      <c r="B594" s="352">
        <v>5</v>
      </c>
      <c r="C594" s="49">
        <v>5</v>
      </c>
      <c r="D594" s="382" t="s">
        <v>86</v>
      </c>
      <c r="E594" s="65"/>
      <c r="F594" s="22"/>
      <c r="G594" s="33" t="s">
        <v>438</v>
      </c>
      <c r="H594" s="33" t="s">
        <v>1412</v>
      </c>
      <c r="I594" s="33"/>
      <c r="J594" s="22"/>
      <c r="K594" s="33"/>
      <c r="L594" s="25"/>
      <c r="M594" s="25"/>
      <c r="N594" s="50">
        <v>1</v>
      </c>
      <c r="O594" s="22"/>
      <c r="P594" s="313">
        <v>29.99</v>
      </c>
      <c r="Q594" s="28">
        <f t="shared" si="59"/>
        <v>29.99</v>
      </c>
      <c r="R594" s="35"/>
      <c r="S594" s="35"/>
      <c r="T594" s="35"/>
      <c r="U594" s="35"/>
      <c r="V594" s="22" t="s">
        <v>1414</v>
      </c>
      <c r="W594" s="22" t="s">
        <v>1415</v>
      </c>
      <c r="X594" s="22"/>
      <c r="Y594" s="22"/>
      <c r="Z594" s="29">
        <v>43525</v>
      </c>
      <c r="AA594" s="29"/>
      <c r="AB594" s="29">
        <v>43532</v>
      </c>
      <c r="AC594" s="29"/>
      <c r="AD594" s="29"/>
      <c r="AE594" s="29"/>
      <c r="AF594" s="22"/>
      <c r="AG594" s="29" t="s">
        <v>914</v>
      </c>
      <c r="AH594" s="519"/>
      <c r="AI594" s="144"/>
      <c r="AJ594" s="534"/>
      <c r="AK594" s="143"/>
      <c r="AL594" s="143"/>
      <c r="AM594" s="143"/>
      <c r="AN594" s="143">
        <f>Q594</f>
        <v>29.99</v>
      </c>
      <c r="AO594" s="143"/>
      <c r="AP594" s="143"/>
      <c r="AQ594" s="143"/>
      <c r="AR594" s="143"/>
      <c r="AS594" s="21"/>
      <c r="AT594" s="21"/>
      <c r="AU594" s="21"/>
      <c r="AV594" s="21"/>
      <c r="AW594" s="21"/>
      <c r="AX594" s="21"/>
      <c r="AY594" s="21"/>
      <c r="AZ594" s="21"/>
      <c r="BA594" s="21"/>
      <c r="BB594" s="21"/>
      <c r="BC594" s="21"/>
      <c r="BD594" s="21"/>
      <c r="BE594" s="21"/>
      <c r="BF594" s="21"/>
      <c r="BG594" s="21"/>
      <c r="BH594" s="21"/>
      <c r="BI594" s="21"/>
      <c r="BJ594" s="21"/>
    </row>
    <row r="595" spans="1:62" s="138" customFormat="1" ht="12.75" customHeight="1" x14ac:dyDescent="0.25">
      <c r="A595" s="381" t="s">
        <v>1417</v>
      </c>
      <c r="B595" s="352">
        <v>5</v>
      </c>
      <c r="C595" s="49">
        <v>5</v>
      </c>
      <c r="D595" s="382" t="s">
        <v>86</v>
      </c>
      <c r="E595" s="65"/>
      <c r="F595" s="22"/>
      <c r="G595" s="33" t="s">
        <v>1418</v>
      </c>
      <c r="H595" s="33" t="s">
        <v>955</v>
      </c>
      <c r="I595" s="33"/>
      <c r="J595" s="22"/>
      <c r="K595" s="139">
        <v>48017</v>
      </c>
      <c r="L595" s="25"/>
      <c r="M595" s="25"/>
      <c r="N595" s="50">
        <v>10</v>
      </c>
      <c r="O595" s="22"/>
      <c r="P595" s="313">
        <v>347.9</v>
      </c>
      <c r="Q595" s="28">
        <f t="shared" si="59"/>
        <v>3479</v>
      </c>
      <c r="R595" s="35"/>
      <c r="S595" s="35">
        <v>3479</v>
      </c>
      <c r="T595" s="35"/>
      <c r="U595" s="35">
        <f>Q595-S595</f>
        <v>0</v>
      </c>
      <c r="V595" s="22" t="s">
        <v>1419</v>
      </c>
      <c r="W595" s="22" t="s">
        <v>1420</v>
      </c>
      <c r="X595" s="22"/>
      <c r="Y595" s="22"/>
      <c r="Z595" s="29">
        <v>43439</v>
      </c>
      <c r="AA595" s="29"/>
      <c r="AB595" s="29">
        <v>43483</v>
      </c>
      <c r="AC595" s="29">
        <v>43483</v>
      </c>
      <c r="AD595" s="29"/>
      <c r="AE595" s="29"/>
      <c r="AF595" s="22"/>
      <c r="AG595" s="29" t="s">
        <v>914</v>
      </c>
      <c r="AH595" s="519"/>
      <c r="AI595" s="144"/>
      <c r="AJ595" s="534"/>
      <c r="AK595" s="143"/>
      <c r="AL595" s="143"/>
      <c r="AM595" s="143">
        <f>S595</f>
        <v>3479</v>
      </c>
      <c r="AN595" s="143"/>
      <c r="AO595" s="143"/>
      <c r="AP595" s="143"/>
      <c r="AQ595" s="143"/>
      <c r="AR595" s="143"/>
      <c r="AS595" s="21"/>
      <c r="AT595" s="21"/>
      <c r="AU595" s="21"/>
      <c r="AV595" s="21"/>
      <c r="AW595" s="21"/>
      <c r="AX595" s="21"/>
      <c r="AY595" s="21"/>
      <c r="AZ595" s="21"/>
      <c r="BA595" s="21"/>
      <c r="BB595" s="21"/>
      <c r="BC595" s="21"/>
      <c r="BD595" s="21"/>
      <c r="BE595" s="21"/>
      <c r="BF595" s="21"/>
      <c r="BG595" s="21"/>
      <c r="BH595" s="21"/>
      <c r="BI595" s="21"/>
      <c r="BJ595" s="21"/>
    </row>
    <row r="596" spans="1:62" s="138" customFormat="1" ht="12.75" customHeight="1" x14ac:dyDescent="0.25">
      <c r="A596" s="381" t="s">
        <v>1417</v>
      </c>
      <c r="B596" s="352">
        <v>5</v>
      </c>
      <c r="C596" s="49">
        <v>5</v>
      </c>
      <c r="D596" s="382" t="s">
        <v>86</v>
      </c>
      <c r="E596" s="65"/>
      <c r="F596" s="22"/>
      <c r="G596" s="33" t="s">
        <v>976</v>
      </c>
      <c r="H596" s="33" t="s">
        <v>955</v>
      </c>
      <c r="I596" s="33"/>
      <c r="J596" s="22"/>
      <c r="K596" s="139">
        <v>48113</v>
      </c>
      <c r="L596" s="25"/>
      <c r="M596" s="25"/>
      <c r="N596" s="50">
        <v>10</v>
      </c>
      <c r="O596" s="22"/>
      <c r="P596" s="313">
        <v>188.3</v>
      </c>
      <c r="Q596" s="28">
        <f t="shared" si="59"/>
        <v>1883</v>
      </c>
      <c r="R596" s="35"/>
      <c r="S596" s="35">
        <v>1883</v>
      </c>
      <c r="T596" s="35"/>
      <c r="U596" s="35">
        <f t="shared" ref="U596:U602" si="60">Q596-S596</f>
        <v>0</v>
      </c>
      <c r="V596" s="22" t="s">
        <v>1419</v>
      </c>
      <c r="W596" s="22" t="s">
        <v>1420</v>
      </c>
      <c r="X596" s="22"/>
      <c r="Y596" s="22"/>
      <c r="Z596" s="29">
        <v>43439</v>
      </c>
      <c r="AA596" s="29"/>
      <c r="AB596" s="29">
        <v>43483</v>
      </c>
      <c r="AC596" s="29">
        <v>43483</v>
      </c>
      <c r="AD596" s="29"/>
      <c r="AE596" s="29"/>
      <c r="AF596" s="22"/>
      <c r="AG596" s="29" t="s">
        <v>914</v>
      </c>
      <c r="AH596" s="519"/>
      <c r="AI596" s="144"/>
      <c r="AJ596" s="534"/>
      <c r="AK596" s="143"/>
      <c r="AL596" s="143"/>
      <c r="AM596" s="143">
        <f t="shared" ref="AM596:AM602" si="61">S596</f>
        <v>1883</v>
      </c>
      <c r="AN596" s="143"/>
      <c r="AO596" s="143"/>
      <c r="AP596" s="143"/>
      <c r="AQ596" s="143"/>
      <c r="AR596" s="143"/>
      <c r="AS596" s="21"/>
      <c r="AT596" s="21"/>
      <c r="AU596" s="21"/>
      <c r="AV596" s="21"/>
      <c r="AW596" s="21"/>
      <c r="AX596" s="21"/>
      <c r="AY596" s="21"/>
      <c r="AZ596" s="21"/>
      <c r="BA596" s="21"/>
      <c r="BB596" s="21"/>
      <c r="BC596" s="21"/>
      <c r="BD596" s="21"/>
      <c r="BE596" s="21"/>
      <c r="BF596" s="21"/>
      <c r="BG596" s="21"/>
      <c r="BH596" s="21"/>
      <c r="BI596" s="21"/>
      <c r="BJ596" s="21"/>
    </row>
    <row r="597" spans="1:62" s="138" customFormat="1" ht="12.75" customHeight="1" x14ac:dyDescent="0.25">
      <c r="A597" s="381" t="s">
        <v>1417</v>
      </c>
      <c r="B597" s="352">
        <v>5</v>
      </c>
      <c r="C597" s="49">
        <v>5</v>
      </c>
      <c r="D597" s="382" t="s">
        <v>86</v>
      </c>
      <c r="E597" s="65"/>
      <c r="F597" s="22"/>
      <c r="G597" s="33" t="s">
        <v>1421</v>
      </c>
      <c r="H597" s="33" t="s">
        <v>955</v>
      </c>
      <c r="I597" s="33"/>
      <c r="J597" s="22"/>
      <c r="K597" s="33" t="s">
        <v>978</v>
      </c>
      <c r="L597" s="25"/>
      <c r="M597" s="25"/>
      <c r="N597" s="50">
        <v>10</v>
      </c>
      <c r="O597" s="22"/>
      <c r="P597" s="313">
        <v>474.13</v>
      </c>
      <c r="Q597" s="28">
        <f t="shared" si="59"/>
        <v>4741.3</v>
      </c>
      <c r="R597" s="35"/>
      <c r="S597" s="35">
        <v>4741.3</v>
      </c>
      <c r="T597" s="35"/>
      <c r="U597" s="35">
        <f t="shared" si="60"/>
        <v>0</v>
      </c>
      <c r="V597" s="22" t="s">
        <v>1419</v>
      </c>
      <c r="W597" s="22" t="s">
        <v>1420</v>
      </c>
      <c r="X597" s="22"/>
      <c r="Y597" s="22"/>
      <c r="Z597" s="29">
        <v>43439</v>
      </c>
      <c r="AA597" s="29"/>
      <c r="AB597" s="29">
        <v>43483</v>
      </c>
      <c r="AC597" s="29">
        <v>43483</v>
      </c>
      <c r="AD597" s="29"/>
      <c r="AE597" s="29"/>
      <c r="AF597" s="22"/>
      <c r="AG597" s="29" t="s">
        <v>914</v>
      </c>
      <c r="AH597" s="519"/>
      <c r="AI597" s="144"/>
      <c r="AJ597" s="534"/>
      <c r="AK597" s="143"/>
      <c r="AL597" s="143"/>
      <c r="AM597" s="143">
        <f t="shared" si="61"/>
        <v>4741.3</v>
      </c>
      <c r="AN597" s="143"/>
      <c r="AO597" s="143"/>
      <c r="AP597" s="143"/>
      <c r="AQ597" s="143"/>
      <c r="AR597" s="143"/>
      <c r="AS597" s="21"/>
      <c r="AT597" s="21"/>
      <c r="AU597" s="21"/>
      <c r="AV597" s="21"/>
      <c r="AW597" s="21"/>
      <c r="AX597" s="21"/>
      <c r="AY597" s="21"/>
      <c r="AZ597" s="21"/>
      <c r="BA597" s="21"/>
      <c r="BB597" s="21"/>
      <c r="BC597" s="21"/>
      <c r="BD597" s="21"/>
      <c r="BE597" s="21"/>
      <c r="BF597" s="21"/>
      <c r="BG597" s="21"/>
      <c r="BH597" s="21"/>
      <c r="BI597" s="21"/>
      <c r="BJ597" s="21"/>
    </row>
    <row r="598" spans="1:62" s="138" customFormat="1" ht="12.75" customHeight="1" x14ac:dyDescent="0.25">
      <c r="A598" s="381" t="s">
        <v>1417</v>
      </c>
      <c r="B598" s="352">
        <v>5</v>
      </c>
      <c r="C598" s="49">
        <v>5</v>
      </c>
      <c r="D598" s="382" t="s">
        <v>86</v>
      </c>
      <c r="E598" s="65"/>
      <c r="F598" s="22"/>
      <c r="G598" s="33" t="s">
        <v>979</v>
      </c>
      <c r="H598" s="33" t="s">
        <v>955</v>
      </c>
      <c r="I598" s="33" t="s">
        <v>941</v>
      </c>
      <c r="J598" s="22"/>
      <c r="K598" s="139">
        <v>48246</v>
      </c>
      <c r="L598" s="25"/>
      <c r="M598" s="25"/>
      <c r="N598" s="50">
        <v>10</v>
      </c>
      <c r="O598" s="22"/>
      <c r="P598" s="51">
        <v>228.2</v>
      </c>
      <c r="Q598" s="28">
        <f t="shared" si="59"/>
        <v>2282</v>
      </c>
      <c r="R598" s="35"/>
      <c r="S598" s="35">
        <v>2282</v>
      </c>
      <c r="T598" s="35"/>
      <c r="U598" s="35">
        <f t="shared" si="60"/>
        <v>0</v>
      </c>
      <c r="V598" s="22" t="s">
        <v>1419</v>
      </c>
      <c r="W598" s="22" t="s">
        <v>1420</v>
      </c>
      <c r="X598" s="22"/>
      <c r="Y598" s="22"/>
      <c r="Z598" s="29">
        <v>43439</v>
      </c>
      <c r="AA598" s="29"/>
      <c r="AB598" s="29">
        <v>43483</v>
      </c>
      <c r="AC598" s="29">
        <v>43483</v>
      </c>
      <c r="AD598" s="29"/>
      <c r="AE598" s="29"/>
      <c r="AF598" s="22"/>
      <c r="AG598" s="29" t="s">
        <v>914</v>
      </c>
      <c r="AH598" s="519"/>
      <c r="AI598" s="144"/>
      <c r="AJ598" s="534"/>
      <c r="AK598" s="143"/>
      <c r="AL598" s="143"/>
      <c r="AM598" s="143">
        <f t="shared" si="61"/>
        <v>2282</v>
      </c>
      <c r="AN598" s="143"/>
      <c r="AO598" s="143"/>
      <c r="AP598" s="143"/>
      <c r="AQ598" s="143"/>
      <c r="AR598" s="143"/>
      <c r="AS598" s="21"/>
      <c r="AT598" s="21"/>
      <c r="AU598" s="21"/>
      <c r="AV598" s="21"/>
      <c r="AW598" s="21"/>
      <c r="AX598" s="21"/>
      <c r="AY598" s="21"/>
      <c r="AZ598" s="21"/>
      <c r="BA598" s="21"/>
      <c r="BB598" s="21"/>
      <c r="BC598" s="21"/>
      <c r="BD598" s="21"/>
      <c r="BE598" s="21"/>
      <c r="BF598" s="21"/>
      <c r="BG598" s="21"/>
      <c r="BH598" s="21"/>
      <c r="BI598" s="21"/>
      <c r="BJ598" s="21"/>
    </row>
    <row r="599" spans="1:62" s="138" customFormat="1" ht="12" customHeight="1" x14ac:dyDescent="0.25">
      <c r="A599" s="381" t="s">
        <v>1417</v>
      </c>
      <c r="B599" s="352">
        <v>5</v>
      </c>
      <c r="C599" s="49">
        <v>5</v>
      </c>
      <c r="D599" s="382" t="s">
        <v>86</v>
      </c>
      <c r="E599" s="65"/>
      <c r="F599" s="22"/>
      <c r="G599" s="33" t="s">
        <v>965</v>
      </c>
      <c r="H599" s="142" t="s">
        <v>955</v>
      </c>
      <c r="I599" s="33" t="s">
        <v>941</v>
      </c>
      <c r="J599" s="22"/>
      <c r="K599" s="33" t="s">
        <v>966</v>
      </c>
      <c r="L599" s="25"/>
      <c r="M599" s="25"/>
      <c r="N599" s="50">
        <v>30</v>
      </c>
      <c r="O599" s="22"/>
      <c r="P599" s="51">
        <v>319.2</v>
      </c>
      <c r="Q599" s="28">
        <f t="shared" si="59"/>
        <v>9576</v>
      </c>
      <c r="R599" s="35"/>
      <c r="S599" s="35">
        <v>9576</v>
      </c>
      <c r="T599" s="35"/>
      <c r="U599" s="35">
        <f t="shared" si="60"/>
        <v>0</v>
      </c>
      <c r="V599" s="22" t="s">
        <v>1419</v>
      </c>
      <c r="W599" s="22" t="s">
        <v>1420</v>
      </c>
      <c r="X599" s="22"/>
      <c r="Y599" s="22"/>
      <c r="Z599" s="29">
        <v>43439</v>
      </c>
      <c r="AA599" s="29"/>
      <c r="AB599" s="29">
        <v>43483</v>
      </c>
      <c r="AC599" s="29">
        <v>43483</v>
      </c>
      <c r="AD599" s="29"/>
      <c r="AE599" s="29"/>
      <c r="AF599" s="22"/>
      <c r="AG599" s="29" t="s">
        <v>914</v>
      </c>
      <c r="AH599" s="519"/>
      <c r="AI599" s="144"/>
      <c r="AJ599" s="534"/>
      <c r="AK599" s="143"/>
      <c r="AL599" s="143"/>
      <c r="AM599" s="143">
        <f t="shared" si="61"/>
        <v>9576</v>
      </c>
      <c r="AN599" s="143"/>
      <c r="AO599" s="143"/>
      <c r="AP599" s="143"/>
      <c r="AQ599" s="143"/>
      <c r="AR599" s="143"/>
      <c r="AS599" s="21"/>
      <c r="AT599" s="21"/>
      <c r="AU599" s="21"/>
      <c r="AV599" s="21"/>
      <c r="AW599" s="21"/>
      <c r="AX599" s="21"/>
      <c r="AY599" s="21"/>
      <c r="AZ599" s="21"/>
      <c r="BA599" s="21"/>
      <c r="BB599" s="21"/>
      <c r="BC599" s="21"/>
      <c r="BD599" s="21"/>
      <c r="BE599" s="21"/>
      <c r="BF599" s="21"/>
      <c r="BG599" s="21"/>
      <c r="BH599" s="21"/>
      <c r="BI599" s="21"/>
      <c r="BJ599" s="21"/>
    </row>
    <row r="600" spans="1:62" s="138" customFormat="1" ht="12" customHeight="1" x14ac:dyDescent="0.25">
      <c r="A600" s="381" t="s">
        <v>1417</v>
      </c>
      <c r="B600" s="352">
        <v>5</v>
      </c>
      <c r="C600" s="49">
        <v>5</v>
      </c>
      <c r="D600" s="382" t="s">
        <v>86</v>
      </c>
      <c r="E600" s="65"/>
      <c r="F600" s="22"/>
      <c r="G600" s="33" t="s">
        <v>967</v>
      </c>
      <c r="H600" s="142" t="s">
        <v>955</v>
      </c>
      <c r="I600" s="33"/>
      <c r="J600" s="22"/>
      <c r="K600" s="139">
        <v>46260</v>
      </c>
      <c r="L600" s="25"/>
      <c r="M600" s="25"/>
      <c r="N600" s="50">
        <v>10</v>
      </c>
      <c r="O600" s="22"/>
      <c r="P600" s="51">
        <v>128.80000000000001</v>
      </c>
      <c r="Q600" s="28">
        <f t="shared" si="59"/>
        <v>1288</v>
      </c>
      <c r="R600" s="35"/>
      <c r="S600" s="35">
        <v>1288</v>
      </c>
      <c r="T600" s="35"/>
      <c r="U600" s="35">
        <f t="shared" si="60"/>
        <v>0</v>
      </c>
      <c r="V600" s="22" t="s">
        <v>1419</v>
      </c>
      <c r="W600" s="22" t="s">
        <v>1420</v>
      </c>
      <c r="X600" s="22"/>
      <c r="Y600" s="22"/>
      <c r="Z600" s="29">
        <v>43439</v>
      </c>
      <c r="AA600" s="29"/>
      <c r="AB600" s="29">
        <v>43483</v>
      </c>
      <c r="AC600" s="29">
        <v>43483</v>
      </c>
      <c r="AD600" s="29"/>
      <c r="AE600" s="29"/>
      <c r="AF600" s="22"/>
      <c r="AG600" s="29" t="s">
        <v>914</v>
      </c>
      <c r="AH600" s="519"/>
      <c r="AI600" s="144"/>
      <c r="AJ600" s="534"/>
      <c r="AK600" s="143"/>
      <c r="AL600" s="143"/>
      <c r="AM600" s="143">
        <f t="shared" si="61"/>
        <v>1288</v>
      </c>
      <c r="AN600" s="143"/>
      <c r="AO600" s="143"/>
      <c r="AP600" s="143"/>
      <c r="AQ600" s="143"/>
      <c r="AR600" s="143"/>
      <c r="AS600" s="21"/>
      <c r="AT600" s="21"/>
      <c r="AU600" s="21"/>
      <c r="AV600" s="21"/>
      <c r="AW600" s="21"/>
      <c r="AX600" s="21"/>
      <c r="AY600" s="21"/>
      <c r="AZ600" s="21"/>
      <c r="BA600" s="21"/>
      <c r="BB600" s="21"/>
      <c r="BC600" s="21"/>
      <c r="BD600" s="21"/>
      <c r="BE600" s="21"/>
      <c r="BF600" s="21"/>
      <c r="BG600" s="21"/>
      <c r="BH600" s="21"/>
      <c r="BI600" s="21"/>
      <c r="BJ600" s="21"/>
    </row>
    <row r="601" spans="1:62" s="138" customFormat="1" ht="12" customHeight="1" x14ac:dyDescent="0.25">
      <c r="A601" s="381" t="s">
        <v>1417</v>
      </c>
      <c r="B601" s="352">
        <v>5</v>
      </c>
      <c r="C601" s="49">
        <v>5</v>
      </c>
      <c r="D601" s="382" t="s">
        <v>86</v>
      </c>
      <c r="E601" s="65"/>
      <c r="F601" s="22"/>
      <c r="G601" s="33" t="s">
        <v>982</v>
      </c>
      <c r="H601" s="142" t="s">
        <v>955</v>
      </c>
      <c r="I601" s="33"/>
      <c r="J601" s="22"/>
      <c r="K601" s="139">
        <v>10202</v>
      </c>
      <c r="L601" s="25"/>
      <c r="M601" s="25"/>
      <c r="N601" s="50">
        <v>1</v>
      </c>
      <c r="O601" s="22"/>
      <c r="P601" s="51">
        <v>2912</v>
      </c>
      <c r="Q601" s="28">
        <f t="shared" si="59"/>
        <v>2912</v>
      </c>
      <c r="R601" s="35"/>
      <c r="S601" s="35">
        <v>2912</v>
      </c>
      <c r="T601" s="35"/>
      <c r="U601" s="35">
        <f t="shared" si="60"/>
        <v>0</v>
      </c>
      <c r="V601" s="22" t="s">
        <v>1419</v>
      </c>
      <c r="W601" s="22" t="s">
        <v>1420</v>
      </c>
      <c r="X601" s="22"/>
      <c r="Y601" s="22"/>
      <c r="Z601" s="29">
        <v>43439</v>
      </c>
      <c r="AA601" s="29"/>
      <c r="AB601" s="29">
        <v>43483</v>
      </c>
      <c r="AC601" s="29">
        <v>43483</v>
      </c>
      <c r="AD601" s="29"/>
      <c r="AE601" s="29"/>
      <c r="AF601" s="22"/>
      <c r="AG601" s="29" t="s">
        <v>914</v>
      </c>
      <c r="AH601" s="519"/>
      <c r="AI601" s="144"/>
      <c r="AJ601" s="534"/>
      <c r="AK601" s="143"/>
      <c r="AL601" s="143"/>
      <c r="AM601" s="143">
        <f t="shared" si="61"/>
        <v>2912</v>
      </c>
      <c r="AN601" s="143"/>
      <c r="AO601" s="143"/>
      <c r="AP601" s="143"/>
      <c r="AQ601" s="143"/>
      <c r="AR601" s="143"/>
      <c r="AS601" s="21"/>
      <c r="AT601" s="21"/>
      <c r="AU601" s="21"/>
      <c r="AV601" s="21"/>
      <c r="AW601" s="21"/>
      <c r="AX601" s="21"/>
      <c r="AY601" s="21"/>
      <c r="AZ601" s="21"/>
      <c r="BA601" s="21"/>
      <c r="BB601" s="21"/>
      <c r="BC601" s="21"/>
      <c r="BD601" s="21"/>
      <c r="BE601" s="21"/>
      <c r="BF601" s="21"/>
      <c r="BG601" s="21"/>
      <c r="BH601" s="21"/>
      <c r="BI601" s="21"/>
      <c r="BJ601" s="21"/>
    </row>
    <row r="602" spans="1:62" s="138" customFormat="1" ht="12.75" customHeight="1" x14ac:dyDescent="0.25">
      <c r="A602" s="381" t="s">
        <v>1417</v>
      </c>
      <c r="B602" s="352">
        <v>5</v>
      </c>
      <c r="C602" s="49">
        <v>5</v>
      </c>
      <c r="D602" s="382" t="s">
        <v>86</v>
      </c>
      <c r="E602" s="65"/>
      <c r="F602" s="22"/>
      <c r="G602" s="33" t="s">
        <v>1422</v>
      </c>
      <c r="H602" s="33" t="s">
        <v>955</v>
      </c>
      <c r="I602" s="33"/>
      <c r="J602" s="22"/>
      <c r="K602" s="33" t="s">
        <v>147</v>
      </c>
      <c r="L602" s="25"/>
      <c r="M602" s="25"/>
      <c r="N602" s="52">
        <v>1</v>
      </c>
      <c r="O602" s="22"/>
      <c r="P602" s="81">
        <v>5352</v>
      </c>
      <c r="Q602" s="28">
        <f t="shared" si="59"/>
        <v>5352</v>
      </c>
      <c r="R602" s="35"/>
      <c r="S602" s="35">
        <v>5352</v>
      </c>
      <c r="T602" s="35"/>
      <c r="U602" s="35">
        <f t="shared" si="60"/>
        <v>0</v>
      </c>
      <c r="V602" s="22" t="s">
        <v>1419</v>
      </c>
      <c r="W602" s="22" t="s">
        <v>1420</v>
      </c>
      <c r="X602" s="22"/>
      <c r="Y602" s="22"/>
      <c r="Z602" s="29">
        <v>43439</v>
      </c>
      <c r="AA602" s="29"/>
      <c r="AB602" s="29">
        <v>43483</v>
      </c>
      <c r="AC602" s="29">
        <v>43483</v>
      </c>
      <c r="AD602" s="29"/>
      <c r="AE602" s="29"/>
      <c r="AF602" s="22"/>
      <c r="AG602" s="29" t="s">
        <v>914</v>
      </c>
      <c r="AH602" s="519"/>
      <c r="AI602" s="144"/>
      <c r="AJ602" s="534"/>
      <c r="AK602" s="143"/>
      <c r="AL602" s="143"/>
      <c r="AM602" s="143">
        <f t="shared" si="61"/>
        <v>5352</v>
      </c>
      <c r="AN602" s="143"/>
      <c r="AO602" s="143"/>
      <c r="AP602" s="143"/>
      <c r="AQ602" s="143"/>
      <c r="AR602" s="143"/>
      <c r="AS602" s="21"/>
      <c r="AT602" s="21"/>
      <c r="AU602" s="21"/>
      <c r="AV602" s="21"/>
      <c r="AW602" s="21"/>
      <c r="AX602" s="21"/>
      <c r="AY602" s="21"/>
      <c r="AZ602" s="21"/>
      <c r="BA602" s="21"/>
      <c r="BB602" s="21"/>
      <c r="BC602" s="21"/>
      <c r="BD602" s="21"/>
      <c r="BE602" s="21"/>
      <c r="BF602" s="21"/>
      <c r="BG602" s="21"/>
      <c r="BH602" s="21"/>
      <c r="BI602" s="21"/>
      <c r="BJ602" s="21"/>
    </row>
    <row r="603" spans="1:62" ht="12.75" hidden="1" customHeight="1" x14ac:dyDescent="0.25">
      <c r="A603" s="22"/>
      <c r="B603" s="352">
        <v>8</v>
      </c>
      <c r="C603" s="49">
        <v>5</v>
      </c>
      <c r="D603" s="382" t="s">
        <v>86</v>
      </c>
      <c r="E603" s="65"/>
      <c r="F603" s="22"/>
      <c r="G603" s="33" t="s">
        <v>1423</v>
      </c>
      <c r="H603" s="33" t="s">
        <v>1015</v>
      </c>
      <c r="I603" s="33"/>
      <c r="J603" s="22"/>
      <c r="K603" s="33"/>
      <c r="L603" s="25"/>
      <c r="M603" s="25"/>
      <c r="N603" s="50">
        <v>12</v>
      </c>
      <c r="O603" s="22"/>
      <c r="P603" s="51">
        <v>200</v>
      </c>
      <c r="Q603" s="28">
        <f t="shared" ref="Q603:Q604" si="62">N603*P603</f>
        <v>2400</v>
      </c>
      <c r="R603" s="35"/>
      <c r="S603" s="35"/>
      <c r="T603" s="35"/>
      <c r="U603" s="35"/>
      <c r="V603" s="22"/>
      <c r="W603" s="22"/>
      <c r="X603" s="22"/>
      <c r="Y603" s="22"/>
      <c r="Z603" s="29"/>
      <c r="AA603" s="29"/>
      <c r="AB603" s="29"/>
      <c r="AC603" s="29"/>
      <c r="AD603" s="29"/>
      <c r="AE603" s="29"/>
      <c r="AF603" s="22"/>
      <c r="AG603" s="29"/>
      <c r="AH603" s="519"/>
      <c r="AI603" s="22"/>
      <c r="AJ603" s="292"/>
      <c r="AK603" s="28"/>
      <c r="AL603" s="22"/>
      <c r="AM603" s="22"/>
      <c r="AN603" s="22"/>
      <c r="AO603" s="22"/>
      <c r="AP603" s="22"/>
      <c r="AQ603" s="22"/>
      <c r="AR603" s="22"/>
    </row>
    <row r="604" spans="1:62" ht="12.75" hidden="1" customHeight="1" x14ac:dyDescent="0.25">
      <c r="A604" s="22"/>
      <c r="B604" s="352">
        <v>8</v>
      </c>
      <c r="C604" s="49">
        <v>5</v>
      </c>
      <c r="D604" s="382" t="s">
        <v>86</v>
      </c>
      <c r="E604" s="65"/>
      <c r="F604" s="22"/>
      <c r="G604" s="33" t="s">
        <v>1424</v>
      </c>
      <c r="H604" s="33" t="s">
        <v>990</v>
      </c>
      <c r="I604" s="33"/>
      <c r="J604" s="22"/>
      <c r="K604" s="33"/>
      <c r="L604" s="25"/>
      <c r="M604" s="25"/>
      <c r="N604" s="50">
        <v>34</v>
      </c>
      <c r="O604" s="22"/>
      <c r="P604" s="51">
        <v>100</v>
      </c>
      <c r="Q604" s="28">
        <f t="shared" si="62"/>
        <v>3400</v>
      </c>
      <c r="R604" s="35"/>
      <c r="S604" s="35"/>
      <c r="T604" s="35"/>
      <c r="U604" s="35"/>
      <c r="V604" s="22"/>
      <c r="W604" s="22"/>
      <c r="X604" s="22"/>
      <c r="Y604" s="22"/>
      <c r="Z604" s="29"/>
      <c r="AA604" s="29"/>
      <c r="AB604" s="29"/>
      <c r="AC604" s="29"/>
      <c r="AD604" s="29"/>
      <c r="AE604" s="29"/>
      <c r="AF604" s="22"/>
      <c r="AG604" s="29"/>
      <c r="AH604" s="519"/>
      <c r="AI604" s="22"/>
      <c r="AJ604" s="292"/>
      <c r="AK604" s="28"/>
      <c r="AL604" s="22"/>
      <c r="AM604" s="22"/>
      <c r="AN604" s="22"/>
      <c r="AO604" s="22"/>
      <c r="AP604" s="22"/>
      <c r="AQ604" s="22"/>
      <c r="AR604" s="22"/>
    </row>
    <row r="605" spans="1:62" ht="118.8" x14ac:dyDescent="0.25">
      <c r="A605" s="87" t="s">
        <v>1425</v>
      </c>
      <c r="B605" s="352">
        <v>5</v>
      </c>
      <c r="C605" s="49">
        <v>5</v>
      </c>
      <c r="D605" s="382" t="s">
        <v>86</v>
      </c>
      <c r="E605" s="65"/>
      <c r="F605" s="22"/>
      <c r="G605" s="33" t="s">
        <v>1426</v>
      </c>
      <c r="H605" s="33" t="s">
        <v>792</v>
      </c>
      <c r="I605" s="33"/>
      <c r="J605" s="33"/>
      <c r="K605" s="33" t="s">
        <v>1427</v>
      </c>
      <c r="L605" s="33"/>
      <c r="M605" s="25"/>
      <c r="N605" s="50">
        <v>3</v>
      </c>
      <c r="O605" s="22"/>
      <c r="P605" s="51">
        <v>1000</v>
      </c>
      <c r="Q605" s="28">
        <f t="shared" ref="Q605:Q625" si="63">N605*P605</f>
        <v>3000</v>
      </c>
      <c r="R605" s="35"/>
      <c r="S605" s="35">
        <v>1470</v>
      </c>
      <c r="T605" s="35"/>
      <c r="U605" s="35"/>
      <c r="V605" s="22" t="s">
        <v>1428</v>
      </c>
      <c r="W605" s="22" t="s">
        <v>1429</v>
      </c>
      <c r="X605" s="29"/>
      <c r="Y605" s="35"/>
      <c r="Z605" s="29">
        <v>43518</v>
      </c>
      <c r="AA605" s="22"/>
      <c r="AB605" s="29">
        <v>43545</v>
      </c>
      <c r="AC605" s="29"/>
      <c r="AD605" s="29"/>
      <c r="AE605" s="29"/>
      <c r="AF605" s="29"/>
      <c r="AG605" s="29" t="s">
        <v>914</v>
      </c>
      <c r="AH605" s="519">
        <v>1470</v>
      </c>
      <c r="AI605" s="452"/>
      <c r="AJ605" s="143"/>
      <c r="AK605" s="143"/>
      <c r="AL605" s="143"/>
      <c r="AM605" s="143"/>
      <c r="AN605" s="143"/>
      <c r="AO605" s="143">
        <f>AH605</f>
        <v>1470</v>
      </c>
      <c r="AP605" s="143"/>
      <c r="AQ605" s="143"/>
      <c r="AR605" s="143"/>
    </row>
    <row r="606" spans="1:62" ht="118.8" x14ac:dyDescent="0.25">
      <c r="A606" s="87" t="s">
        <v>1425</v>
      </c>
      <c r="B606" s="352">
        <v>5</v>
      </c>
      <c r="C606" s="49">
        <v>5</v>
      </c>
      <c r="D606" s="382" t="s">
        <v>86</v>
      </c>
      <c r="E606" s="65"/>
      <c r="F606" s="22"/>
      <c r="G606" s="33" t="s">
        <v>438</v>
      </c>
      <c r="H606" s="33" t="s">
        <v>792</v>
      </c>
      <c r="I606" s="33"/>
      <c r="J606" s="33"/>
      <c r="K606" s="33"/>
      <c r="L606" s="33"/>
      <c r="M606" s="25"/>
      <c r="N606" s="50">
        <v>1</v>
      </c>
      <c r="O606" s="22"/>
      <c r="P606" s="51">
        <v>27</v>
      </c>
      <c r="Q606" s="28">
        <f t="shared" si="63"/>
        <v>27</v>
      </c>
      <c r="R606" s="35"/>
      <c r="S606" s="35">
        <v>64.510000000000005</v>
      </c>
      <c r="T606" s="35"/>
      <c r="U606" s="35"/>
      <c r="V606" s="22" t="s">
        <v>1428</v>
      </c>
      <c r="W606" s="22" t="s">
        <v>1429</v>
      </c>
      <c r="X606" s="29"/>
      <c r="Y606" s="35"/>
      <c r="Z606" s="29">
        <v>43518</v>
      </c>
      <c r="AA606" s="22"/>
      <c r="AB606" s="29">
        <v>43545</v>
      </c>
      <c r="AC606" s="29"/>
      <c r="AD606" s="29"/>
      <c r="AE606" s="29"/>
      <c r="AF606" s="29"/>
      <c r="AG606" s="29" t="s">
        <v>914</v>
      </c>
      <c r="AH606" s="519">
        <v>64.510000000000005</v>
      </c>
      <c r="AI606" s="452"/>
      <c r="AJ606" s="143"/>
      <c r="AK606" s="143"/>
      <c r="AL606" s="143"/>
      <c r="AM606" s="143"/>
      <c r="AN606" s="143"/>
      <c r="AO606" s="143">
        <f>AH606</f>
        <v>64.510000000000005</v>
      </c>
      <c r="AP606" s="143"/>
      <c r="AQ606" s="143"/>
      <c r="AR606" s="143"/>
    </row>
    <row r="607" spans="1:62" s="138" customFormat="1" ht="12.75" customHeight="1" x14ac:dyDescent="0.25">
      <c r="A607" s="381" t="s">
        <v>1339</v>
      </c>
      <c r="B607" s="352">
        <v>5</v>
      </c>
      <c r="C607" s="49">
        <v>5</v>
      </c>
      <c r="D607" s="382" t="s">
        <v>86</v>
      </c>
      <c r="E607" s="65"/>
      <c r="F607" s="22"/>
      <c r="G607" s="33" t="s">
        <v>1430</v>
      </c>
      <c r="H607" s="33" t="s">
        <v>1026</v>
      </c>
      <c r="I607" s="33"/>
      <c r="J607" s="33"/>
      <c r="K607" s="33" t="s">
        <v>606</v>
      </c>
      <c r="L607" s="33"/>
      <c r="M607" s="25"/>
      <c r="N607" s="50">
        <v>1</v>
      </c>
      <c r="O607" s="22"/>
      <c r="P607" s="51">
        <v>929.71</v>
      </c>
      <c r="Q607" s="28">
        <f t="shared" si="63"/>
        <v>929.71</v>
      </c>
      <c r="R607" s="35"/>
      <c r="S607" s="35">
        <v>275</v>
      </c>
      <c r="T607" s="35"/>
      <c r="U607" s="35"/>
      <c r="V607" s="22" t="s">
        <v>1341</v>
      </c>
      <c r="W607" s="22" t="s">
        <v>1342</v>
      </c>
      <c r="X607" s="22"/>
      <c r="Y607" s="22"/>
      <c r="Z607" s="29">
        <v>43418</v>
      </c>
      <c r="AA607" s="29"/>
      <c r="AB607" s="29">
        <v>43425</v>
      </c>
      <c r="AC607" s="29">
        <v>43483</v>
      </c>
      <c r="AD607" s="29"/>
      <c r="AE607" s="29"/>
      <c r="AF607" s="22"/>
      <c r="AG607" s="29" t="s">
        <v>98</v>
      </c>
      <c r="AH607" s="519">
        <v>275</v>
      </c>
      <c r="AI607" s="144"/>
      <c r="AJ607" s="534"/>
      <c r="AK607" s="143"/>
      <c r="AL607" s="143"/>
      <c r="AM607" s="143"/>
      <c r="AN607" s="143"/>
      <c r="AO607" s="143"/>
      <c r="AP607" s="143"/>
      <c r="AQ607" s="143"/>
      <c r="AR607" s="143"/>
      <c r="AS607" s="21"/>
      <c r="AT607" s="21"/>
      <c r="AU607" s="21"/>
      <c r="AV607" s="21"/>
      <c r="AW607" s="21"/>
      <c r="AX607" s="21"/>
      <c r="AY607" s="21"/>
      <c r="AZ607" s="21"/>
      <c r="BA607" s="21"/>
      <c r="BB607" s="21"/>
      <c r="BC607" s="21"/>
      <c r="BD607" s="21"/>
      <c r="BE607" s="21"/>
      <c r="BF607" s="21"/>
      <c r="BG607" s="21"/>
      <c r="BH607" s="21"/>
      <c r="BI607" s="21"/>
      <c r="BJ607" s="21"/>
    </row>
    <row r="608" spans="1:62" s="138" customFormat="1" ht="92.4" x14ac:dyDescent="0.25">
      <c r="A608" s="87" t="s">
        <v>1371</v>
      </c>
      <c r="B608" s="352">
        <v>5</v>
      </c>
      <c r="C608" s="49">
        <v>5</v>
      </c>
      <c r="D608" s="382" t="s">
        <v>86</v>
      </c>
      <c r="E608" s="65"/>
      <c r="F608" s="22"/>
      <c r="G608" s="33" t="s">
        <v>1431</v>
      </c>
      <c r="H608" s="33" t="s">
        <v>1432</v>
      </c>
      <c r="I608" s="33"/>
      <c r="J608" s="33"/>
      <c r="K608" s="33" t="s">
        <v>1433</v>
      </c>
      <c r="L608" s="33"/>
      <c r="M608" s="25"/>
      <c r="N608" s="50">
        <v>35</v>
      </c>
      <c r="O608" s="22"/>
      <c r="P608" s="51">
        <v>16.489999999999998</v>
      </c>
      <c r="Q608" s="28">
        <f t="shared" si="63"/>
        <v>577.15</v>
      </c>
      <c r="R608" s="35"/>
      <c r="S608" s="35">
        <v>301.7</v>
      </c>
      <c r="T608" s="35"/>
      <c r="U608" s="35"/>
      <c r="V608" s="22" t="s">
        <v>1434</v>
      </c>
      <c r="W608" s="22" t="s">
        <v>1435</v>
      </c>
      <c r="X608" s="22"/>
      <c r="Y608" s="22"/>
      <c r="Z608" s="29">
        <v>43514</v>
      </c>
      <c r="AA608" s="29"/>
      <c r="AB608" s="29">
        <v>43539</v>
      </c>
      <c r="AC608" s="29">
        <v>43539</v>
      </c>
      <c r="AD608" s="29"/>
      <c r="AE608" s="29"/>
      <c r="AF608" s="22"/>
      <c r="AG608" s="29" t="s">
        <v>914</v>
      </c>
      <c r="AH608" s="519">
        <v>301.7</v>
      </c>
      <c r="AI608" s="144"/>
      <c r="AJ608" s="534"/>
      <c r="AK608" s="143"/>
      <c r="AL608" s="143"/>
      <c r="AM608" s="143"/>
      <c r="AN608" s="143">
        <f>S608</f>
        <v>301.7</v>
      </c>
      <c r="AO608" s="143"/>
      <c r="AP608" s="143"/>
      <c r="AQ608" s="143"/>
      <c r="AR608" s="143"/>
      <c r="AS608" s="21"/>
      <c r="AT608" s="21"/>
      <c r="AU608" s="21"/>
      <c r="AV608" s="21"/>
      <c r="AW608" s="21"/>
      <c r="AX608" s="21"/>
      <c r="AY608" s="21"/>
      <c r="AZ608" s="21"/>
      <c r="BA608" s="21"/>
      <c r="BB608" s="21"/>
      <c r="BC608" s="21"/>
      <c r="BD608" s="21"/>
      <c r="BE608" s="21"/>
      <c r="BF608" s="21"/>
      <c r="BG608" s="21"/>
      <c r="BH608" s="21"/>
      <c r="BI608" s="21"/>
      <c r="BJ608" s="21"/>
    </row>
    <row r="609" spans="1:62" s="138" customFormat="1" ht="92.4" x14ac:dyDescent="0.25">
      <c r="A609" s="87" t="s">
        <v>1371</v>
      </c>
      <c r="B609" s="352">
        <v>5</v>
      </c>
      <c r="C609" s="49">
        <v>5</v>
      </c>
      <c r="D609" s="382" t="s">
        <v>86</v>
      </c>
      <c r="E609" s="65"/>
      <c r="F609" s="22"/>
      <c r="G609" s="33" t="s">
        <v>438</v>
      </c>
      <c r="H609" s="142" t="s">
        <v>1432</v>
      </c>
      <c r="I609" s="33"/>
      <c r="J609" s="22"/>
      <c r="K609" s="33"/>
      <c r="L609" s="25"/>
      <c r="M609" s="25"/>
      <c r="N609" s="50">
        <v>1</v>
      </c>
      <c r="O609" s="22"/>
      <c r="P609" s="51">
        <v>15</v>
      </c>
      <c r="Q609" s="28">
        <f t="shared" si="63"/>
        <v>15</v>
      </c>
      <c r="R609" s="35"/>
      <c r="S609" s="35">
        <v>0</v>
      </c>
      <c r="T609" s="35"/>
      <c r="U609" s="35"/>
      <c r="V609" s="22" t="s">
        <v>1434</v>
      </c>
      <c r="W609" s="22" t="s">
        <v>1435</v>
      </c>
      <c r="X609" s="22"/>
      <c r="Y609" s="22"/>
      <c r="Z609" s="29">
        <v>43514</v>
      </c>
      <c r="AA609" s="29"/>
      <c r="AB609" s="29">
        <v>43539</v>
      </c>
      <c r="AC609" s="29">
        <v>43539</v>
      </c>
      <c r="AD609" s="29"/>
      <c r="AE609" s="29"/>
      <c r="AF609" s="22"/>
      <c r="AG609" s="29" t="s">
        <v>914</v>
      </c>
      <c r="AH609" s="519">
        <v>0</v>
      </c>
      <c r="AI609" s="144"/>
      <c r="AJ609" s="534"/>
      <c r="AK609" s="143"/>
      <c r="AL609" s="143"/>
      <c r="AM609" s="143"/>
      <c r="AN609" s="143">
        <f>S609</f>
        <v>0</v>
      </c>
      <c r="AO609" s="143"/>
      <c r="AP609" s="143"/>
      <c r="AQ609" s="143"/>
      <c r="AR609" s="143"/>
      <c r="AS609" s="21"/>
      <c r="AT609" s="21"/>
      <c r="AU609" s="21"/>
      <c r="AV609" s="21"/>
      <c r="AW609" s="21"/>
      <c r="AX609" s="21"/>
      <c r="AY609" s="21"/>
      <c r="AZ609" s="21"/>
      <c r="BA609" s="21"/>
      <c r="BB609" s="21"/>
      <c r="BC609" s="21"/>
      <c r="BD609" s="21"/>
      <c r="BE609" s="21"/>
      <c r="BF609" s="21"/>
      <c r="BG609" s="21"/>
      <c r="BH609" s="21"/>
      <c r="BI609" s="21"/>
      <c r="BJ609" s="21"/>
    </row>
    <row r="610" spans="1:62" s="138" customFormat="1" ht="105.6" x14ac:dyDescent="0.25">
      <c r="A610" s="87" t="s">
        <v>1436</v>
      </c>
      <c r="B610" s="352">
        <v>5</v>
      </c>
      <c r="C610" s="49">
        <v>5</v>
      </c>
      <c r="D610" s="382" t="s">
        <v>86</v>
      </c>
      <c r="E610" s="65"/>
      <c r="F610" s="22"/>
      <c r="G610" s="33" t="s">
        <v>1437</v>
      </c>
      <c r="H610" s="33" t="s">
        <v>1438</v>
      </c>
      <c r="I610" s="33"/>
      <c r="J610" s="22"/>
      <c r="K610" s="33" t="s">
        <v>1439</v>
      </c>
      <c r="L610" s="25"/>
      <c r="M610" s="25"/>
      <c r="N610" s="50">
        <v>1</v>
      </c>
      <c r="O610" s="22"/>
      <c r="P610" s="51">
        <v>775.44</v>
      </c>
      <c r="Q610" s="28">
        <f t="shared" si="63"/>
        <v>775.44</v>
      </c>
      <c r="R610" s="35"/>
      <c r="S610" s="35"/>
      <c r="T610" s="35"/>
      <c r="U610" s="35"/>
      <c r="V610" s="22" t="s">
        <v>1440</v>
      </c>
      <c r="W610" s="22" t="s">
        <v>1441</v>
      </c>
      <c r="X610" s="22"/>
      <c r="Y610" s="22"/>
      <c r="Z610" s="29">
        <v>43529</v>
      </c>
      <c r="AA610" s="29"/>
      <c r="AB610" s="29">
        <v>43553</v>
      </c>
      <c r="AC610" s="29"/>
      <c r="AD610" s="29"/>
      <c r="AE610" s="29"/>
      <c r="AF610" s="22"/>
      <c r="AG610" s="29" t="s">
        <v>914</v>
      </c>
      <c r="AH610" s="519"/>
      <c r="AI610" s="144"/>
      <c r="AJ610" s="143"/>
      <c r="AK610" s="143"/>
      <c r="AL610" s="143"/>
      <c r="AM610" s="143"/>
      <c r="AN610" s="143"/>
      <c r="AO610" s="534">
        <f>Q610</f>
        <v>775.44</v>
      </c>
      <c r="AP610" s="143"/>
      <c r="AQ610" s="143"/>
      <c r="AR610" s="143"/>
      <c r="AS610" s="21"/>
      <c r="AT610" s="21"/>
      <c r="AU610" s="21"/>
      <c r="AV610" s="21"/>
      <c r="AW610" s="21"/>
      <c r="AX610" s="21"/>
      <c r="AY610" s="21"/>
      <c r="AZ610" s="21"/>
      <c r="BA610" s="21"/>
      <c r="BB610" s="21"/>
      <c r="BC610" s="21"/>
      <c r="BD610" s="21"/>
      <c r="BE610" s="21"/>
      <c r="BF610" s="21"/>
      <c r="BG610" s="21"/>
      <c r="BH610" s="21"/>
      <c r="BI610" s="21"/>
      <c r="BJ610" s="21"/>
    </row>
    <row r="611" spans="1:62" s="138" customFormat="1" ht="105.6" x14ac:dyDescent="0.25">
      <c r="A611" s="87" t="s">
        <v>1436</v>
      </c>
      <c r="B611" s="352">
        <v>5</v>
      </c>
      <c r="C611" s="49">
        <v>5</v>
      </c>
      <c r="D611" s="382" t="s">
        <v>86</v>
      </c>
      <c r="E611" s="65"/>
      <c r="F611" s="22"/>
      <c r="G611" s="33" t="s">
        <v>1442</v>
      </c>
      <c r="H611" s="33" t="s">
        <v>1438</v>
      </c>
      <c r="I611" s="33"/>
      <c r="J611" s="22"/>
      <c r="K611" s="33" t="s">
        <v>1443</v>
      </c>
      <c r="L611" s="25"/>
      <c r="M611" s="25"/>
      <c r="N611" s="50">
        <v>1</v>
      </c>
      <c r="O611" s="22"/>
      <c r="P611" s="51">
        <v>17.28</v>
      </c>
      <c r="Q611" s="28">
        <f t="shared" si="63"/>
        <v>17.28</v>
      </c>
      <c r="R611" s="35"/>
      <c r="S611" s="35"/>
      <c r="T611" s="35"/>
      <c r="U611" s="35"/>
      <c r="V611" s="22" t="s">
        <v>1440</v>
      </c>
      <c r="W611" s="22" t="s">
        <v>1441</v>
      </c>
      <c r="X611" s="22"/>
      <c r="Y611" s="22"/>
      <c r="Z611" s="29">
        <v>43529</v>
      </c>
      <c r="AA611" s="29"/>
      <c r="AB611" s="29">
        <v>43553</v>
      </c>
      <c r="AC611" s="29"/>
      <c r="AD611" s="29"/>
      <c r="AE611" s="29"/>
      <c r="AF611" s="22"/>
      <c r="AG611" s="29" t="s">
        <v>914</v>
      </c>
      <c r="AH611" s="519"/>
      <c r="AI611" s="144"/>
      <c r="AJ611" s="143"/>
      <c r="AK611" s="143"/>
      <c r="AL611" s="143"/>
      <c r="AM611" s="143"/>
      <c r="AN611" s="143"/>
      <c r="AO611" s="534">
        <f>Q611</f>
        <v>17.28</v>
      </c>
      <c r="AP611" s="143"/>
      <c r="AQ611" s="143"/>
      <c r="AR611" s="143"/>
      <c r="AS611" s="21"/>
      <c r="AT611" s="21"/>
      <c r="AU611" s="21"/>
      <c r="AV611" s="21"/>
      <c r="AW611" s="21"/>
      <c r="AX611" s="21"/>
      <c r="AY611" s="21"/>
      <c r="AZ611" s="21"/>
      <c r="BA611" s="21"/>
      <c r="BB611" s="21"/>
      <c r="BC611" s="21"/>
      <c r="BD611" s="21"/>
      <c r="BE611" s="21"/>
      <c r="BF611" s="21"/>
      <c r="BG611" s="21"/>
      <c r="BH611" s="21"/>
      <c r="BI611" s="21"/>
      <c r="BJ611" s="21"/>
    </row>
    <row r="612" spans="1:62" s="138" customFormat="1" ht="105.6" x14ac:dyDescent="0.25">
      <c r="A612" s="87" t="s">
        <v>1436</v>
      </c>
      <c r="B612" s="352">
        <v>5</v>
      </c>
      <c r="C612" s="49">
        <v>5</v>
      </c>
      <c r="D612" s="382" t="s">
        <v>86</v>
      </c>
      <c r="E612" s="65"/>
      <c r="F612" s="22"/>
      <c r="G612" s="33" t="s">
        <v>438</v>
      </c>
      <c r="H612" s="33" t="s">
        <v>1438</v>
      </c>
      <c r="I612" s="33"/>
      <c r="J612" s="22"/>
      <c r="K612" s="33"/>
      <c r="L612" s="25"/>
      <c r="M612" s="25"/>
      <c r="N612" s="50">
        <v>1</v>
      </c>
      <c r="O612" s="22"/>
      <c r="P612" s="51">
        <v>85.63</v>
      </c>
      <c r="Q612" s="28">
        <f t="shared" si="63"/>
        <v>85.63</v>
      </c>
      <c r="R612" s="35"/>
      <c r="S612" s="35"/>
      <c r="T612" s="35"/>
      <c r="U612" s="35"/>
      <c r="V612" s="22" t="s">
        <v>1440</v>
      </c>
      <c r="W612" s="22" t="s">
        <v>1441</v>
      </c>
      <c r="X612" s="22"/>
      <c r="Y612" s="22"/>
      <c r="Z612" s="29">
        <v>43529</v>
      </c>
      <c r="AA612" s="29"/>
      <c r="AB612" s="29">
        <v>43553</v>
      </c>
      <c r="AC612" s="29"/>
      <c r="AD612" s="29"/>
      <c r="AE612" s="29"/>
      <c r="AF612" s="22"/>
      <c r="AG612" s="29" t="s">
        <v>914</v>
      </c>
      <c r="AH612" s="519"/>
      <c r="AI612" s="144"/>
      <c r="AJ612" s="143"/>
      <c r="AK612" s="143"/>
      <c r="AL612" s="143"/>
      <c r="AM612" s="143"/>
      <c r="AN612" s="143"/>
      <c r="AO612" s="534">
        <f>Q612</f>
        <v>85.63</v>
      </c>
      <c r="AP612" s="143"/>
      <c r="AQ612" s="143"/>
      <c r="AR612" s="143"/>
      <c r="AS612" s="21"/>
      <c r="AT612" s="21"/>
      <c r="AU612" s="21"/>
      <c r="AV612" s="21"/>
      <c r="AW612" s="21"/>
      <c r="AX612" s="21"/>
      <c r="AY612" s="21"/>
      <c r="AZ612" s="21"/>
      <c r="BA612" s="21"/>
      <c r="BB612" s="21"/>
      <c r="BC612" s="21"/>
      <c r="BD612" s="21"/>
      <c r="BE612" s="21"/>
      <c r="BF612" s="21"/>
      <c r="BG612" s="21"/>
      <c r="BH612" s="21"/>
      <c r="BI612" s="21"/>
      <c r="BJ612" s="21"/>
    </row>
    <row r="613" spans="1:62" s="138" customFormat="1" ht="12.75" customHeight="1" x14ac:dyDescent="0.25">
      <c r="A613" s="381" t="s">
        <v>1444</v>
      </c>
      <c r="B613" s="352">
        <v>5</v>
      </c>
      <c r="C613" s="49">
        <v>5</v>
      </c>
      <c r="D613" s="382" t="s">
        <v>86</v>
      </c>
      <c r="E613" s="65"/>
      <c r="F613" s="22"/>
      <c r="G613" s="33" t="s">
        <v>1445</v>
      </c>
      <c r="H613" s="33" t="s">
        <v>990</v>
      </c>
      <c r="I613" s="33"/>
      <c r="J613" s="22"/>
      <c r="K613" s="33"/>
      <c r="L613" s="25"/>
      <c r="M613" s="25"/>
      <c r="N613" s="50">
        <v>10</v>
      </c>
      <c r="O613" s="22"/>
      <c r="P613" s="51">
        <v>3042</v>
      </c>
      <c r="Q613" s="28">
        <f t="shared" si="63"/>
        <v>30420</v>
      </c>
      <c r="R613" s="35"/>
      <c r="S613" s="35"/>
      <c r="T613" s="35"/>
      <c r="U613" s="35"/>
      <c r="V613" s="22" t="s">
        <v>1446</v>
      </c>
      <c r="W613" s="22" t="s">
        <v>1447</v>
      </c>
      <c r="X613" s="22"/>
      <c r="Y613" s="22"/>
      <c r="Z613" s="29">
        <v>43522</v>
      </c>
      <c r="AA613" s="29"/>
      <c r="AB613" s="29">
        <v>43707</v>
      </c>
      <c r="AC613" s="29"/>
      <c r="AD613" s="29"/>
      <c r="AE613" s="29"/>
      <c r="AF613" s="22"/>
      <c r="AG613" s="29" t="s">
        <v>914</v>
      </c>
      <c r="AH613" s="519">
        <v>31387</v>
      </c>
      <c r="AI613" s="144"/>
      <c r="AJ613" s="534"/>
      <c r="AK613" s="143"/>
      <c r="AL613" s="143"/>
      <c r="AM613" s="143"/>
      <c r="AN613" s="143"/>
      <c r="AO613" s="143"/>
      <c r="AP613" s="143"/>
      <c r="AQ613" s="143"/>
      <c r="AR613" s="143">
        <f>AH613</f>
        <v>31387</v>
      </c>
      <c r="AS613" s="21"/>
      <c r="AT613" s="21"/>
      <c r="AU613" s="21"/>
      <c r="AV613" s="21"/>
      <c r="AW613" s="21"/>
      <c r="AX613" s="21"/>
      <c r="AY613" s="21"/>
      <c r="AZ613" s="21"/>
      <c r="BA613" s="21"/>
      <c r="BB613" s="21"/>
      <c r="BC613" s="21"/>
      <c r="BD613" s="21"/>
      <c r="BE613" s="21"/>
      <c r="BF613" s="21"/>
      <c r="BG613" s="21"/>
      <c r="BH613" s="21"/>
      <c r="BI613" s="21"/>
      <c r="BJ613" s="21"/>
    </row>
    <row r="614" spans="1:62" s="138" customFormat="1" ht="12.75" customHeight="1" x14ac:dyDescent="0.25">
      <c r="A614" s="381" t="s">
        <v>1444</v>
      </c>
      <c r="B614" s="352">
        <v>5</v>
      </c>
      <c r="C614" s="49">
        <v>5</v>
      </c>
      <c r="D614" s="382" t="s">
        <v>86</v>
      </c>
      <c r="E614" s="65"/>
      <c r="F614" s="22"/>
      <c r="G614" s="33" t="s">
        <v>994</v>
      </c>
      <c r="H614" s="33" t="s">
        <v>990</v>
      </c>
      <c r="I614" s="33"/>
      <c r="J614" s="22"/>
      <c r="K614" s="33"/>
      <c r="L614" s="25"/>
      <c r="M614" s="25"/>
      <c r="N614" s="50">
        <v>8.3442622950819665</v>
      </c>
      <c r="O614" s="22"/>
      <c r="P614" s="51">
        <v>61</v>
      </c>
      <c r="Q614" s="28">
        <f t="shared" si="63"/>
        <v>508.99999999999994</v>
      </c>
      <c r="R614" s="35"/>
      <c r="S614" s="35"/>
      <c r="T614" s="35"/>
      <c r="U614" s="35"/>
      <c r="V614" s="22" t="s">
        <v>1446</v>
      </c>
      <c r="W614" s="22" t="s">
        <v>1447</v>
      </c>
      <c r="X614" s="22"/>
      <c r="Y614" s="22"/>
      <c r="Z614" s="29">
        <v>43522</v>
      </c>
      <c r="AA614" s="29"/>
      <c r="AB614" s="29">
        <v>43707</v>
      </c>
      <c r="AC614" s="29"/>
      <c r="AD614" s="29"/>
      <c r="AE614" s="29"/>
      <c r="AF614" s="22"/>
      <c r="AG614" s="29" t="s">
        <v>914</v>
      </c>
      <c r="AH614" s="519">
        <v>0</v>
      </c>
      <c r="AI614" s="144"/>
      <c r="AJ614" s="534"/>
      <c r="AK614" s="143"/>
      <c r="AL614" s="143"/>
      <c r="AM614" s="143"/>
      <c r="AN614" s="143"/>
      <c r="AO614" s="143"/>
      <c r="AP614" s="143"/>
      <c r="AQ614" s="143"/>
      <c r="AR614" s="143">
        <f>AH614</f>
        <v>0</v>
      </c>
      <c r="AS614" s="21"/>
      <c r="AT614" s="21"/>
      <c r="AU614" s="21"/>
      <c r="AV614" s="21"/>
      <c r="AW614" s="21"/>
      <c r="AX614" s="21"/>
      <c r="AY614" s="21"/>
      <c r="AZ614" s="21"/>
      <c r="BA614" s="21"/>
      <c r="BB614" s="21"/>
      <c r="BC614" s="21"/>
      <c r="BD614" s="21"/>
      <c r="BE614" s="21"/>
      <c r="BF614" s="21"/>
      <c r="BG614" s="21"/>
      <c r="BH614" s="21"/>
      <c r="BI614" s="21"/>
      <c r="BJ614" s="21"/>
    </row>
    <row r="615" spans="1:62" s="138" customFormat="1" ht="12.75" customHeight="1" x14ac:dyDescent="0.25">
      <c r="A615" s="381" t="s">
        <v>1444</v>
      </c>
      <c r="B615" s="352">
        <v>5</v>
      </c>
      <c r="C615" s="49">
        <v>5</v>
      </c>
      <c r="D615" s="382" t="s">
        <v>86</v>
      </c>
      <c r="E615" s="65"/>
      <c r="F615" s="22"/>
      <c r="G615" s="33" t="s">
        <v>995</v>
      </c>
      <c r="H615" s="33" t="s">
        <v>1448</v>
      </c>
      <c r="I615" s="33"/>
      <c r="J615" s="22"/>
      <c r="K615" s="33"/>
      <c r="L615" s="25"/>
      <c r="M615" s="25"/>
      <c r="N615" s="50">
        <v>10</v>
      </c>
      <c r="O615" s="22"/>
      <c r="P615" s="51">
        <v>146</v>
      </c>
      <c r="Q615" s="28">
        <f>N615*P615</f>
        <v>1460</v>
      </c>
      <c r="R615" s="35"/>
      <c r="S615" s="35">
        <v>1063.5999999999999</v>
      </c>
      <c r="T615" s="35"/>
      <c r="U615" s="35">
        <f>Q615-S615</f>
        <v>396.40000000000009</v>
      </c>
      <c r="V615" s="22" t="s">
        <v>1449</v>
      </c>
      <c r="W615" s="22" t="s">
        <v>1450</v>
      </c>
      <c r="X615" s="22"/>
      <c r="Y615" s="22"/>
      <c r="Z615" s="29">
        <v>43107</v>
      </c>
      <c r="AA615" s="29"/>
      <c r="AB615" s="29">
        <v>43483</v>
      </c>
      <c r="AC615" s="29">
        <v>43483</v>
      </c>
      <c r="AD615" s="29"/>
      <c r="AE615" s="29"/>
      <c r="AF615" s="22"/>
      <c r="AG615" s="29" t="s">
        <v>98</v>
      </c>
      <c r="AH615" s="519">
        <v>1048</v>
      </c>
      <c r="AI615" s="144"/>
      <c r="AJ615" s="534"/>
      <c r="AK615" s="143"/>
      <c r="AL615" s="143"/>
      <c r="AM615" s="143"/>
      <c r="AN615" s="143"/>
      <c r="AO615" s="143"/>
      <c r="AP615" s="143"/>
      <c r="AQ615" s="143"/>
      <c r="AR615" s="143"/>
      <c r="AS615" s="21"/>
      <c r="AT615" s="21"/>
      <c r="AU615" s="21"/>
      <c r="AV615" s="21"/>
      <c r="AW615" s="21"/>
      <c r="AX615" s="21"/>
      <c r="AY615" s="21"/>
      <c r="AZ615" s="21"/>
      <c r="BA615" s="21"/>
      <c r="BB615" s="21"/>
      <c r="BC615" s="21"/>
      <c r="BD615" s="21"/>
      <c r="BE615" s="21"/>
      <c r="BF615" s="21"/>
      <c r="BG615" s="21"/>
      <c r="BH615" s="21"/>
      <c r="BI615" s="21"/>
      <c r="BJ615" s="21"/>
    </row>
    <row r="616" spans="1:62" s="138" customFormat="1" ht="92.4" x14ac:dyDescent="0.25">
      <c r="A616" s="87" t="s">
        <v>1371</v>
      </c>
      <c r="B616" s="352">
        <v>5</v>
      </c>
      <c r="C616" s="49">
        <v>5</v>
      </c>
      <c r="D616" s="382" t="s">
        <v>86</v>
      </c>
      <c r="E616" s="65"/>
      <c r="F616" s="22"/>
      <c r="G616" s="33" t="s">
        <v>1451</v>
      </c>
      <c r="H616" s="33" t="s">
        <v>1452</v>
      </c>
      <c r="I616" s="33"/>
      <c r="J616" s="22"/>
      <c r="K616" s="33"/>
      <c r="L616" s="25"/>
      <c r="M616" s="25"/>
      <c r="N616" s="50">
        <v>2</v>
      </c>
      <c r="O616" s="22"/>
      <c r="P616" s="51">
        <v>82.52</v>
      </c>
      <c r="Q616" s="28">
        <f t="shared" si="63"/>
        <v>165.04</v>
      </c>
      <c r="R616" s="35"/>
      <c r="S616" s="35">
        <v>152.52000000000001</v>
      </c>
      <c r="T616" s="35"/>
      <c r="U616" s="35">
        <f t="shared" ref="U616:U643" si="64">Q616-S616</f>
        <v>12.519999999999982</v>
      </c>
      <c r="V616" s="22" t="s">
        <v>1453</v>
      </c>
      <c r="W616" s="22" t="s">
        <v>1454</v>
      </c>
      <c r="X616" s="22"/>
      <c r="Y616" s="22"/>
      <c r="Z616" s="29">
        <v>43514</v>
      </c>
      <c r="AA616" s="29"/>
      <c r="AB616" s="29">
        <v>43539</v>
      </c>
      <c r="AC616" s="29"/>
      <c r="AD616" s="29"/>
      <c r="AE616" s="29"/>
      <c r="AF616" s="22"/>
      <c r="AG616" s="29" t="s">
        <v>98</v>
      </c>
      <c r="AH616" s="519">
        <v>152.52000000000001</v>
      </c>
      <c r="AI616" s="144"/>
      <c r="AJ616" s="534"/>
      <c r="AK616" s="143"/>
      <c r="AL616" s="143"/>
      <c r="AM616" s="143"/>
      <c r="AN616" s="143"/>
      <c r="AO616" s="143"/>
      <c r="AP616" s="143"/>
      <c r="AQ616" s="143"/>
      <c r="AR616" s="143"/>
      <c r="AS616" s="21"/>
      <c r="AT616" s="21"/>
      <c r="AU616" s="21"/>
      <c r="AV616" s="21"/>
      <c r="AW616" s="21"/>
      <c r="AX616" s="21"/>
      <c r="AY616" s="21"/>
      <c r="AZ616" s="21"/>
      <c r="BA616" s="21"/>
      <c r="BB616" s="21"/>
      <c r="BC616" s="21"/>
      <c r="BD616" s="21"/>
      <c r="BE616" s="21"/>
      <c r="BF616" s="21"/>
      <c r="BG616" s="21"/>
      <c r="BH616" s="21"/>
      <c r="BI616" s="21"/>
      <c r="BJ616" s="21"/>
    </row>
    <row r="617" spans="1:62" s="138" customFormat="1" ht="92.4" x14ac:dyDescent="0.25">
      <c r="A617" s="87" t="s">
        <v>1371</v>
      </c>
      <c r="B617" s="352">
        <v>5</v>
      </c>
      <c r="C617" s="49">
        <v>5</v>
      </c>
      <c r="D617" s="382" t="s">
        <v>86</v>
      </c>
      <c r="E617" s="65"/>
      <c r="F617" s="22"/>
      <c r="G617" s="33" t="s">
        <v>1455</v>
      </c>
      <c r="H617" s="33" t="s">
        <v>1452</v>
      </c>
      <c r="I617" s="33"/>
      <c r="J617" s="22"/>
      <c r="K617" s="33"/>
      <c r="L617" s="25"/>
      <c r="M617" s="25"/>
      <c r="N617" s="50">
        <v>4</v>
      </c>
      <c r="O617" s="22"/>
      <c r="P617" s="51">
        <v>99.45</v>
      </c>
      <c r="Q617" s="28">
        <f t="shared" si="63"/>
        <v>397.8</v>
      </c>
      <c r="R617" s="35"/>
      <c r="S617" s="35">
        <v>328.68</v>
      </c>
      <c r="T617" s="35"/>
      <c r="U617" s="35">
        <f t="shared" si="64"/>
        <v>69.12</v>
      </c>
      <c r="V617" s="22" t="s">
        <v>1453</v>
      </c>
      <c r="W617" s="22" t="s">
        <v>1454</v>
      </c>
      <c r="X617" s="22"/>
      <c r="Y617" s="22"/>
      <c r="Z617" s="29">
        <v>43514</v>
      </c>
      <c r="AA617" s="29"/>
      <c r="AB617" s="29">
        <v>43539</v>
      </c>
      <c r="AC617" s="29"/>
      <c r="AD617" s="29"/>
      <c r="AE617" s="29"/>
      <c r="AF617" s="22"/>
      <c r="AG617" s="29" t="s">
        <v>98</v>
      </c>
      <c r="AH617" s="519">
        <v>328.68</v>
      </c>
      <c r="AI617" s="144"/>
      <c r="AJ617" s="534"/>
      <c r="AK617" s="143"/>
      <c r="AL617" s="143"/>
      <c r="AM617" s="143"/>
      <c r="AN617" s="143"/>
      <c r="AO617" s="143"/>
      <c r="AP617" s="143"/>
      <c r="AQ617" s="143"/>
      <c r="AR617" s="143"/>
      <c r="AS617" s="21"/>
      <c r="AT617" s="21"/>
      <c r="AU617" s="21"/>
      <c r="AV617" s="21"/>
      <c r="AW617" s="21"/>
      <c r="AX617" s="21"/>
      <c r="AY617" s="21"/>
      <c r="AZ617" s="21"/>
      <c r="BA617" s="21"/>
      <c r="BB617" s="21"/>
      <c r="BC617" s="21"/>
      <c r="BD617" s="21"/>
      <c r="BE617" s="21"/>
      <c r="BF617" s="21"/>
      <c r="BG617" s="21"/>
      <c r="BH617" s="21"/>
      <c r="BI617" s="21"/>
      <c r="BJ617" s="21"/>
    </row>
    <row r="618" spans="1:62" s="138" customFormat="1" ht="92.4" x14ac:dyDescent="0.25">
      <c r="A618" s="87" t="s">
        <v>1371</v>
      </c>
      <c r="B618" s="352">
        <v>5</v>
      </c>
      <c r="C618" s="49">
        <v>5</v>
      </c>
      <c r="D618" s="382" t="s">
        <v>86</v>
      </c>
      <c r="E618" s="65"/>
      <c r="F618" s="22"/>
      <c r="G618" s="33" t="s">
        <v>1456</v>
      </c>
      <c r="H618" s="33" t="s">
        <v>1452</v>
      </c>
      <c r="I618" s="33"/>
      <c r="J618" s="22"/>
      <c r="K618" s="33"/>
      <c r="L618" s="25"/>
      <c r="M618" s="25"/>
      <c r="N618" s="50">
        <v>2</v>
      </c>
      <c r="O618" s="22"/>
      <c r="P618" s="51">
        <v>62.24</v>
      </c>
      <c r="Q618" s="28">
        <f t="shared" si="63"/>
        <v>124.48</v>
      </c>
      <c r="R618" s="35"/>
      <c r="S618" s="35">
        <f>105.9+16.85</f>
        <v>122.75</v>
      </c>
      <c r="T618" s="35"/>
      <c r="U618" s="35">
        <f t="shared" si="64"/>
        <v>1.730000000000004</v>
      </c>
      <c r="V618" s="22" t="s">
        <v>1453</v>
      </c>
      <c r="W618" s="22" t="s">
        <v>1454</v>
      </c>
      <c r="X618" s="22"/>
      <c r="Y618" s="22"/>
      <c r="Z618" s="29">
        <v>43514</v>
      </c>
      <c r="AA618" s="29"/>
      <c r="AB618" s="29">
        <v>43539</v>
      </c>
      <c r="AC618" s="29"/>
      <c r="AD618" s="29"/>
      <c r="AE618" s="29"/>
      <c r="AF618" s="22"/>
      <c r="AG618" s="29" t="s">
        <v>98</v>
      </c>
      <c r="AH618" s="519">
        <f>105.9+16.85</f>
        <v>122.75</v>
      </c>
      <c r="AI618" s="144"/>
      <c r="AJ618" s="534"/>
      <c r="AK618" s="143"/>
      <c r="AL618" s="143"/>
      <c r="AM618" s="143"/>
      <c r="AN618" s="143"/>
      <c r="AO618" s="143"/>
      <c r="AP618" s="143"/>
      <c r="AQ618" s="143"/>
      <c r="AR618" s="143"/>
      <c r="AS618" s="21"/>
      <c r="AT618" s="21"/>
      <c r="AU618" s="21"/>
      <c r="AV618" s="21"/>
      <c r="AW618" s="21"/>
      <c r="AX618" s="21"/>
      <c r="AY618" s="21"/>
      <c r="AZ618" s="21"/>
      <c r="BA618" s="21"/>
      <c r="BB618" s="21"/>
      <c r="BC618" s="21"/>
      <c r="BD618" s="21"/>
      <c r="BE618" s="21"/>
      <c r="BF618" s="21"/>
      <c r="BG618" s="21"/>
      <c r="BH618" s="21"/>
      <c r="BI618" s="21"/>
      <c r="BJ618" s="21"/>
    </row>
    <row r="619" spans="1:62" s="138" customFormat="1" ht="92.4" x14ac:dyDescent="0.25">
      <c r="A619" s="87" t="s">
        <v>1457</v>
      </c>
      <c r="B619" s="352">
        <v>5</v>
      </c>
      <c r="C619" s="49">
        <v>5</v>
      </c>
      <c r="D619" s="382" t="s">
        <v>86</v>
      </c>
      <c r="E619" s="65"/>
      <c r="F619" s="22"/>
      <c r="G619" s="33" t="s">
        <v>1458</v>
      </c>
      <c r="H619" s="33" t="s">
        <v>1459</v>
      </c>
      <c r="I619" s="33"/>
      <c r="J619" s="22"/>
      <c r="K619" s="33"/>
      <c r="L619" s="25"/>
      <c r="M619" s="25"/>
      <c r="N619" s="50">
        <v>1</v>
      </c>
      <c r="O619" s="22"/>
      <c r="P619" s="51">
        <v>405</v>
      </c>
      <c r="Q619" s="28">
        <f t="shared" si="63"/>
        <v>405</v>
      </c>
      <c r="R619" s="35"/>
      <c r="S619" s="35">
        <v>405</v>
      </c>
      <c r="T619" s="35"/>
      <c r="U619" s="35">
        <f t="shared" si="64"/>
        <v>0</v>
      </c>
      <c r="V619" s="22" t="s">
        <v>1460</v>
      </c>
      <c r="W619" s="22" t="s">
        <v>1461</v>
      </c>
      <c r="X619" s="22"/>
      <c r="Y619" s="22"/>
      <c r="Z619" s="29">
        <v>43514</v>
      </c>
      <c r="AA619" s="29"/>
      <c r="AB619" s="29">
        <v>43539</v>
      </c>
      <c r="AC619" s="29"/>
      <c r="AD619" s="29"/>
      <c r="AE619" s="29"/>
      <c r="AF619" s="22"/>
      <c r="AG619" s="29" t="s">
        <v>98</v>
      </c>
      <c r="AH619" s="519">
        <v>405</v>
      </c>
      <c r="AI619" s="144"/>
      <c r="AJ619" s="534"/>
      <c r="AK619" s="143"/>
      <c r="AL619" s="143"/>
      <c r="AM619" s="143"/>
      <c r="AN619" s="143"/>
      <c r="AO619" s="143"/>
      <c r="AP619" s="143"/>
      <c r="AQ619" s="143"/>
      <c r="AR619" s="143"/>
      <c r="AS619" s="21"/>
      <c r="AT619" s="21"/>
      <c r="AU619" s="21"/>
      <c r="AV619" s="21"/>
      <c r="AW619" s="21"/>
      <c r="AX619" s="21"/>
      <c r="AY619" s="21"/>
      <c r="AZ619" s="21"/>
      <c r="BA619" s="21"/>
      <c r="BB619" s="21"/>
      <c r="BC619" s="21"/>
      <c r="BD619" s="21"/>
      <c r="BE619" s="21"/>
      <c r="BF619" s="21"/>
      <c r="BG619" s="21"/>
      <c r="BH619" s="21"/>
      <c r="BI619" s="21"/>
      <c r="BJ619" s="21"/>
    </row>
    <row r="620" spans="1:62" s="138" customFormat="1" ht="92.4" x14ac:dyDescent="0.25">
      <c r="A620" s="87" t="s">
        <v>1457</v>
      </c>
      <c r="B620" s="352">
        <v>5</v>
      </c>
      <c r="C620" s="49">
        <v>5</v>
      </c>
      <c r="D620" s="382" t="s">
        <v>86</v>
      </c>
      <c r="E620" s="65"/>
      <c r="F620" s="22"/>
      <c r="G620" s="33" t="s">
        <v>1462</v>
      </c>
      <c r="H620" s="33" t="s">
        <v>1463</v>
      </c>
      <c r="I620" s="33"/>
      <c r="J620" s="22"/>
      <c r="K620" s="33"/>
      <c r="L620" s="25"/>
      <c r="M620" s="25"/>
      <c r="N620" s="50">
        <v>1</v>
      </c>
      <c r="O620" s="22"/>
      <c r="P620" s="51">
        <v>225</v>
      </c>
      <c r="Q620" s="28">
        <f t="shared" si="63"/>
        <v>225</v>
      </c>
      <c r="R620" s="35"/>
      <c r="S620" s="35">
        <v>225</v>
      </c>
      <c r="T620" s="35"/>
      <c r="U620" s="35">
        <f t="shared" si="64"/>
        <v>0</v>
      </c>
      <c r="V620" s="22" t="s">
        <v>1460</v>
      </c>
      <c r="W620" s="22" t="s">
        <v>1461</v>
      </c>
      <c r="X620" s="22"/>
      <c r="Y620" s="22"/>
      <c r="Z620" s="29">
        <v>43514</v>
      </c>
      <c r="AA620" s="29"/>
      <c r="AB620" s="29">
        <v>43539</v>
      </c>
      <c r="AC620" s="29"/>
      <c r="AD620" s="29"/>
      <c r="AE620" s="29"/>
      <c r="AF620" s="22"/>
      <c r="AG620" s="29" t="s">
        <v>98</v>
      </c>
      <c r="AH620" s="519">
        <v>225</v>
      </c>
      <c r="AI620" s="144"/>
      <c r="AJ620" s="534"/>
      <c r="AK620" s="143"/>
      <c r="AL620" s="143"/>
      <c r="AM620" s="143"/>
      <c r="AN620" s="143"/>
      <c r="AO620" s="143"/>
      <c r="AP620" s="143"/>
      <c r="AQ620" s="143"/>
      <c r="AR620" s="143"/>
      <c r="AS620" s="21"/>
      <c r="AT620" s="21"/>
      <c r="AU620" s="21"/>
      <c r="AV620" s="21"/>
      <c r="AW620" s="21"/>
      <c r="AX620" s="21"/>
      <c r="AY620" s="21"/>
      <c r="AZ620" s="21"/>
      <c r="BA620" s="21"/>
      <c r="BB620" s="21"/>
      <c r="BC620" s="21"/>
      <c r="BD620" s="21"/>
      <c r="BE620" s="21"/>
      <c r="BF620" s="21"/>
      <c r="BG620" s="21"/>
      <c r="BH620" s="21"/>
      <c r="BI620" s="21"/>
      <c r="BJ620" s="21"/>
    </row>
    <row r="621" spans="1:62" s="138" customFormat="1" ht="92.4" x14ac:dyDescent="0.25">
      <c r="A621" s="87" t="s">
        <v>1457</v>
      </c>
      <c r="B621" s="352">
        <v>5</v>
      </c>
      <c r="C621" s="49">
        <v>5</v>
      </c>
      <c r="D621" s="382" t="s">
        <v>86</v>
      </c>
      <c r="E621" s="65"/>
      <c r="F621" s="22"/>
      <c r="G621" s="33" t="s">
        <v>1464</v>
      </c>
      <c r="H621" s="33" t="s">
        <v>1463</v>
      </c>
      <c r="I621" s="33"/>
      <c r="J621" s="22"/>
      <c r="K621" s="33"/>
      <c r="L621" s="25"/>
      <c r="M621" s="25"/>
      <c r="N621" s="50">
        <v>1</v>
      </c>
      <c r="O621" s="22"/>
      <c r="P621" s="51">
        <v>30</v>
      </c>
      <c r="Q621" s="28">
        <f t="shared" si="63"/>
        <v>30</v>
      </c>
      <c r="R621" s="35"/>
      <c r="S621" s="35">
        <v>30</v>
      </c>
      <c r="T621" s="35"/>
      <c r="U621" s="35">
        <f t="shared" si="64"/>
        <v>0</v>
      </c>
      <c r="V621" s="22" t="s">
        <v>1460</v>
      </c>
      <c r="W621" s="22" t="s">
        <v>1465</v>
      </c>
      <c r="X621" s="22"/>
      <c r="Y621" s="22"/>
      <c r="Z621" s="29">
        <v>43514</v>
      </c>
      <c r="AA621" s="29"/>
      <c r="AB621" s="29">
        <v>43539</v>
      </c>
      <c r="AC621" s="29"/>
      <c r="AD621" s="29"/>
      <c r="AE621" s="29"/>
      <c r="AF621" s="22"/>
      <c r="AG621" s="29" t="s">
        <v>98</v>
      </c>
      <c r="AH621" s="519">
        <v>30</v>
      </c>
      <c r="AI621" s="144"/>
      <c r="AJ621" s="534"/>
      <c r="AK621" s="143"/>
      <c r="AL621" s="143"/>
      <c r="AM621" s="143"/>
      <c r="AN621" s="143"/>
      <c r="AO621" s="143"/>
      <c r="AP621" s="143"/>
      <c r="AQ621" s="143"/>
      <c r="AR621" s="143"/>
      <c r="AS621" s="21"/>
      <c r="AT621" s="21"/>
      <c r="AU621" s="21"/>
      <c r="AV621" s="21"/>
      <c r="AW621" s="21"/>
      <c r="AX621" s="21"/>
      <c r="AY621" s="21"/>
      <c r="AZ621" s="21"/>
      <c r="BA621" s="21"/>
      <c r="BB621" s="21"/>
      <c r="BC621" s="21"/>
      <c r="BD621" s="21"/>
      <c r="BE621" s="21"/>
      <c r="BF621" s="21"/>
      <c r="BG621" s="21"/>
      <c r="BH621" s="21"/>
      <c r="BI621" s="21"/>
      <c r="BJ621" s="21"/>
    </row>
    <row r="622" spans="1:62" s="138" customFormat="1" ht="12.75" customHeight="1" x14ac:dyDescent="0.25">
      <c r="A622" s="381" t="s">
        <v>1339</v>
      </c>
      <c r="B622" s="352">
        <v>5</v>
      </c>
      <c r="C622" s="49">
        <v>5</v>
      </c>
      <c r="D622" s="382" t="s">
        <v>86</v>
      </c>
      <c r="E622" s="65"/>
      <c r="F622" s="22"/>
      <c r="G622" s="33" t="s">
        <v>1466</v>
      </c>
      <c r="H622" s="33" t="s">
        <v>1026</v>
      </c>
      <c r="I622" s="33"/>
      <c r="J622" s="22"/>
      <c r="K622" s="33"/>
      <c r="L622" s="25"/>
      <c r="M622" s="25"/>
      <c r="N622" s="50">
        <v>6</v>
      </c>
      <c r="O622" s="22"/>
      <c r="P622" s="51">
        <v>44.64</v>
      </c>
      <c r="Q622" s="28">
        <f t="shared" si="63"/>
        <v>267.84000000000003</v>
      </c>
      <c r="R622" s="35"/>
      <c r="S622" s="35">
        <v>240</v>
      </c>
      <c r="T622" s="35"/>
      <c r="U622" s="35">
        <f t="shared" si="64"/>
        <v>27.840000000000032</v>
      </c>
      <c r="V622" s="22" t="s">
        <v>1341</v>
      </c>
      <c r="W622" s="22" t="s">
        <v>1342</v>
      </c>
      <c r="X622" s="22"/>
      <c r="Y622" s="22"/>
      <c r="Z622" s="29">
        <v>43418</v>
      </c>
      <c r="AA622" s="29"/>
      <c r="AB622" s="29">
        <v>43425</v>
      </c>
      <c r="AC622" s="29">
        <v>43483</v>
      </c>
      <c r="AD622" s="29"/>
      <c r="AE622" s="29"/>
      <c r="AF622" s="22"/>
      <c r="AG622" s="29" t="s">
        <v>98</v>
      </c>
      <c r="AH622" s="519">
        <v>240</v>
      </c>
      <c r="AI622" s="144"/>
      <c r="AJ622" s="534"/>
      <c r="AK622" s="143"/>
      <c r="AL622" s="143"/>
      <c r="AM622" s="143"/>
      <c r="AN622" s="143"/>
      <c r="AO622" s="143"/>
      <c r="AP622" s="143"/>
      <c r="AQ622" s="143"/>
      <c r="AR622" s="143"/>
      <c r="AS622" s="21"/>
      <c r="AT622" s="21"/>
      <c r="AU622" s="21"/>
      <c r="AV622" s="21"/>
      <c r="AW622" s="21"/>
      <c r="AX622" s="21"/>
      <c r="AY622" s="21"/>
      <c r="AZ622" s="21"/>
      <c r="BA622" s="21"/>
      <c r="BB622" s="21"/>
      <c r="BC622" s="21"/>
      <c r="BD622" s="21"/>
      <c r="BE622" s="21"/>
      <c r="BF622" s="21"/>
      <c r="BG622" s="21"/>
      <c r="BH622" s="21"/>
      <c r="BI622" s="21"/>
      <c r="BJ622" s="21"/>
    </row>
    <row r="623" spans="1:62" s="138" customFormat="1" ht="105.6" x14ac:dyDescent="0.25">
      <c r="A623" s="87" t="s">
        <v>1467</v>
      </c>
      <c r="B623" s="352">
        <v>5</v>
      </c>
      <c r="C623" s="49">
        <v>5</v>
      </c>
      <c r="D623" s="382" t="s">
        <v>86</v>
      </c>
      <c r="E623" s="65"/>
      <c r="F623" s="22"/>
      <c r="G623" s="142" t="s">
        <v>1468</v>
      </c>
      <c r="H623" s="33" t="s">
        <v>1469</v>
      </c>
      <c r="I623" s="33"/>
      <c r="J623" s="22"/>
      <c r="K623" s="33"/>
      <c r="L623" s="25"/>
      <c r="M623" s="25"/>
      <c r="N623" s="50">
        <v>2</v>
      </c>
      <c r="O623" s="22"/>
      <c r="P623" s="51">
        <v>735</v>
      </c>
      <c r="Q623" s="28">
        <f t="shared" si="63"/>
        <v>1470</v>
      </c>
      <c r="R623" s="35"/>
      <c r="S623" s="35">
        <v>1534.51</v>
      </c>
      <c r="T623" s="35"/>
      <c r="U623" s="35">
        <f t="shared" si="64"/>
        <v>-64.509999999999991</v>
      </c>
      <c r="V623" s="22" t="s">
        <v>1470</v>
      </c>
      <c r="W623" s="22" t="s">
        <v>1429</v>
      </c>
      <c r="X623" s="22"/>
      <c r="Y623" s="22"/>
      <c r="Z623" s="29">
        <v>43518</v>
      </c>
      <c r="AA623" s="29"/>
      <c r="AB623" s="29">
        <v>43545</v>
      </c>
      <c r="AC623" s="29"/>
      <c r="AD623" s="29"/>
      <c r="AE623" s="29"/>
      <c r="AF623" s="22"/>
      <c r="AG623" s="29" t="s">
        <v>914</v>
      </c>
      <c r="AH623" s="519">
        <v>1534.51</v>
      </c>
      <c r="AI623" s="144"/>
      <c r="AJ623" s="143"/>
      <c r="AK623" s="143"/>
      <c r="AL623" s="143"/>
      <c r="AM623" s="143"/>
      <c r="AN623" s="534"/>
      <c r="AO623" s="143">
        <f>AH623</f>
        <v>1534.51</v>
      </c>
      <c r="AP623" s="143"/>
      <c r="AQ623" s="143"/>
      <c r="AR623" s="143"/>
      <c r="AS623" s="21"/>
      <c r="AT623" s="21"/>
      <c r="AU623" s="21"/>
      <c r="AV623" s="21"/>
      <c r="AW623" s="21"/>
      <c r="AX623" s="21"/>
      <c r="AY623" s="21"/>
      <c r="AZ623" s="21"/>
      <c r="BA623" s="21"/>
      <c r="BB623" s="21"/>
      <c r="BC623" s="21"/>
      <c r="BD623" s="21"/>
      <c r="BE623" s="21"/>
      <c r="BF623" s="21"/>
      <c r="BG623" s="21"/>
      <c r="BH623" s="21"/>
      <c r="BI623" s="21"/>
      <c r="BJ623" s="21"/>
    </row>
    <row r="624" spans="1:62" s="138" customFormat="1" ht="92.4" x14ac:dyDescent="0.25">
      <c r="A624" s="87" t="s">
        <v>1471</v>
      </c>
      <c r="B624" s="352">
        <v>5</v>
      </c>
      <c r="C624" s="49">
        <v>5</v>
      </c>
      <c r="D624" s="382" t="s">
        <v>86</v>
      </c>
      <c r="E624" s="65"/>
      <c r="F624" s="22"/>
      <c r="G624" s="33" t="s">
        <v>1472</v>
      </c>
      <c r="H624" s="33" t="s">
        <v>1473</v>
      </c>
      <c r="I624" s="33"/>
      <c r="J624" s="22"/>
      <c r="K624" s="33"/>
      <c r="L624" s="25"/>
      <c r="M624" s="25"/>
      <c r="N624" s="50">
        <v>50</v>
      </c>
      <c r="O624" s="22"/>
      <c r="P624" s="51">
        <v>2.35</v>
      </c>
      <c r="Q624" s="28">
        <f t="shared" si="63"/>
        <v>117.5</v>
      </c>
      <c r="R624" s="35"/>
      <c r="S624" s="35">
        <v>127.27</v>
      </c>
      <c r="T624" s="35"/>
      <c r="U624" s="35">
        <f t="shared" si="64"/>
        <v>-9.769999999999996</v>
      </c>
      <c r="V624" s="22" t="s">
        <v>1474</v>
      </c>
      <c r="W624" s="22" t="s">
        <v>1475</v>
      </c>
      <c r="X624" s="22"/>
      <c r="Y624" s="22"/>
      <c r="Z624" s="29">
        <v>43517</v>
      </c>
      <c r="AA624" s="29"/>
      <c r="AB624" s="29">
        <v>43525</v>
      </c>
      <c r="AC624" s="29"/>
      <c r="AD624" s="29"/>
      <c r="AE624" s="29"/>
      <c r="AF624" s="22"/>
      <c r="AG624" s="29" t="s">
        <v>98</v>
      </c>
      <c r="AH624" s="519">
        <v>127.27</v>
      </c>
      <c r="AI624" s="144"/>
      <c r="AJ624" s="534"/>
      <c r="AK624" s="143"/>
      <c r="AL624" s="143"/>
      <c r="AM624" s="143"/>
      <c r="AN624" s="143"/>
      <c r="AO624" s="143"/>
      <c r="AP624" s="143"/>
      <c r="AQ624" s="143"/>
      <c r="AR624" s="143"/>
      <c r="AS624" s="21"/>
      <c r="AT624" s="21"/>
      <c r="AU624" s="21"/>
      <c r="AV624" s="21"/>
      <c r="AW624" s="21"/>
      <c r="AX624" s="21"/>
      <c r="AY624" s="21"/>
      <c r="AZ624" s="21"/>
      <c r="BA624" s="21"/>
      <c r="BB624" s="21"/>
      <c r="BC624" s="21"/>
      <c r="BD624" s="21"/>
      <c r="BE624" s="21"/>
      <c r="BF624" s="21"/>
      <c r="BG624" s="21"/>
      <c r="BH624" s="21"/>
      <c r="BI624" s="21"/>
      <c r="BJ624" s="21"/>
    </row>
    <row r="625" spans="1:62" s="138" customFormat="1" ht="92.4" x14ac:dyDescent="0.25">
      <c r="A625" s="87" t="s">
        <v>1471</v>
      </c>
      <c r="B625" s="352">
        <v>5</v>
      </c>
      <c r="C625" s="49">
        <v>5</v>
      </c>
      <c r="D625" s="382" t="s">
        <v>86</v>
      </c>
      <c r="E625" s="65"/>
      <c r="F625" s="22"/>
      <c r="G625" s="33" t="s">
        <v>438</v>
      </c>
      <c r="H625" s="33" t="s">
        <v>1473</v>
      </c>
      <c r="I625" s="33"/>
      <c r="J625" s="22"/>
      <c r="K625" s="33"/>
      <c r="L625" s="25"/>
      <c r="M625" s="25"/>
      <c r="N625" s="50">
        <v>1</v>
      </c>
      <c r="O625" s="22"/>
      <c r="P625" s="51">
        <v>9.99</v>
      </c>
      <c r="Q625" s="28">
        <f t="shared" si="63"/>
        <v>9.99</v>
      </c>
      <c r="R625" s="35"/>
      <c r="S625" s="35">
        <v>10.82</v>
      </c>
      <c r="T625" s="35"/>
      <c r="U625" s="35">
        <f t="shared" si="64"/>
        <v>-0.83000000000000007</v>
      </c>
      <c r="V625" s="22" t="s">
        <v>1474</v>
      </c>
      <c r="W625" s="22" t="s">
        <v>1475</v>
      </c>
      <c r="X625" s="22"/>
      <c r="Y625" s="22"/>
      <c r="Z625" s="29">
        <v>43517</v>
      </c>
      <c r="AA625" s="29"/>
      <c r="AB625" s="29">
        <v>43525</v>
      </c>
      <c r="AC625" s="29"/>
      <c r="AD625" s="29"/>
      <c r="AE625" s="29"/>
      <c r="AF625" s="22"/>
      <c r="AG625" s="29" t="s">
        <v>98</v>
      </c>
      <c r="AH625" s="519">
        <v>10.82</v>
      </c>
      <c r="AI625" s="144"/>
      <c r="AJ625" s="534"/>
      <c r="AK625" s="143"/>
      <c r="AL625" s="143"/>
      <c r="AM625" s="143"/>
      <c r="AN625" s="143"/>
      <c r="AO625" s="143"/>
      <c r="AP625" s="143"/>
      <c r="AQ625" s="143"/>
      <c r="AR625" s="143"/>
      <c r="AS625" s="21"/>
      <c r="AT625" s="21"/>
      <c r="AU625" s="21"/>
      <c r="AV625" s="21"/>
      <c r="AW625" s="21"/>
      <c r="AX625" s="21"/>
      <c r="AY625" s="21"/>
      <c r="AZ625" s="21"/>
      <c r="BA625" s="21"/>
      <c r="BB625" s="21"/>
      <c r="BC625" s="21"/>
      <c r="BD625" s="21"/>
      <c r="BE625" s="21"/>
      <c r="BF625" s="21"/>
      <c r="BG625" s="21"/>
      <c r="BH625" s="21"/>
      <c r="BI625" s="21"/>
      <c r="BJ625" s="21"/>
    </row>
    <row r="626" spans="1:62" s="138" customFormat="1" ht="12.75" customHeight="1" x14ac:dyDescent="0.25">
      <c r="A626" s="381"/>
      <c r="B626" s="352" t="s">
        <v>1939</v>
      </c>
      <c r="C626" s="49">
        <v>5</v>
      </c>
      <c r="D626" s="382" t="s">
        <v>1281</v>
      </c>
      <c r="E626" s="65"/>
      <c r="F626" s="22"/>
      <c r="G626" s="33" t="s">
        <v>1476</v>
      </c>
      <c r="H626" s="33" t="s">
        <v>1026</v>
      </c>
      <c r="I626" s="33"/>
      <c r="J626" s="22"/>
      <c r="K626" s="33"/>
      <c r="L626" s="25"/>
      <c r="M626" s="25"/>
      <c r="N626" s="50">
        <v>4</v>
      </c>
      <c r="O626" s="22"/>
      <c r="P626" s="51">
        <v>133.53</v>
      </c>
      <c r="Q626" s="28"/>
      <c r="R626" s="35"/>
      <c r="S626" s="35">
        <v>534.12</v>
      </c>
      <c r="T626" s="35"/>
      <c r="U626" s="35">
        <f t="shared" si="64"/>
        <v>-534.12</v>
      </c>
      <c r="V626" s="22" t="s">
        <v>1477</v>
      </c>
      <c r="W626" s="22" t="s">
        <v>1478</v>
      </c>
      <c r="X626" s="22"/>
      <c r="Y626" s="22"/>
      <c r="Z626" s="29">
        <v>43424</v>
      </c>
      <c r="AA626" s="29"/>
      <c r="AB626" s="29">
        <v>43434</v>
      </c>
      <c r="AC626" s="29">
        <v>43470</v>
      </c>
      <c r="AD626" s="29"/>
      <c r="AE626" s="29"/>
      <c r="AF626" s="22"/>
      <c r="AG626" s="29" t="s">
        <v>98</v>
      </c>
      <c r="AH626" s="519">
        <v>534.12</v>
      </c>
      <c r="AI626" s="144"/>
      <c r="AJ626" s="534"/>
      <c r="AK626" s="143"/>
      <c r="AL626" s="143"/>
      <c r="AM626" s="143"/>
      <c r="AN626" s="143"/>
      <c r="AO626" s="143"/>
      <c r="AP626" s="143"/>
      <c r="AQ626" s="143"/>
      <c r="AR626" s="143"/>
      <c r="AS626" s="21"/>
      <c r="AT626" s="21"/>
      <c r="AU626" s="21"/>
      <c r="AV626" s="21"/>
      <c r="AW626" s="21"/>
      <c r="AX626" s="21"/>
      <c r="AY626" s="21"/>
      <c r="AZ626" s="21"/>
      <c r="BA626" s="21"/>
      <c r="BB626" s="21"/>
      <c r="BC626" s="21"/>
      <c r="BD626" s="21"/>
      <c r="BE626" s="21"/>
      <c r="BF626" s="21"/>
      <c r="BG626" s="21"/>
      <c r="BH626" s="21"/>
      <c r="BI626" s="21"/>
      <c r="BJ626" s="21"/>
    </row>
    <row r="627" spans="1:62" s="138" customFormat="1" ht="12.75" customHeight="1" x14ac:dyDescent="0.25">
      <c r="A627" s="381"/>
      <c r="B627" s="352" t="s">
        <v>1939</v>
      </c>
      <c r="C627" s="49">
        <v>5</v>
      </c>
      <c r="D627" s="382" t="s">
        <v>1281</v>
      </c>
      <c r="E627" s="382"/>
      <c r="F627" s="382"/>
      <c r="G627" s="33" t="s">
        <v>1479</v>
      </c>
      <c r="H627" s="33" t="s">
        <v>1026</v>
      </c>
      <c r="I627" s="33"/>
      <c r="J627" s="22"/>
      <c r="K627" s="33"/>
      <c r="L627" s="25"/>
      <c r="M627" s="25"/>
      <c r="N627" s="50">
        <v>20</v>
      </c>
      <c r="O627" s="22"/>
      <c r="P627" s="51">
        <v>194.1</v>
      </c>
      <c r="Q627" s="28"/>
      <c r="R627" s="35"/>
      <c r="S627" s="35">
        <v>3882</v>
      </c>
      <c r="T627" s="35"/>
      <c r="U627" s="35">
        <f t="shared" si="64"/>
        <v>-3882</v>
      </c>
      <c r="V627" s="22" t="s">
        <v>1477</v>
      </c>
      <c r="W627" s="22" t="s">
        <v>1478</v>
      </c>
      <c r="X627" s="22"/>
      <c r="Y627" s="22"/>
      <c r="Z627" s="29">
        <v>43424</v>
      </c>
      <c r="AA627" s="29"/>
      <c r="AB627" s="29">
        <v>43434</v>
      </c>
      <c r="AC627" s="29">
        <v>43470</v>
      </c>
      <c r="AD627" s="29"/>
      <c r="AE627" s="29"/>
      <c r="AF627" s="22"/>
      <c r="AG627" s="29" t="s">
        <v>98</v>
      </c>
      <c r="AH627" s="519">
        <v>3882</v>
      </c>
      <c r="AI627" s="144"/>
      <c r="AJ627" s="534"/>
      <c r="AK627" s="143"/>
      <c r="AL627" s="143"/>
      <c r="AM627" s="143"/>
      <c r="AN627" s="143"/>
      <c r="AO627" s="143"/>
      <c r="AP627" s="143"/>
      <c r="AQ627" s="143"/>
      <c r="AR627" s="143"/>
      <c r="AS627" s="21"/>
      <c r="AT627" s="21"/>
      <c r="AU627" s="21"/>
      <c r="AV627" s="21"/>
      <c r="AW627" s="21"/>
      <c r="AX627" s="21"/>
      <c r="AY627" s="21"/>
      <c r="AZ627" s="21"/>
      <c r="BA627" s="21"/>
      <c r="BB627" s="21"/>
      <c r="BC627" s="21"/>
      <c r="BD627" s="21"/>
      <c r="BE627" s="21"/>
      <c r="BF627" s="21"/>
      <c r="BG627" s="21"/>
      <c r="BH627" s="21"/>
      <c r="BI627" s="21"/>
      <c r="BJ627" s="21"/>
    </row>
    <row r="628" spans="1:62" s="138" customFormat="1" ht="12.75" customHeight="1" x14ac:dyDescent="0.25">
      <c r="A628" s="381"/>
      <c r="B628" s="352" t="s">
        <v>1939</v>
      </c>
      <c r="C628" s="49">
        <v>5</v>
      </c>
      <c r="D628" s="382" t="s">
        <v>1480</v>
      </c>
      <c r="E628" s="382"/>
      <c r="F628" s="382"/>
      <c r="G628" s="33" t="s">
        <v>1481</v>
      </c>
      <c r="H628" s="33" t="s">
        <v>1482</v>
      </c>
      <c r="I628" s="33"/>
      <c r="J628" s="22"/>
      <c r="K628" s="33" t="s">
        <v>1483</v>
      </c>
      <c r="L628" s="25"/>
      <c r="M628" s="25"/>
      <c r="N628" s="50">
        <v>1</v>
      </c>
      <c r="O628" s="22"/>
      <c r="P628" s="51">
        <v>62.99</v>
      </c>
      <c r="Q628" s="28"/>
      <c r="R628" s="35"/>
      <c r="S628" s="35">
        <v>59.99</v>
      </c>
      <c r="T628" s="35"/>
      <c r="U628" s="35">
        <f t="shared" si="64"/>
        <v>-59.99</v>
      </c>
      <c r="V628" s="22" t="s">
        <v>1484</v>
      </c>
      <c r="W628" s="22" t="s">
        <v>1485</v>
      </c>
      <c r="X628" s="29"/>
      <c r="Y628" s="35"/>
      <c r="Z628" s="29">
        <v>43461</v>
      </c>
      <c r="AA628" s="22"/>
      <c r="AB628" s="29">
        <v>43461</v>
      </c>
      <c r="AC628" s="29">
        <v>43461</v>
      </c>
      <c r="AD628" s="29"/>
      <c r="AE628" s="29"/>
      <c r="AF628" s="22"/>
      <c r="AG628" s="29" t="s">
        <v>98</v>
      </c>
      <c r="AH628" s="519">
        <v>59.99</v>
      </c>
      <c r="AI628" s="144"/>
      <c r="AJ628" s="534"/>
      <c r="AK628" s="143"/>
      <c r="AL628" s="143"/>
      <c r="AM628" s="143"/>
      <c r="AN628" s="143"/>
      <c r="AO628" s="143"/>
      <c r="AP628" s="143"/>
      <c r="AQ628" s="143"/>
      <c r="AR628" s="143"/>
      <c r="AS628" s="21"/>
      <c r="AT628" s="21"/>
      <c r="AU628" s="21"/>
      <c r="AV628" s="21"/>
      <c r="AW628" s="21"/>
      <c r="AX628" s="21"/>
      <c r="AY628" s="21"/>
      <c r="AZ628" s="21"/>
      <c r="BA628" s="21"/>
      <c r="BB628" s="21"/>
      <c r="BC628" s="21"/>
      <c r="BD628" s="21"/>
      <c r="BE628" s="21"/>
      <c r="BF628" s="21"/>
      <c r="BG628" s="21"/>
      <c r="BH628" s="21"/>
      <c r="BI628" s="21"/>
      <c r="BJ628" s="21"/>
    </row>
    <row r="629" spans="1:62" s="138" customFormat="1" ht="12.75" customHeight="1" x14ac:dyDescent="0.25">
      <c r="A629" s="381"/>
      <c r="B629" s="352" t="s">
        <v>1939</v>
      </c>
      <c r="C629" s="49">
        <v>5</v>
      </c>
      <c r="D629" s="382" t="s">
        <v>1289</v>
      </c>
      <c r="E629" s="382"/>
      <c r="F629" s="382"/>
      <c r="G629" s="33" t="s">
        <v>1486</v>
      </c>
      <c r="H629" s="33"/>
      <c r="I629" s="33"/>
      <c r="J629" s="22"/>
      <c r="K629" s="33" t="s">
        <v>1483</v>
      </c>
      <c r="L629" s="25"/>
      <c r="M629" s="25"/>
      <c r="N629" s="50">
        <v>1</v>
      </c>
      <c r="O629" s="22"/>
      <c r="P629" s="51">
        <v>2143.0500000000002</v>
      </c>
      <c r="Q629" s="28"/>
      <c r="R629" s="35"/>
      <c r="S629" s="35">
        <v>2143.0500000000002</v>
      </c>
      <c r="T629" s="35"/>
      <c r="U629" s="35">
        <f t="shared" si="64"/>
        <v>-2143.0500000000002</v>
      </c>
      <c r="V629" s="22" t="s">
        <v>1487</v>
      </c>
      <c r="W629" s="22" t="s">
        <v>1488</v>
      </c>
      <c r="X629" s="29"/>
      <c r="Y629" s="35"/>
      <c r="Z629" s="29">
        <v>43455</v>
      </c>
      <c r="AA629" s="22"/>
      <c r="AB629" s="29">
        <v>43455</v>
      </c>
      <c r="AC629" s="29">
        <v>43455</v>
      </c>
      <c r="AD629" s="29"/>
      <c r="AE629" s="29"/>
      <c r="AF629" s="22"/>
      <c r="AG629" s="29" t="s">
        <v>914</v>
      </c>
      <c r="AH629" s="519"/>
      <c r="AI629" s="144"/>
      <c r="AJ629" s="534"/>
      <c r="AK629" s="143"/>
      <c r="AL629" s="143"/>
      <c r="AM629" s="143">
        <f>S629</f>
        <v>2143.0500000000002</v>
      </c>
      <c r="AN629" s="143"/>
      <c r="AO629" s="143"/>
      <c r="AP629" s="143"/>
      <c r="AQ629" s="143"/>
      <c r="AR629" s="143"/>
      <c r="AS629" s="21"/>
      <c r="AT629" s="21"/>
      <c r="AU629" s="21"/>
      <c r="AV629" s="21"/>
      <c r="AW629" s="21"/>
      <c r="AX629" s="21"/>
      <c r="AY629" s="21"/>
      <c r="AZ629" s="21"/>
      <c r="BA629" s="21"/>
      <c r="BB629" s="21"/>
      <c r="BC629" s="21"/>
      <c r="BD629" s="21"/>
      <c r="BE629" s="21"/>
      <c r="BF629" s="21"/>
      <c r="BG629" s="21"/>
      <c r="BH629" s="21"/>
      <c r="BI629" s="21"/>
      <c r="BJ629" s="21"/>
    </row>
    <row r="630" spans="1:62" s="138" customFormat="1" ht="12.75" customHeight="1" x14ac:dyDescent="0.25">
      <c r="A630" s="381"/>
      <c r="B630" s="352" t="s">
        <v>1939</v>
      </c>
      <c r="C630" s="49">
        <v>5</v>
      </c>
      <c r="D630" s="382" t="s">
        <v>1289</v>
      </c>
      <c r="E630" s="382"/>
      <c r="F630" s="382"/>
      <c r="G630" s="33" t="s">
        <v>1489</v>
      </c>
      <c r="H630" s="33" t="s">
        <v>1490</v>
      </c>
      <c r="I630" s="33"/>
      <c r="J630" s="22"/>
      <c r="K630" s="33" t="s">
        <v>1483</v>
      </c>
      <c r="L630" s="25"/>
      <c r="M630" s="25"/>
      <c r="N630" s="50">
        <v>1</v>
      </c>
      <c r="O630" s="22"/>
      <c r="P630" s="51">
        <v>795.39</v>
      </c>
      <c r="Q630" s="28"/>
      <c r="R630" s="35"/>
      <c r="S630" s="35">
        <v>16326.42</v>
      </c>
      <c r="T630" s="35"/>
      <c r="U630" s="35">
        <f t="shared" si="64"/>
        <v>-16326.42</v>
      </c>
      <c r="V630" s="22" t="s">
        <v>1491</v>
      </c>
      <c r="W630" s="22" t="s">
        <v>1492</v>
      </c>
      <c r="X630" s="29"/>
      <c r="Y630" s="35"/>
      <c r="Z630" s="29">
        <v>43504</v>
      </c>
      <c r="AA630" s="22"/>
      <c r="AB630" s="36">
        <v>43509</v>
      </c>
      <c r="AC630" s="29">
        <v>43509</v>
      </c>
      <c r="AD630" s="29"/>
      <c r="AE630" s="29"/>
      <c r="AF630" s="22"/>
      <c r="AG630" s="29" t="s">
        <v>914</v>
      </c>
      <c r="AH630" s="519"/>
      <c r="AI630" s="144"/>
      <c r="AJ630" s="534"/>
      <c r="AK630" s="143"/>
      <c r="AL630" s="143"/>
      <c r="AM630" s="143"/>
      <c r="AN630" s="143">
        <f>S630</f>
        <v>16326.42</v>
      </c>
      <c r="AO630" s="143"/>
      <c r="AP630" s="143"/>
      <c r="AQ630" s="143"/>
      <c r="AR630" s="143"/>
      <c r="AS630" s="21"/>
      <c r="AT630" s="21"/>
      <c r="AU630" s="21"/>
      <c r="AV630" s="21"/>
      <c r="AW630" s="21"/>
      <c r="AX630" s="21"/>
      <c r="AY630" s="21"/>
      <c r="AZ630" s="21"/>
      <c r="BA630" s="21"/>
      <c r="BB630" s="21"/>
      <c r="BC630" s="21"/>
      <c r="BD630" s="21"/>
      <c r="BE630" s="21"/>
      <c r="BF630" s="21"/>
      <c r="BG630" s="21"/>
      <c r="BH630" s="21"/>
      <c r="BI630" s="21"/>
      <c r="BJ630" s="21"/>
    </row>
    <row r="631" spans="1:62" s="138" customFormat="1" ht="12.75" customHeight="1" x14ac:dyDescent="0.25">
      <c r="A631" s="381"/>
      <c r="B631" s="352" t="s">
        <v>1939</v>
      </c>
      <c r="C631" s="49">
        <v>5</v>
      </c>
      <c r="D631" s="382" t="s">
        <v>1289</v>
      </c>
      <c r="E631" s="382"/>
      <c r="F631" s="382"/>
      <c r="G631" s="33" t="s">
        <v>1493</v>
      </c>
      <c r="H631" s="33" t="s">
        <v>1494</v>
      </c>
      <c r="I631" s="33"/>
      <c r="J631" s="22"/>
      <c r="K631" s="33" t="s">
        <v>1483</v>
      </c>
      <c r="L631" s="25"/>
      <c r="M631" s="25"/>
      <c r="N631" s="50">
        <v>1</v>
      </c>
      <c r="O631" s="22"/>
      <c r="P631" s="51">
        <v>2448.75</v>
      </c>
      <c r="Q631" s="28"/>
      <c r="R631" s="35"/>
      <c r="S631" s="35">
        <v>2448.75</v>
      </c>
      <c r="T631" s="35"/>
      <c r="U631" s="35">
        <f t="shared" si="64"/>
        <v>-2448.75</v>
      </c>
      <c r="V631" s="22" t="s">
        <v>1495</v>
      </c>
      <c r="W631" s="22" t="s">
        <v>1496</v>
      </c>
      <c r="X631" s="29">
        <v>43446</v>
      </c>
      <c r="Y631" s="35"/>
      <c r="Z631" s="29">
        <v>43446</v>
      </c>
      <c r="AA631" s="22"/>
      <c r="AB631" s="29">
        <v>43454</v>
      </c>
      <c r="AC631" s="29">
        <v>43551</v>
      </c>
      <c r="AD631" s="29"/>
      <c r="AE631" s="29"/>
      <c r="AF631" s="22"/>
      <c r="AG631" s="29" t="s">
        <v>914</v>
      </c>
      <c r="AH631" s="519"/>
      <c r="AI631" s="144"/>
      <c r="AJ631" s="534"/>
      <c r="AK631" s="143"/>
      <c r="AL631" s="143"/>
      <c r="AM631" s="143"/>
      <c r="AN631" s="143">
        <f>S631</f>
        <v>2448.75</v>
      </c>
      <c r="AO631" s="143"/>
      <c r="AP631" s="143"/>
      <c r="AQ631" s="143"/>
      <c r="AR631" s="143"/>
      <c r="AS631" s="21"/>
      <c r="AT631" s="21"/>
      <c r="AU631" s="21"/>
      <c r="AV631" s="21"/>
      <c r="AW631" s="21"/>
      <c r="AX631" s="21"/>
      <c r="AY631" s="21"/>
      <c r="AZ631" s="21"/>
      <c r="BA631" s="21"/>
      <c r="BB631" s="21"/>
      <c r="BC631" s="21"/>
      <c r="BD631" s="21"/>
      <c r="BE631" s="21"/>
      <c r="BF631" s="21"/>
      <c r="BG631" s="21"/>
      <c r="BH631" s="21"/>
      <c r="BI631" s="21"/>
      <c r="BJ631" s="21"/>
    </row>
    <row r="632" spans="1:62" s="138" customFormat="1" ht="12.75" customHeight="1" x14ac:dyDescent="0.25">
      <c r="A632" s="381"/>
      <c r="B632" s="352" t="s">
        <v>1939</v>
      </c>
      <c r="C632" s="49">
        <v>5</v>
      </c>
      <c r="D632" s="382" t="s">
        <v>1289</v>
      </c>
      <c r="E632" s="382"/>
      <c r="F632" s="382"/>
      <c r="G632" s="33" t="s">
        <v>1497</v>
      </c>
      <c r="H632" s="33" t="s">
        <v>1498</v>
      </c>
      <c r="I632" s="33"/>
      <c r="J632" s="22"/>
      <c r="K632" s="33"/>
      <c r="L632" s="25"/>
      <c r="M632" s="25"/>
      <c r="N632" s="50">
        <v>1</v>
      </c>
      <c r="O632" s="22"/>
      <c r="P632" s="51">
        <v>135.65</v>
      </c>
      <c r="Q632" s="28"/>
      <c r="R632" s="35"/>
      <c r="S632" s="35">
        <v>121.31</v>
      </c>
      <c r="T632" s="35"/>
      <c r="U632" s="35">
        <f t="shared" si="64"/>
        <v>-121.31</v>
      </c>
      <c r="V632" s="22" t="s">
        <v>1499</v>
      </c>
      <c r="W632" s="22" t="s">
        <v>1500</v>
      </c>
      <c r="X632" s="29"/>
      <c r="Y632" s="35"/>
      <c r="Z632" s="29">
        <v>43452</v>
      </c>
      <c r="AA632" s="22"/>
      <c r="AB632" s="29">
        <v>43459</v>
      </c>
      <c r="AC632" s="29">
        <v>43499</v>
      </c>
      <c r="AD632" s="29"/>
      <c r="AE632" s="29"/>
      <c r="AF632" s="22"/>
      <c r="AG632" s="29" t="s">
        <v>98</v>
      </c>
      <c r="AH632" s="519">
        <v>121.31</v>
      </c>
      <c r="AI632" s="144"/>
      <c r="AJ632" s="534"/>
      <c r="AK632" s="143"/>
      <c r="AL632" s="143"/>
      <c r="AM632" s="143"/>
      <c r="AN632" s="143"/>
      <c r="AO632" s="143"/>
      <c r="AP632" s="143"/>
      <c r="AQ632" s="143"/>
      <c r="AR632" s="143"/>
      <c r="AS632" s="21"/>
      <c r="AT632" s="21"/>
      <c r="AU632" s="21"/>
      <c r="AV632" s="21"/>
      <c r="AW632" s="21"/>
      <c r="AX632" s="21"/>
      <c r="AY632" s="21"/>
      <c r="AZ632" s="21"/>
      <c r="BA632" s="21"/>
      <c r="BB632" s="21"/>
      <c r="BC632" s="21"/>
      <c r="BD632" s="21"/>
      <c r="BE632" s="21"/>
      <c r="BF632" s="21"/>
      <c r="BG632" s="21"/>
      <c r="BH632" s="21"/>
      <c r="BI632" s="21"/>
      <c r="BJ632" s="21"/>
    </row>
    <row r="633" spans="1:62" s="138" customFormat="1" ht="12.75" customHeight="1" x14ac:dyDescent="0.25">
      <c r="A633" s="381"/>
      <c r="B633" s="352" t="s">
        <v>1939</v>
      </c>
      <c r="C633" s="49">
        <v>5</v>
      </c>
      <c r="D633" s="382" t="s">
        <v>1289</v>
      </c>
      <c r="E633" s="382"/>
      <c r="F633" s="382"/>
      <c r="G633" s="33" t="s">
        <v>1501</v>
      </c>
      <c r="H633" s="33" t="s">
        <v>1498</v>
      </c>
      <c r="I633" s="33"/>
      <c r="J633" s="22"/>
      <c r="K633" s="33"/>
      <c r="L633" s="25"/>
      <c r="M633" s="25"/>
      <c r="N633" s="50">
        <v>1</v>
      </c>
      <c r="O633" s="22"/>
      <c r="P633" s="51">
        <v>315.2</v>
      </c>
      <c r="Q633" s="28"/>
      <c r="R633" s="35"/>
      <c r="S633" s="35">
        <v>297.86</v>
      </c>
      <c r="T633" s="35"/>
      <c r="U633" s="35">
        <f t="shared" si="64"/>
        <v>-297.86</v>
      </c>
      <c r="V633" s="22" t="s">
        <v>1499</v>
      </c>
      <c r="W633" s="22" t="s">
        <v>1500</v>
      </c>
      <c r="X633" s="29"/>
      <c r="Y633" s="35"/>
      <c r="Z633" s="29">
        <v>43452</v>
      </c>
      <c r="AA633" s="22"/>
      <c r="AB633" s="29">
        <v>43459</v>
      </c>
      <c r="AC633" s="29">
        <v>43499</v>
      </c>
      <c r="AD633" s="29"/>
      <c r="AE633" s="29"/>
      <c r="AF633" s="22"/>
      <c r="AG633" s="29" t="s">
        <v>98</v>
      </c>
      <c r="AH633" s="519">
        <v>297.86</v>
      </c>
      <c r="AI633" s="144"/>
      <c r="AJ633" s="534"/>
      <c r="AK633" s="143"/>
      <c r="AL633" s="143"/>
      <c r="AM633" s="143"/>
      <c r="AN633" s="143"/>
      <c r="AO633" s="143"/>
      <c r="AP633" s="143"/>
      <c r="AQ633" s="143"/>
      <c r="AR633" s="143"/>
      <c r="AS633" s="21"/>
      <c r="AT633" s="21"/>
      <c r="AU633" s="21"/>
      <c r="AV633" s="21"/>
      <c r="AW633" s="21"/>
      <c r="AX633" s="21"/>
      <c r="AY633" s="21"/>
      <c r="AZ633" s="21"/>
      <c r="BA633" s="21"/>
      <c r="BB633" s="21"/>
      <c r="BC633" s="21"/>
      <c r="BD633" s="21"/>
      <c r="BE633" s="21"/>
      <c r="BF633" s="21"/>
      <c r="BG633" s="21"/>
      <c r="BH633" s="21"/>
      <c r="BI633" s="21"/>
      <c r="BJ633" s="21"/>
    </row>
    <row r="634" spans="1:62" s="138" customFormat="1" ht="12.75" customHeight="1" x14ac:dyDescent="0.25">
      <c r="A634" s="381"/>
      <c r="B634" s="352" t="s">
        <v>1939</v>
      </c>
      <c r="C634" s="49">
        <v>5</v>
      </c>
      <c r="D634" s="382" t="s">
        <v>1289</v>
      </c>
      <c r="E634" s="382"/>
      <c r="F634" s="382"/>
      <c r="G634" s="33" t="s">
        <v>1502</v>
      </c>
      <c r="H634" s="33" t="s">
        <v>1503</v>
      </c>
      <c r="I634" s="33"/>
      <c r="J634" s="22"/>
      <c r="K634" s="33"/>
      <c r="L634" s="25"/>
      <c r="M634" s="25"/>
      <c r="N634" s="50">
        <v>8</v>
      </c>
      <c r="O634" s="22"/>
      <c r="P634" s="51">
        <v>299</v>
      </c>
      <c r="Q634" s="28"/>
      <c r="R634" s="35"/>
      <c r="S634" s="35">
        <v>2392</v>
      </c>
      <c r="T634" s="35"/>
      <c r="U634" s="35">
        <f t="shared" si="64"/>
        <v>-2392</v>
      </c>
      <c r="V634" s="22" t="s">
        <v>1504</v>
      </c>
      <c r="W634" s="22" t="s">
        <v>1505</v>
      </c>
      <c r="X634" s="29"/>
      <c r="Y634" s="35"/>
      <c r="Z634" s="29">
        <v>43439</v>
      </c>
      <c r="AA634" s="22"/>
      <c r="AB634" s="29">
        <v>43445</v>
      </c>
      <c r="AC634" s="29">
        <v>43445</v>
      </c>
      <c r="AD634" s="29"/>
      <c r="AE634" s="29"/>
      <c r="AF634" s="22"/>
      <c r="AG634" s="29" t="s">
        <v>98</v>
      </c>
      <c r="AH634" s="519">
        <v>2392</v>
      </c>
      <c r="AI634" s="144"/>
      <c r="AJ634" s="534"/>
      <c r="AK634" s="143"/>
      <c r="AL634" s="143"/>
      <c r="AM634" s="143"/>
      <c r="AN634" s="143"/>
      <c r="AO634" s="143"/>
      <c r="AP634" s="143"/>
      <c r="AQ634" s="143"/>
      <c r="AR634" s="143"/>
      <c r="AS634" s="21"/>
      <c r="AT634" s="21"/>
      <c r="AU634" s="21"/>
      <c r="AV634" s="21"/>
      <c r="AW634" s="21"/>
      <c r="AX634" s="21"/>
      <c r="AY634" s="21"/>
      <c r="AZ634" s="21"/>
      <c r="BA634" s="21"/>
      <c r="BB634" s="21"/>
      <c r="BC634" s="21"/>
      <c r="BD634" s="21"/>
      <c r="BE634" s="21"/>
      <c r="BF634" s="21"/>
      <c r="BG634" s="21"/>
      <c r="BH634" s="21"/>
      <c r="BI634" s="21"/>
      <c r="BJ634" s="21"/>
    </row>
    <row r="635" spans="1:62" s="138" customFormat="1" ht="12.75" customHeight="1" x14ac:dyDescent="0.25">
      <c r="A635" s="381"/>
      <c r="B635" s="352" t="s">
        <v>1939</v>
      </c>
      <c r="C635" s="49">
        <v>5</v>
      </c>
      <c r="D635" s="382" t="s">
        <v>1289</v>
      </c>
      <c r="E635" s="382"/>
      <c r="F635" s="382"/>
      <c r="G635" s="33" t="s">
        <v>1506</v>
      </c>
      <c r="H635" s="33"/>
      <c r="I635" s="33"/>
      <c r="J635" s="22"/>
      <c r="K635" s="33"/>
      <c r="L635" s="25"/>
      <c r="M635" s="25"/>
      <c r="N635" s="50">
        <v>1</v>
      </c>
      <c r="O635" s="22"/>
      <c r="P635" s="51">
        <v>22.44</v>
      </c>
      <c r="Q635" s="28"/>
      <c r="R635" s="35"/>
      <c r="S635" s="35">
        <v>22.44</v>
      </c>
      <c r="T635" s="35"/>
      <c r="U635" s="35">
        <f t="shared" si="64"/>
        <v>-22.44</v>
      </c>
      <c r="V635" s="22" t="s">
        <v>1504</v>
      </c>
      <c r="W635" s="22" t="s">
        <v>1505</v>
      </c>
      <c r="X635" s="29">
        <v>43439</v>
      </c>
      <c r="Y635" s="35"/>
      <c r="Z635" s="29">
        <v>43439</v>
      </c>
      <c r="AA635" s="22"/>
      <c r="AB635" s="29">
        <v>43445</v>
      </c>
      <c r="AC635" s="29">
        <v>43445</v>
      </c>
      <c r="AD635" s="29"/>
      <c r="AE635" s="29"/>
      <c r="AF635" s="22"/>
      <c r="AG635" s="29" t="s">
        <v>98</v>
      </c>
      <c r="AH635" s="519">
        <v>22.44</v>
      </c>
      <c r="AI635" s="144"/>
      <c r="AJ635" s="534"/>
      <c r="AK635" s="143"/>
      <c r="AL635" s="143"/>
      <c r="AM635" s="143"/>
      <c r="AN635" s="143"/>
      <c r="AO635" s="143"/>
      <c r="AP635" s="143"/>
      <c r="AQ635" s="143"/>
      <c r="AR635" s="143"/>
      <c r="AS635" s="21"/>
      <c r="AT635" s="21"/>
      <c r="AU635" s="21"/>
      <c r="AV635" s="21"/>
      <c r="AW635" s="21"/>
      <c r="AX635" s="21"/>
      <c r="AY635" s="21"/>
      <c r="AZ635" s="21"/>
      <c r="BA635" s="21"/>
      <c r="BB635" s="21"/>
      <c r="BC635" s="21"/>
      <c r="BD635" s="21"/>
      <c r="BE635" s="21"/>
      <c r="BF635" s="21"/>
      <c r="BG635" s="21"/>
      <c r="BH635" s="21"/>
      <c r="BI635" s="21"/>
      <c r="BJ635" s="21"/>
    </row>
    <row r="636" spans="1:62" s="138" customFormat="1" ht="12.75" customHeight="1" x14ac:dyDescent="0.25">
      <c r="A636" s="381"/>
      <c r="B636" s="352" t="s">
        <v>1939</v>
      </c>
      <c r="C636" s="49">
        <v>5</v>
      </c>
      <c r="D636" s="382" t="s">
        <v>1507</v>
      </c>
      <c r="E636" s="382"/>
      <c r="F636" s="382"/>
      <c r="G636" s="33" t="s">
        <v>1508</v>
      </c>
      <c r="H636" s="33" t="s">
        <v>1026</v>
      </c>
      <c r="I636" s="33"/>
      <c r="J636" s="22"/>
      <c r="K636" s="33"/>
      <c r="L636" s="25"/>
      <c r="M636" s="25"/>
      <c r="N636" s="50">
        <v>13</v>
      </c>
      <c r="O636" s="22"/>
      <c r="P636" s="51">
        <v>89</v>
      </c>
      <c r="Q636" s="28"/>
      <c r="R636" s="35"/>
      <c r="S636" s="35">
        <f>819+312</f>
        <v>1131</v>
      </c>
      <c r="T636" s="35"/>
      <c r="U636" s="35">
        <f t="shared" si="64"/>
        <v>-1131</v>
      </c>
      <c r="V636" s="22" t="s">
        <v>1509</v>
      </c>
      <c r="W636" s="22" t="s">
        <v>1510</v>
      </c>
      <c r="X636" s="29"/>
      <c r="Y636" s="35"/>
      <c r="Z636" s="29">
        <v>43510</v>
      </c>
      <c r="AA636" s="22"/>
      <c r="AB636" s="29">
        <v>43518</v>
      </c>
      <c r="AC636" s="29"/>
      <c r="AD636" s="29"/>
      <c r="AE636" s="29"/>
      <c r="AF636" s="22"/>
      <c r="AG636" s="29" t="s">
        <v>914</v>
      </c>
      <c r="AH636" s="519"/>
      <c r="AI636" s="144"/>
      <c r="AJ636" s="534"/>
      <c r="AK636" s="143"/>
      <c r="AL636" s="143"/>
      <c r="AM636" s="143">
        <f>S636</f>
        <v>1131</v>
      </c>
      <c r="AN636" s="143"/>
      <c r="AO636" s="143"/>
      <c r="AP636" s="143"/>
      <c r="AQ636" s="143"/>
      <c r="AR636" s="143"/>
      <c r="AS636" s="21"/>
      <c r="AT636" s="21"/>
      <c r="AU636" s="21"/>
      <c r="AV636" s="21"/>
      <c r="AW636" s="21"/>
      <c r="AX636" s="21"/>
      <c r="AY636" s="21"/>
      <c r="AZ636" s="21"/>
      <c r="BA636" s="21"/>
      <c r="BB636" s="21"/>
      <c r="BC636" s="21"/>
      <c r="BD636" s="21"/>
      <c r="BE636" s="21"/>
      <c r="BF636" s="21"/>
      <c r="BG636" s="21"/>
      <c r="BH636" s="21"/>
      <c r="BI636" s="21"/>
      <c r="BJ636" s="21"/>
    </row>
    <row r="637" spans="1:62" s="138" customFormat="1" ht="12.75" customHeight="1" x14ac:dyDescent="0.25">
      <c r="A637" s="381"/>
      <c r="B637" s="352" t="s">
        <v>1939</v>
      </c>
      <c r="C637" s="49">
        <v>5</v>
      </c>
      <c r="D637" s="382" t="s">
        <v>1507</v>
      </c>
      <c r="E637" s="382"/>
      <c r="F637" s="382"/>
      <c r="G637" s="33" t="s">
        <v>1511</v>
      </c>
      <c r="H637" s="33" t="s">
        <v>1026</v>
      </c>
      <c r="I637" s="33"/>
      <c r="J637" s="22"/>
      <c r="K637" s="33"/>
      <c r="L637" s="25"/>
      <c r="M637" s="25"/>
      <c r="N637" s="50">
        <v>13</v>
      </c>
      <c r="O637" s="22"/>
      <c r="P637" s="51">
        <v>33</v>
      </c>
      <c r="Q637" s="28"/>
      <c r="R637" s="35"/>
      <c r="S637" s="35">
        <f>1655+65</f>
        <v>1720</v>
      </c>
      <c r="T637" s="35"/>
      <c r="U637" s="35">
        <f t="shared" si="64"/>
        <v>-1720</v>
      </c>
      <c r="V637" s="22" t="s">
        <v>1509</v>
      </c>
      <c r="W637" s="22" t="s">
        <v>1510</v>
      </c>
      <c r="X637" s="29"/>
      <c r="Y637" s="35"/>
      <c r="Z637" s="29">
        <v>43510</v>
      </c>
      <c r="AA637" s="22"/>
      <c r="AB637" s="29">
        <v>43518</v>
      </c>
      <c r="AC637" s="29"/>
      <c r="AD637" s="29"/>
      <c r="AE637" s="29"/>
      <c r="AF637" s="22"/>
      <c r="AG637" s="29" t="s">
        <v>914</v>
      </c>
      <c r="AH637" s="519"/>
      <c r="AI637" s="144"/>
      <c r="AJ637" s="534"/>
      <c r="AK637" s="143"/>
      <c r="AL637" s="143"/>
      <c r="AM637" s="143">
        <f>S637</f>
        <v>1720</v>
      </c>
      <c r="AN637" s="143"/>
      <c r="AO637" s="143"/>
      <c r="AP637" s="143"/>
      <c r="AQ637" s="143"/>
      <c r="AR637" s="143"/>
      <c r="AS637" s="21"/>
      <c r="AT637" s="21"/>
      <c r="AU637" s="21"/>
      <c r="AV637" s="21"/>
      <c r="AW637" s="21"/>
      <c r="AX637" s="21"/>
      <c r="AY637" s="21"/>
      <c r="AZ637" s="21"/>
      <c r="BA637" s="21"/>
      <c r="BB637" s="21"/>
      <c r="BC637" s="21"/>
      <c r="BD637" s="21"/>
      <c r="BE637" s="21"/>
      <c r="BF637" s="21"/>
      <c r="BG637" s="21"/>
      <c r="BH637" s="21"/>
      <c r="BI637" s="21"/>
      <c r="BJ637" s="21"/>
    </row>
    <row r="638" spans="1:62" s="138" customFormat="1" ht="12.75" customHeight="1" x14ac:dyDescent="0.25">
      <c r="A638" s="381"/>
      <c r="B638" s="352" t="s">
        <v>1939</v>
      </c>
      <c r="C638" s="49">
        <v>5</v>
      </c>
      <c r="D638" s="382" t="s">
        <v>1266</v>
      </c>
      <c r="E638" s="382"/>
      <c r="F638" s="382"/>
      <c r="G638" s="33" t="s">
        <v>1512</v>
      </c>
      <c r="H638" s="33"/>
      <c r="I638" s="33"/>
      <c r="J638" s="22"/>
      <c r="K638" s="33"/>
      <c r="L638" s="25"/>
      <c r="M638" s="25"/>
      <c r="N638" s="50">
        <v>1</v>
      </c>
      <c r="O638" s="22"/>
      <c r="P638" s="51"/>
      <c r="Q638" s="28"/>
      <c r="R638" s="35"/>
      <c r="S638" s="35">
        <v>13308.01</v>
      </c>
      <c r="T638" s="35"/>
      <c r="U638" s="35"/>
      <c r="V638" s="22" t="s">
        <v>1513</v>
      </c>
      <c r="W638" s="22" t="s">
        <v>1514</v>
      </c>
      <c r="X638" s="29"/>
      <c r="Y638" s="35"/>
      <c r="Z638" s="29">
        <v>43552</v>
      </c>
      <c r="AA638" s="22"/>
      <c r="AB638" s="29">
        <v>43560</v>
      </c>
      <c r="AC638" s="29"/>
      <c r="AD638" s="29"/>
      <c r="AE638" s="29"/>
      <c r="AF638" s="22"/>
      <c r="AG638" s="29" t="s">
        <v>914</v>
      </c>
      <c r="AH638" s="519"/>
      <c r="AI638" s="144"/>
      <c r="AJ638" s="534"/>
      <c r="AK638" s="143"/>
      <c r="AL638" s="143"/>
      <c r="AM638" s="143"/>
      <c r="AN638" s="143"/>
      <c r="AO638" s="143">
        <f>S638</f>
        <v>13308.01</v>
      </c>
      <c r="AP638" s="143"/>
      <c r="AQ638" s="143"/>
      <c r="AR638" s="143"/>
      <c r="AS638" s="21"/>
      <c r="AT638" s="21"/>
      <c r="AU638" s="21"/>
      <c r="AV638" s="21"/>
      <c r="AW638" s="21"/>
      <c r="AX638" s="21"/>
      <c r="AY638" s="21"/>
      <c r="AZ638" s="21"/>
      <c r="BA638" s="21"/>
      <c r="BB638" s="21"/>
      <c r="BC638" s="21"/>
      <c r="BD638" s="21"/>
      <c r="BE638" s="21"/>
      <c r="BF638" s="21"/>
      <c r="BG638" s="21"/>
      <c r="BH638" s="21"/>
      <c r="BI638" s="21"/>
      <c r="BJ638" s="21"/>
    </row>
    <row r="639" spans="1:62" s="138" customFormat="1" ht="12.75" customHeight="1" x14ac:dyDescent="0.25">
      <c r="A639" s="381"/>
      <c r="B639" s="352" t="s">
        <v>1939</v>
      </c>
      <c r="C639" s="49">
        <v>5</v>
      </c>
      <c r="D639" s="382" t="s">
        <v>1266</v>
      </c>
      <c r="E639" s="382"/>
      <c r="F639" s="382"/>
      <c r="G639" s="33" t="s">
        <v>1515</v>
      </c>
      <c r="H639" s="33"/>
      <c r="I639" s="33"/>
      <c r="J639" s="22"/>
      <c r="K639" s="33"/>
      <c r="L639" s="25"/>
      <c r="M639" s="25"/>
      <c r="N639" s="50">
        <v>12</v>
      </c>
      <c r="O639" s="22"/>
      <c r="P639" s="51"/>
      <c r="Q639" s="28"/>
      <c r="R639" s="35"/>
      <c r="S639" s="35">
        <v>115.2</v>
      </c>
      <c r="T639" s="35"/>
      <c r="U639" s="35"/>
      <c r="V639" s="22" t="s">
        <v>1516</v>
      </c>
      <c r="W639" s="22" t="s">
        <v>1517</v>
      </c>
      <c r="X639" s="29"/>
      <c r="Y639" s="35"/>
      <c r="Z639" s="29">
        <v>43558</v>
      </c>
      <c r="AA639" s="22"/>
      <c r="AB639" s="29">
        <v>43558</v>
      </c>
      <c r="AC639" s="29"/>
      <c r="AD639" s="29"/>
      <c r="AE639" s="29"/>
      <c r="AF639" s="22"/>
      <c r="AG639" s="29" t="s">
        <v>914</v>
      </c>
      <c r="AH639" s="519"/>
      <c r="AI639" s="144"/>
      <c r="AJ639" s="534"/>
      <c r="AK639" s="143"/>
      <c r="AL639" s="143"/>
      <c r="AM639" s="143"/>
      <c r="AN639" s="143"/>
      <c r="AO639" s="143">
        <f>S639</f>
        <v>115.2</v>
      </c>
      <c r="AP639" s="143"/>
      <c r="AQ639" s="143"/>
      <c r="AR639" s="143"/>
      <c r="AS639" s="21"/>
      <c r="AT639" s="21"/>
      <c r="AU639" s="21"/>
      <c r="AV639" s="21"/>
      <c r="AW639" s="21"/>
      <c r="AX639" s="21"/>
      <c r="AY639" s="21"/>
      <c r="AZ639" s="21"/>
      <c r="BA639" s="21"/>
      <c r="BB639" s="21"/>
      <c r="BC639" s="21"/>
      <c r="BD639" s="21"/>
      <c r="BE639" s="21"/>
      <c r="BF639" s="21"/>
      <c r="BG639" s="21"/>
      <c r="BH639" s="21"/>
      <c r="BI639" s="21"/>
      <c r="BJ639" s="21"/>
    </row>
    <row r="640" spans="1:62" s="138" customFormat="1" ht="12.75" customHeight="1" x14ac:dyDescent="0.25">
      <c r="A640" s="381"/>
      <c r="B640" s="352" t="s">
        <v>1939</v>
      </c>
      <c r="C640" s="49">
        <v>5</v>
      </c>
      <c r="D640" s="382" t="s">
        <v>1266</v>
      </c>
      <c r="E640" s="382"/>
      <c r="F640" s="382"/>
      <c r="G640" s="33" t="s">
        <v>1518</v>
      </c>
      <c r="H640" s="33" t="s">
        <v>1519</v>
      </c>
      <c r="I640" s="33"/>
      <c r="J640" s="22"/>
      <c r="K640" s="33"/>
      <c r="L640" s="25"/>
      <c r="M640" s="25"/>
      <c r="N640" s="50">
        <v>1</v>
      </c>
      <c r="O640" s="22"/>
      <c r="P640" s="51"/>
      <c r="Q640" s="28"/>
      <c r="R640" s="35"/>
      <c r="S640" s="35">
        <v>517.04</v>
      </c>
      <c r="T640" s="35"/>
      <c r="U640" s="35"/>
      <c r="V640" s="22" t="s">
        <v>1520</v>
      </c>
      <c r="W640" s="22" t="s">
        <v>1521</v>
      </c>
      <c r="X640" s="29"/>
      <c r="Y640" s="35"/>
      <c r="Z640" s="29">
        <v>43532</v>
      </c>
      <c r="AA640" s="22"/>
      <c r="AB640" s="29">
        <v>43544</v>
      </c>
      <c r="AC640" s="29"/>
      <c r="AD640" s="29"/>
      <c r="AE640" s="29"/>
      <c r="AF640" s="22"/>
      <c r="AG640" s="29" t="s">
        <v>914</v>
      </c>
      <c r="AH640" s="519"/>
      <c r="AI640" s="144"/>
      <c r="AJ640" s="534"/>
      <c r="AK640" s="143"/>
      <c r="AL640" s="143"/>
      <c r="AM640" s="143"/>
      <c r="AN640" s="143">
        <f>S640</f>
        <v>517.04</v>
      </c>
      <c r="AO640" s="143"/>
      <c r="AP640" s="143"/>
      <c r="AQ640" s="143"/>
      <c r="AR640" s="143"/>
      <c r="AS640" s="21"/>
      <c r="AT640" s="21"/>
      <c r="AU640" s="21"/>
      <c r="AV640" s="21"/>
      <c r="AW640" s="21"/>
      <c r="AX640" s="21"/>
      <c r="AY640" s="21"/>
      <c r="AZ640" s="21"/>
      <c r="BA640" s="21"/>
      <c r="BB640" s="21"/>
      <c r="BC640" s="21"/>
      <c r="BD640" s="21"/>
      <c r="BE640" s="21"/>
      <c r="BF640" s="21"/>
      <c r="BG640" s="21"/>
      <c r="BH640" s="21"/>
      <c r="BI640" s="21"/>
      <c r="BJ640" s="21"/>
    </row>
    <row r="641" spans="1:62" s="138" customFormat="1" ht="12.75" customHeight="1" x14ac:dyDescent="0.25">
      <c r="A641" s="381"/>
      <c r="B641" s="352" t="s">
        <v>1939</v>
      </c>
      <c r="C641" s="49">
        <v>5</v>
      </c>
      <c r="D641" s="382" t="s">
        <v>1266</v>
      </c>
      <c r="E641" s="382"/>
      <c r="F641" s="382"/>
      <c r="G641" s="33" t="s">
        <v>1522</v>
      </c>
      <c r="H641" s="33" t="s">
        <v>1523</v>
      </c>
      <c r="I641" s="33"/>
      <c r="J641" s="22"/>
      <c r="K641" s="33"/>
      <c r="L641" s="25"/>
      <c r="M641" s="25"/>
      <c r="N641" s="50">
        <v>1</v>
      </c>
      <c r="O641" s="22"/>
      <c r="P641" s="51"/>
      <c r="Q641" s="28"/>
      <c r="R641" s="35"/>
      <c r="S641" s="35">
        <v>9.82</v>
      </c>
      <c r="T641" s="35"/>
      <c r="U641" s="35"/>
      <c r="V641" s="22" t="s">
        <v>1524</v>
      </c>
      <c r="W641" s="22" t="s">
        <v>1525</v>
      </c>
      <c r="X641" s="29"/>
      <c r="Y641" s="35"/>
      <c r="Z641" s="29">
        <v>43528</v>
      </c>
      <c r="AA641" s="22"/>
      <c r="AB641" s="29">
        <v>43532</v>
      </c>
      <c r="AC641" s="29"/>
      <c r="AD641" s="29"/>
      <c r="AE641" s="29"/>
      <c r="AF641" s="22"/>
      <c r="AG641" s="29" t="s">
        <v>914</v>
      </c>
      <c r="AH641" s="519"/>
      <c r="AI641" s="144"/>
      <c r="AJ641" s="534"/>
      <c r="AK641" s="143"/>
      <c r="AL641" s="143"/>
      <c r="AM641" s="143"/>
      <c r="AN641" s="143"/>
      <c r="AO641" s="143">
        <f>S641</f>
        <v>9.82</v>
      </c>
      <c r="AP641" s="143"/>
      <c r="AQ641" s="143"/>
      <c r="AR641" s="143"/>
      <c r="AS641" s="21"/>
      <c r="AT641" s="21"/>
      <c r="AU641" s="21"/>
      <c r="AV641" s="21"/>
      <c r="AW641" s="21"/>
      <c r="AX641" s="21"/>
      <c r="AY641" s="21"/>
      <c r="AZ641" s="21"/>
      <c r="BA641" s="21"/>
      <c r="BB641" s="21"/>
      <c r="BC641" s="21"/>
      <c r="BD641" s="21"/>
      <c r="BE641" s="21"/>
      <c r="BF641" s="21"/>
      <c r="BG641" s="21"/>
      <c r="BH641" s="21"/>
      <c r="BI641" s="21"/>
      <c r="BJ641" s="21"/>
    </row>
    <row r="642" spans="1:62" s="138" customFormat="1" ht="12.75" customHeight="1" x14ac:dyDescent="0.25">
      <c r="A642" s="381"/>
      <c r="B642" s="352" t="s">
        <v>1939</v>
      </c>
      <c r="C642" s="49">
        <v>5</v>
      </c>
      <c r="D642" s="382" t="s">
        <v>1266</v>
      </c>
      <c r="E642" s="382"/>
      <c r="F642" s="382"/>
      <c r="G642" s="33" t="s">
        <v>1526</v>
      </c>
      <c r="H642" s="33" t="s">
        <v>1527</v>
      </c>
      <c r="I642" s="33"/>
      <c r="J642" s="22"/>
      <c r="K642" s="33"/>
      <c r="L642" s="25"/>
      <c r="M642" s="25"/>
      <c r="N642" s="50">
        <v>13</v>
      </c>
      <c r="O642" s="22"/>
      <c r="P642" s="51"/>
      <c r="Q642" s="28"/>
      <c r="R642" s="35"/>
      <c r="S642" s="35">
        <v>884</v>
      </c>
      <c r="T642" s="35"/>
      <c r="U642" s="35"/>
      <c r="V642" s="22" t="s">
        <v>1528</v>
      </c>
      <c r="W642" s="22" t="s">
        <v>1529</v>
      </c>
      <c r="X642" s="29"/>
      <c r="Y642" s="35"/>
      <c r="Z642" s="29">
        <v>43532</v>
      </c>
      <c r="AA642" s="22"/>
      <c r="AB642" s="29">
        <v>43539</v>
      </c>
      <c r="AC642" s="29"/>
      <c r="AD642" s="29"/>
      <c r="AE642" s="29"/>
      <c r="AF642" s="22"/>
      <c r="AG642" s="29" t="s">
        <v>914</v>
      </c>
      <c r="AH642" s="519"/>
      <c r="AI642" s="144"/>
      <c r="AJ642" s="534"/>
      <c r="AK642" s="143"/>
      <c r="AL642" s="143"/>
      <c r="AM642" s="143"/>
      <c r="AN642" s="143"/>
      <c r="AO642" s="143">
        <f>S642</f>
        <v>884</v>
      </c>
      <c r="AP642" s="143"/>
      <c r="AQ642" s="143"/>
      <c r="AR642" s="143"/>
      <c r="AS642" s="21"/>
      <c r="AT642" s="21"/>
      <c r="AU642" s="21"/>
      <c r="AV642" s="21"/>
      <c r="AW642" s="21"/>
      <c r="AX642" s="21"/>
      <c r="AY642" s="21"/>
      <c r="AZ642" s="21"/>
      <c r="BA642" s="21"/>
      <c r="BB642" s="21"/>
      <c r="BC642" s="21"/>
      <c r="BD642" s="21"/>
      <c r="BE642" s="21"/>
      <c r="BF642" s="21"/>
      <c r="BG642" s="21"/>
      <c r="BH642" s="21"/>
      <c r="BI642" s="21"/>
      <c r="BJ642" s="21"/>
    </row>
    <row r="643" spans="1:62" s="138" customFormat="1" ht="12.75" customHeight="1" x14ac:dyDescent="0.25">
      <c r="A643" s="381"/>
      <c r="B643" s="352" t="s">
        <v>1939</v>
      </c>
      <c r="C643" s="49">
        <v>5</v>
      </c>
      <c r="D643" s="382" t="s">
        <v>1530</v>
      </c>
      <c r="E643" s="382"/>
      <c r="F643" s="382"/>
      <c r="G643" s="33" t="s">
        <v>1531</v>
      </c>
      <c r="H643" s="33"/>
      <c r="I643" s="33"/>
      <c r="J643" s="22"/>
      <c r="K643" s="33" t="s">
        <v>1483</v>
      </c>
      <c r="L643" s="25"/>
      <c r="M643" s="25"/>
      <c r="N643" s="50">
        <v>1</v>
      </c>
      <c r="O643" s="22"/>
      <c r="P643" s="51"/>
      <c r="Q643" s="28"/>
      <c r="R643" s="35"/>
      <c r="S643" s="35">
        <v>6788</v>
      </c>
      <c r="T643" s="35"/>
      <c r="U643" s="35">
        <f t="shared" si="64"/>
        <v>-6788</v>
      </c>
      <c r="V643" s="22" t="s">
        <v>1369</v>
      </c>
      <c r="W643" s="87" t="s">
        <v>1370</v>
      </c>
      <c r="X643" s="29"/>
      <c r="Y643" s="35"/>
      <c r="Z643" s="29">
        <v>43454</v>
      </c>
      <c r="AA643" s="22"/>
      <c r="AB643" s="29">
        <v>43476</v>
      </c>
      <c r="AC643" s="29"/>
      <c r="AD643" s="29"/>
      <c r="AE643" s="29"/>
      <c r="AF643" s="22"/>
      <c r="AG643" s="29" t="s">
        <v>914</v>
      </c>
      <c r="AH643" s="519"/>
      <c r="AI643" s="144"/>
      <c r="AJ643" s="534"/>
      <c r="AK643" s="143"/>
      <c r="AL643" s="143"/>
      <c r="AM643" s="143">
        <f>S643</f>
        <v>6788</v>
      </c>
      <c r="AN643" s="143"/>
      <c r="AO643" s="143"/>
      <c r="AP643" s="143"/>
      <c r="AQ643" s="143"/>
      <c r="AR643" s="143"/>
      <c r="AS643" s="21"/>
      <c r="AT643" s="21"/>
      <c r="AU643" s="21"/>
      <c r="AV643" s="21"/>
      <c r="AW643" s="21"/>
      <c r="AX643" s="21"/>
      <c r="AY643" s="21"/>
      <c r="AZ643" s="21"/>
      <c r="BA643" s="21"/>
      <c r="BB643" s="21"/>
      <c r="BC643" s="21"/>
      <c r="BD643" s="21"/>
      <c r="BE643" s="21"/>
      <c r="BF643" s="21"/>
      <c r="BG643" s="21"/>
      <c r="BH643" s="21"/>
      <c r="BI643" s="21"/>
      <c r="BJ643" s="21"/>
    </row>
    <row r="644" spans="1:62" s="138" customFormat="1" ht="12.75" customHeight="1" x14ac:dyDescent="0.25">
      <c r="A644" s="381"/>
      <c r="B644" s="352" t="s">
        <v>1939</v>
      </c>
      <c r="C644" s="49">
        <v>5</v>
      </c>
      <c r="D644" s="382" t="s">
        <v>1270</v>
      </c>
      <c r="E644" s="382"/>
      <c r="F644" s="382"/>
      <c r="G644" s="33" t="s">
        <v>1532</v>
      </c>
      <c r="H644" s="33" t="s">
        <v>88</v>
      </c>
      <c r="I644" s="33"/>
      <c r="J644" s="22"/>
      <c r="K644" s="33"/>
      <c r="L644" s="25"/>
      <c r="M644" s="25"/>
      <c r="N644" s="50">
        <v>2</v>
      </c>
      <c r="O644" s="22"/>
      <c r="P644" s="51">
        <v>1026.1199999999999</v>
      </c>
      <c r="Q644" s="28"/>
      <c r="R644" s="35"/>
      <c r="S644" s="35">
        <v>2069.84</v>
      </c>
      <c r="T644" s="35"/>
      <c r="U644" s="35"/>
      <c r="V644" s="22" t="s">
        <v>1533</v>
      </c>
      <c r="W644" s="22" t="s">
        <v>1534</v>
      </c>
      <c r="X644" s="29"/>
      <c r="Y644" s="35"/>
      <c r="Z644" s="29">
        <v>43536</v>
      </c>
      <c r="AA644" s="22"/>
      <c r="AB644" s="29">
        <v>43560</v>
      </c>
      <c r="AC644" s="29"/>
      <c r="AD644" s="29"/>
      <c r="AE644" s="29"/>
      <c r="AF644" s="22"/>
      <c r="AG644" s="29" t="s">
        <v>914</v>
      </c>
      <c r="AH644" s="519"/>
      <c r="AI644" s="144"/>
      <c r="AJ644" s="534"/>
      <c r="AK644" s="143"/>
      <c r="AL644" s="143"/>
      <c r="AM644" s="143"/>
      <c r="AN644" s="143"/>
      <c r="AO644" s="143">
        <f>S644</f>
        <v>2069.84</v>
      </c>
      <c r="AP644" s="143"/>
      <c r="AQ644" s="143"/>
      <c r="AR644" s="143"/>
      <c r="AS644" s="21"/>
      <c r="AT644" s="21"/>
      <c r="AU644" s="21"/>
      <c r="AV644" s="21"/>
      <c r="AW644" s="21"/>
      <c r="AX644" s="21"/>
      <c r="AY644" s="21"/>
      <c r="AZ644" s="21"/>
      <c r="BA644" s="21"/>
      <c r="BB644" s="21"/>
      <c r="BC644" s="21"/>
      <c r="BD644" s="21"/>
      <c r="BE644" s="21"/>
      <c r="BF644" s="21"/>
      <c r="BG644" s="21"/>
      <c r="BH644" s="21"/>
      <c r="BI644" s="21"/>
      <c r="BJ644" s="21"/>
    </row>
    <row r="645" spans="1:62" s="138" customFormat="1" ht="12.75" customHeight="1" x14ac:dyDescent="0.25">
      <c r="A645" s="381"/>
      <c r="B645" s="352" t="s">
        <v>1939</v>
      </c>
      <c r="C645" s="49">
        <v>5</v>
      </c>
      <c r="D645" s="382" t="s">
        <v>1270</v>
      </c>
      <c r="E645" s="382"/>
      <c r="F645" s="382"/>
      <c r="G645" s="33" t="s">
        <v>1535</v>
      </c>
      <c r="H645" s="33" t="s">
        <v>1536</v>
      </c>
      <c r="I645" s="33"/>
      <c r="J645" s="22"/>
      <c r="K645" s="33"/>
      <c r="L645" s="25"/>
      <c r="M645" s="25"/>
      <c r="N645" s="50">
        <v>10</v>
      </c>
      <c r="O645" s="22"/>
      <c r="P645" s="51">
        <v>289.24</v>
      </c>
      <c r="Q645" s="28"/>
      <c r="R645" s="35"/>
      <c r="S645" s="35">
        <v>298.23</v>
      </c>
      <c r="T645" s="35"/>
      <c r="U645" s="35"/>
      <c r="V645" s="22" t="s">
        <v>1537</v>
      </c>
      <c r="W645" s="22" t="s">
        <v>1538</v>
      </c>
      <c r="X645" s="29"/>
      <c r="Y645" s="35"/>
      <c r="Z645" s="29">
        <v>43528</v>
      </c>
      <c r="AA645" s="22"/>
      <c r="AB645" s="29">
        <v>43532</v>
      </c>
      <c r="AC645" s="29"/>
      <c r="AD645" s="29"/>
      <c r="AE645" s="29"/>
      <c r="AF645" s="22"/>
      <c r="AG645" s="29" t="s">
        <v>914</v>
      </c>
      <c r="AH645" s="519"/>
      <c r="AI645" s="144"/>
      <c r="AJ645" s="534"/>
      <c r="AK645" s="143"/>
      <c r="AL645" s="143"/>
      <c r="AM645" s="143"/>
      <c r="AN645" s="143"/>
      <c r="AO645" s="143">
        <f>S645</f>
        <v>298.23</v>
      </c>
      <c r="AP645" s="143"/>
      <c r="AQ645" s="143"/>
      <c r="AR645" s="143"/>
      <c r="AS645" s="21"/>
      <c r="AT645" s="21"/>
      <c r="AU645" s="21"/>
      <c r="AV645" s="21"/>
      <c r="AW645" s="21"/>
      <c r="AX645" s="21"/>
      <c r="AY645" s="21"/>
      <c r="AZ645" s="21"/>
      <c r="BA645" s="21"/>
      <c r="BB645" s="21"/>
      <c r="BC645" s="21"/>
      <c r="BD645" s="21"/>
      <c r="BE645" s="21"/>
      <c r="BF645" s="21"/>
      <c r="BG645" s="21"/>
      <c r="BH645" s="21"/>
      <c r="BI645" s="21"/>
      <c r="BJ645" s="21"/>
    </row>
    <row r="646" spans="1:62" s="138" customFormat="1" ht="12.75" customHeight="1" x14ac:dyDescent="0.25">
      <c r="A646" s="381"/>
      <c r="B646" s="352" t="s">
        <v>1939</v>
      </c>
      <c r="C646" s="49">
        <v>5</v>
      </c>
      <c r="D646" s="382" t="s">
        <v>1270</v>
      </c>
      <c r="E646" s="382"/>
      <c r="F646" s="382"/>
      <c r="G646" s="33" t="s">
        <v>1539</v>
      </c>
      <c r="H646" s="33" t="s">
        <v>1540</v>
      </c>
      <c r="I646" s="33"/>
      <c r="J646" s="22"/>
      <c r="K646" s="33"/>
      <c r="L646" s="25"/>
      <c r="M646" s="25"/>
      <c r="N646" s="50">
        <v>10</v>
      </c>
      <c r="O646" s="22"/>
      <c r="P646" s="51">
        <v>30.21</v>
      </c>
      <c r="Q646" s="28"/>
      <c r="R646" s="35"/>
      <c r="S646" s="35">
        <v>280.39999999999998</v>
      </c>
      <c r="T646" s="35"/>
      <c r="U646" s="35"/>
      <c r="V646" s="22" t="s">
        <v>1541</v>
      </c>
      <c r="W646" s="22" t="s">
        <v>1542</v>
      </c>
      <c r="X646" s="29"/>
      <c r="Y646" s="35"/>
      <c r="Z646" s="178">
        <v>43528</v>
      </c>
      <c r="AA646" s="22"/>
      <c r="AB646" s="29">
        <v>43532</v>
      </c>
      <c r="AC646" s="29"/>
      <c r="AD646" s="29"/>
      <c r="AE646" s="29"/>
      <c r="AF646" s="22"/>
      <c r="AG646" s="29" t="s">
        <v>914</v>
      </c>
      <c r="AH646" s="519"/>
      <c r="AI646" s="144"/>
      <c r="AJ646" s="534"/>
      <c r="AK646" s="143"/>
      <c r="AL646" s="143"/>
      <c r="AM646" s="143"/>
      <c r="AN646" s="143"/>
      <c r="AO646" s="143">
        <f>280.4</f>
        <v>280.39999999999998</v>
      </c>
      <c r="AP646" s="143"/>
      <c r="AQ646" s="143"/>
      <c r="AR646" s="143"/>
      <c r="AS646" s="21"/>
      <c r="AT646" s="21"/>
      <c r="AU646" s="21"/>
      <c r="AV646" s="21"/>
      <c r="AW646" s="21"/>
      <c r="AX646" s="21"/>
      <c r="AY646" s="21"/>
      <c r="AZ646" s="21"/>
      <c r="BA646" s="21"/>
      <c r="BB646" s="21"/>
      <c r="BC646" s="21"/>
      <c r="BD646" s="21"/>
      <c r="BE646" s="21"/>
      <c r="BF646" s="21"/>
      <c r="BG646" s="21"/>
      <c r="BH646" s="21"/>
      <c r="BI646" s="21"/>
      <c r="BJ646" s="21"/>
    </row>
    <row r="647" spans="1:62" s="138" customFormat="1" ht="39.6" x14ac:dyDescent="0.25">
      <c r="A647" s="381"/>
      <c r="B647" s="352" t="s">
        <v>1939</v>
      </c>
      <c r="C647" s="49">
        <v>5</v>
      </c>
      <c r="D647" s="382" t="s">
        <v>1543</v>
      </c>
      <c r="E647" s="382"/>
      <c r="F647" s="382"/>
      <c r="G647" s="33" t="s">
        <v>1544</v>
      </c>
      <c r="H647" s="33" t="s">
        <v>1540</v>
      </c>
      <c r="I647" s="33"/>
      <c r="J647" s="22"/>
      <c r="K647" s="33" t="s">
        <v>1433</v>
      </c>
      <c r="L647" s="25"/>
      <c r="M647" s="25"/>
      <c r="N647" s="50">
        <v>30</v>
      </c>
      <c r="O647" s="22"/>
      <c r="P647" s="51">
        <v>331.2</v>
      </c>
      <c r="Q647" s="28"/>
      <c r="R647" s="35"/>
      <c r="S647" s="35">
        <v>598.38</v>
      </c>
      <c r="T647" s="35"/>
      <c r="U647" s="35"/>
      <c r="V647" s="22" t="s">
        <v>1545</v>
      </c>
      <c r="W647" s="22" t="s">
        <v>1546</v>
      </c>
      <c r="X647" s="29"/>
      <c r="Y647" s="35"/>
      <c r="Z647" s="29">
        <v>43518</v>
      </c>
      <c r="AA647" s="22"/>
      <c r="AB647" s="29">
        <v>43530</v>
      </c>
      <c r="AC647" s="29"/>
      <c r="AD647" s="29"/>
      <c r="AE647" s="29"/>
      <c r="AF647" s="22"/>
      <c r="AG647" s="29" t="s">
        <v>914</v>
      </c>
      <c r="AH647" s="519"/>
      <c r="AI647" s="144"/>
      <c r="AJ647" s="534"/>
      <c r="AK647" s="143"/>
      <c r="AL647" s="143"/>
      <c r="AM647" s="143"/>
      <c r="AN647" s="35">
        <f>S647</f>
        <v>598.38</v>
      </c>
      <c r="AO647" s="143"/>
      <c r="AP647" s="143"/>
      <c r="AQ647" s="143"/>
      <c r="AR647" s="143"/>
      <c r="AS647" s="21"/>
      <c r="AT647" s="21"/>
      <c r="AU647" s="21"/>
      <c r="AV647" s="21"/>
      <c r="AW647" s="21"/>
      <c r="AX647" s="21"/>
      <c r="AY647" s="21"/>
      <c r="AZ647" s="21"/>
      <c r="BA647" s="21"/>
      <c r="BB647" s="21"/>
      <c r="BC647" s="21"/>
      <c r="BD647" s="21"/>
      <c r="BE647" s="21"/>
      <c r="BF647" s="21"/>
      <c r="BG647" s="21"/>
      <c r="BH647" s="21"/>
      <c r="BI647" s="21"/>
      <c r="BJ647" s="21"/>
    </row>
    <row r="648" spans="1:62" s="138" customFormat="1" ht="26.4" x14ac:dyDescent="0.25">
      <c r="A648" s="381"/>
      <c r="B648" s="352" t="s">
        <v>1939</v>
      </c>
      <c r="C648" s="49">
        <v>5</v>
      </c>
      <c r="D648" s="382" t="s">
        <v>1543</v>
      </c>
      <c r="E648" s="382"/>
      <c r="F648" s="382"/>
      <c r="G648" s="33" t="s">
        <v>1547</v>
      </c>
      <c r="H648" s="33" t="s">
        <v>1218</v>
      </c>
      <c r="I648" s="33"/>
      <c r="J648" s="22"/>
      <c r="K648" s="33"/>
      <c r="L648" s="25"/>
      <c r="M648" s="25"/>
      <c r="N648" s="50">
        <v>1</v>
      </c>
      <c r="O648" s="22"/>
      <c r="P648" s="51"/>
      <c r="Q648" s="28"/>
      <c r="R648" s="35"/>
      <c r="S648" s="35">
        <v>517.04</v>
      </c>
      <c r="T648" s="35"/>
      <c r="U648" s="35"/>
      <c r="V648" s="22" t="s">
        <v>1548</v>
      </c>
      <c r="W648" s="22" t="s">
        <v>1521</v>
      </c>
      <c r="X648" s="29"/>
      <c r="Y648" s="35"/>
      <c r="Z648" s="29">
        <v>43532</v>
      </c>
      <c r="AA648" s="22"/>
      <c r="AB648" s="29">
        <v>43544</v>
      </c>
      <c r="AC648" s="29"/>
      <c r="AD648" s="29"/>
      <c r="AE648" s="29"/>
      <c r="AF648" s="22"/>
      <c r="AG648" s="29" t="s">
        <v>914</v>
      </c>
      <c r="AH648" s="519"/>
      <c r="AI648" s="144"/>
      <c r="AJ648" s="534"/>
      <c r="AK648" s="143"/>
      <c r="AL648" s="143"/>
      <c r="AM648" s="143"/>
      <c r="AN648" s="35">
        <f>S648</f>
        <v>517.04</v>
      </c>
      <c r="AO648" s="143"/>
      <c r="AP648" s="143"/>
      <c r="AQ648" s="143"/>
      <c r="AR648" s="143"/>
      <c r="AS648" s="21"/>
      <c r="AT648" s="21"/>
      <c r="AU648" s="21"/>
      <c r="AV648" s="21"/>
      <c r="AW648" s="21"/>
      <c r="AX648" s="21"/>
      <c r="AY648" s="21"/>
      <c r="AZ648" s="21"/>
      <c r="BA648" s="21"/>
      <c r="BB648" s="21"/>
      <c r="BC648" s="21"/>
      <c r="BD648" s="21"/>
      <c r="BE648" s="21"/>
      <c r="BF648" s="21"/>
      <c r="BG648" s="21"/>
      <c r="BH648" s="21"/>
      <c r="BI648" s="21"/>
      <c r="BJ648" s="21"/>
    </row>
    <row r="649" spans="1:62" s="138" customFormat="1" ht="26.4" x14ac:dyDescent="0.25">
      <c r="A649" s="381"/>
      <c r="B649" s="352" t="s">
        <v>1939</v>
      </c>
      <c r="C649" s="49">
        <v>5</v>
      </c>
      <c r="D649" s="382" t="s">
        <v>1543</v>
      </c>
      <c r="E649" s="382"/>
      <c r="F649" s="382"/>
      <c r="G649" s="33" t="s">
        <v>1051</v>
      </c>
      <c r="H649" s="33" t="s">
        <v>1026</v>
      </c>
      <c r="I649" s="33"/>
      <c r="J649" s="22"/>
      <c r="K649" s="33"/>
      <c r="L649" s="25"/>
      <c r="M649" s="25"/>
      <c r="N649" s="50">
        <v>1</v>
      </c>
      <c r="O649" s="22"/>
      <c r="P649" s="51"/>
      <c r="Q649" s="28"/>
      <c r="R649" s="35"/>
      <c r="S649" s="35">
        <v>2851</v>
      </c>
      <c r="T649" s="35"/>
      <c r="U649" s="35">
        <f t="shared" ref="U649:U652" si="65">Q649-S649</f>
        <v>-2851</v>
      </c>
      <c r="V649" s="22" t="s">
        <v>1549</v>
      </c>
      <c r="W649" s="22" t="s">
        <v>1510</v>
      </c>
      <c r="X649" s="29"/>
      <c r="Y649" s="35"/>
      <c r="Z649" s="29">
        <v>43510</v>
      </c>
      <c r="AA649" s="22"/>
      <c r="AB649" s="29">
        <v>43518</v>
      </c>
      <c r="AC649" s="29"/>
      <c r="AD649" s="29"/>
      <c r="AE649" s="29"/>
      <c r="AF649" s="22"/>
      <c r="AG649" s="29" t="s">
        <v>914</v>
      </c>
      <c r="AH649" s="519"/>
      <c r="AI649" s="144"/>
      <c r="AJ649" s="534"/>
      <c r="AK649" s="143"/>
      <c r="AL649" s="143"/>
      <c r="AM649" s="143">
        <f>S649</f>
        <v>2851</v>
      </c>
      <c r="AN649" s="143"/>
      <c r="AO649" s="143"/>
      <c r="AP649" s="143"/>
      <c r="AQ649" s="143"/>
      <c r="AR649" s="143"/>
      <c r="AS649" s="21"/>
      <c r="AT649" s="21"/>
      <c r="AU649" s="21"/>
      <c r="AV649" s="21"/>
      <c r="AW649" s="21"/>
      <c r="AX649" s="21"/>
      <c r="AY649" s="21"/>
      <c r="AZ649" s="21"/>
      <c r="BA649" s="21"/>
      <c r="BB649" s="21"/>
      <c r="BC649" s="21"/>
      <c r="BD649" s="21"/>
      <c r="BE649" s="21"/>
      <c r="BF649" s="21"/>
      <c r="BG649" s="21"/>
      <c r="BH649" s="21"/>
      <c r="BI649" s="21"/>
      <c r="BJ649" s="21"/>
    </row>
    <row r="650" spans="1:62" ht="12.75" customHeight="1" x14ac:dyDescent="0.25">
      <c r="A650" s="22"/>
      <c r="B650" s="352" t="s">
        <v>1939</v>
      </c>
      <c r="C650" s="49">
        <v>5</v>
      </c>
      <c r="D650" s="382" t="s">
        <v>1543</v>
      </c>
      <c r="E650" s="382"/>
      <c r="F650" s="382"/>
      <c r="G650" s="33" t="s">
        <v>1550</v>
      </c>
      <c r="H650" s="33"/>
      <c r="I650" s="33"/>
      <c r="J650" s="22"/>
      <c r="K650" s="33"/>
      <c r="L650" s="25"/>
      <c r="M650" s="25"/>
      <c r="N650" s="50">
        <v>1</v>
      </c>
      <c r="O650" s="22"/>
      <c r="P650" s="51"/>
      <c r="Q650" s="28"/>
      <c r="R650" s="35"/>
      <c r="S650" s="35">
        <v>680</v>
      </c>
      <c r="T650" s="35"/>
      <c r="U650" s="35"/>
      <c r="V650" s="22" t="s">
        <v>1551</v>
      </c>
      <c r="W650" s="22" t="s">
        <v>1552</v>
      </c>
      <c r="X650" s="29"/>
      <c r="Y650" s="35"/>
      <c r="Z650" s="29">
        <v>43530</v>
      </c>
      <c r="AA650" s="22"/>
      <c r="AB650" s="29">
        <v>43532</v>
      </c>
      <c r="AC650" s="29"/>
      <c r="AD650" s="473"/>
      <c r="AE650" s="473"/>
      <c r="AF650" s="472"/>
      <c r="AG650" s="29" t="s">
        <v>914</v>
      </c>
      <c r="AH650" s="519"/>
      <c r="AI650" s="144"/>
      <c r="AJ650" s="534"/>
      <c r="AK650" s="143"/>
      <c r="AL650" s="143"/>
      <c r="AM650" s="143"/>
      <c r="AN650" s="143"/>
      <c r="AO650" s="143"/>
      <c r="AP650" s="143"/>
      <c r="AQ650" s="143"/>
      <c r="AR650" s="143"/>
    </row>
    <row r="651" spans="1:62" s="138" customFormat="1" ht="105.6" x14ac:dyDescent="0.25">
      <c r="A651" s="87" t="s">
        <v>1553</v>
      </c>
      <c r="B651" s="352">
        <v>5</v>
      </c>
      <c r="C651" s="49">
        <v>5</v>
      </c>
      <c r="D651" s="382" t="s">
        <v>86</v>
      </c>
      <c r="E651" s="65"/>
      <c r="F651" s="22"/>
      <c r="G651" s="33" t="s">
        <v>1554</v>
      </c>
      <c r="H651" s="33" t="s">
        <v>1555</v>
      </c>
      <c r="I651" s="33"/>
      <c r="J651" s="22"/>
      <c r="K651" s="33"/>
      <c r="L651" s="25"/>
      <c r="M651" s="25"/>
      <c r="N651" s="50">
        <v>3</v>
      </c>
      <c r="O651" s="22"/>
      <c r="P651" s="51">
        <v>126.28</v>
      </c>
      <c r="Q651" s="28">
        <f t="shared" ref="Q651:Q652" si="66">N651*P651</f>
        <v>378.84000000000003</v>
      </c>
      <c r="R651" s="35"/>
      <c r="S651" s="35">
        <v>378.84</v>
      </c>
      <c r="T651" s="35"/>
      <c r="U651" s="35">
        <f t="shared" si="65"/>
        <v>0</v>
      </c>
      <c r="V651" s="22" t="s">
        <v>1556</v>
      </c>
      <c r="W651" s="22" t="s">
        <v>1557</v>
      </c>
      <c r="X651" s="22"/>
      <c r="Y651" s="22"/>
      <c r="Z651" s="29">
        <v>43511</v>
      </c>
      <c r="AA651" s="29"/>
      <c r="AB651" s="29">
        <v>43525</v>
      </c>
      <c r="AC651" s="29"/>
      <c r="AD651" s="29"/>
      <c r="AE651" s="29"/>
      <c r="AF651" s="22"/>
      <c r="AG651" s="29" t="s">
        <v>914</v>
      </c>
      <c r="AH651" s="519"/>
      <c r="AI651" s="144"/>
      <c r="AJ651" s="534"/>
      <c r="AK651" s="143"/>
      <c r="AL651" s="143"/>
      <c r="AM651" s="143"/>
      <c r="AN651" s="143">
        <f>S651</f>
        <v>378.84</v>
      </c>
      <c r="AO651" s="143"/>
      <c r="AP651" s="143"/>
      <c r="AQ651" s="143"/>
      <c r="AR651" s="143"/>
      <c r="AS651" s="21"/>
      <c r="AT651" s="21"/>
      <c r="AU651" s="21"/>
      <c r="AV651" s="21"/>
      <c r="AW651" s="21"/>
      <c r="AX651" s="21"/>
      <c r="AY651" s="21"/>
      <c r="AZ651" s="21"/>
      <c r="BA651" s="21"/>
      <c r="BB651" s="21"/>
      <c r="BC651" s="21"/>
      <c r="BD651" s="21"/>
      <c r="BE651" s="21"/>
      <c r="BF651" s="21"/>
      <c r="BG651" s="21"/>
      <c r="BH651" s="21"/>
      <c r="BI651" s="21"/>
      <c r="BJ651" s="21"/>
    </row>
    <row r="652" spans="1:62" s="138" customFormat="1" ht="105.6" x14ac:dyDescent="0.25">
      <c r="A652" s="87" t="s">
        <v>1553</v>
      </c>
      <c r="B652" s="352">
        <v>5</v>
      </c>
      <c r="C652" s="49">
        <v>5</v>
      </c>
      <c r="D652" s="382" t="s">
        <v>86</v>
      </c>
      <c r="E652" s="65"/>
      <c r="F652" s="22"/>
      <c r="G652" s="33" t="s">
        <v>438</v>
      </c>
      <c r="H652" s="33" t="s">
        <v>1555</v>
      </c>
      <c r="I652" s="33"/>
      <c r="J652" s="22"/>
      <c r="K652" s="33"/>
      <c r="L652" s="25"/>
      <c r="M652" s="25"/>
      <c r="N652" s="50">
        <v>1</v>
      </c>
      <c r="O652" s="22"/>
      <c r="P652" s="51">
        <v>18.22</v>
      </c>
      <c r="Q652" s="28">
        <f t="shared" si="66"/>
        <v>18.22</v>
      </c>
      <c r="R652" s="35"/>
      <c r="S652" s="35">
        <v>18.22</v>
      </c>
      <c r="T652" s="35"/>
      <c r="U652" s="35">
        <f t="shared" si="65"/>
        <v>0</v>
      </c>
      <c r="V652" s="22" t="s">
        <v>1556</v>
      </c>
      <c r="W652" s="22" t="s">
        <v>1557</v>
      </c>
      <c r="X652" s="22"/>
      <c r="Y652" s="22"/>
      <c r="Z652" s="29">
        <v>43511</v>
      </c>
      <c r="AA652" s="29"/>
      <c r="AB652" s="29">
        <v>43525</v>
      </c>
      <c r="AC652" s="29"/>
      <c r="AD652" s="29"/>
      <c r="AE652" s="29"/>
      <c r="AF652" s="22"/>
      <c r="AG652" s="29" t="s">
        <v>914</v>
      </c>
      <c r="AH652" s="519"/>
      <c r="AI652" s="144"/>
      <c r="AJ652" s="534"/>
      <c r="AK652" s="143"/>
      <c r="AL652" s="143"/>
      <c r="AM652" s="143"/>
      <c r="AN652" s="143">
        <f>S652</f>
        <v>18.22</v>
      </c>
      <c r="AO652" s="143"/>
      <c r="AP652" s="143"/>
      <c r="AQ652" s="143"/>
      <c r="AR652" s="143"/>
      <c r="AS652" s="21"/>
      <c r="AT652" s="21"/>
      <c r="AU652" s="21"/>
      <c r="AV652" s="21"/>
      <c r="AW652" s="21"/>
      <c r="AX652" s="21"/>
      <c r="AY652" s="21"/>
      <c r="AZ652" s="21"/>
      <c r="BA652" s="21"/>
      <c r="BB652" s="21"/>
      <c r="BC652" s="21"/>
      <c r="BD652" s="21"/>
      <c r="BE652" s="21"/>
      <c r="BF652" s="21"/>
      <c r="BG652" s="21"/>
      <c r="BH652" s="21"/>
      <c r="BI652" s="21"/>
      <c r="BJ652" s="21"/>
    </row>
    <row r="653" spans="1:62" hidden="1" x14ac:dyDescent="0.25">
      <c r="A653" s="22"/>
      <c r="B653" s="352">
        <v>8</v>
      </c>
      <c r="C653" s="49">
        <v>5</v>
      </c>
      <c r="D653" s="382" t="s">
        <v>86</v>
      </c>
      <c r="E653" s="65"/>
      <c r="F653" s="22"/>
      <c r="G653" s="33" t="s">
        <v>1558</v>
      </c>
      <c r="H653" s="33" t="s">
        <v>1020</v>
      </c>
      <c r="I653" s="33"/>
      <c r="J653" s="22"/>
      <c r="K653" s="33"/>
      <c r="L653" s="25"/>
      <c r="M653" s="25"/>
      <c r="N653" s="50">
        <v>1</v>
      </c>
      <c r="O653" s="22"/>
      <c r="P653" s="51">
        <v>750</v>
      </c>
      <c r="Q653" s="28">
        <f t="shared" ref="Q653:Q676" si="67">N653*P653</f>
        <v>750</v>
      </c>
      <c r="R653" s="35"/>
      <c r="S653" s="35"/>
      <c r="T653" s="35"/>
      <c r="U653" s="35"/>
      <c r="V653" s="22"/>
      <c r="W653" s="22"/>
      <c r="X653" s="22"/>
      <c r="Y653" s="22"/>
      <c r="Z653" s="29"/>
      <c r="AA653" s="29"/>
      <c r="AB653" s="29"/>
      <c r="AC653" s="29"/>
      <c r="AD653" s="29"/>
      <c r="AE653" s="29"/>
      <c r="AF653" s="22"/>
      <c r="AG653" s="29"/>
      <c r="AH653" s="145"/>
      <c r="AI653" s="22"/>
      <c r="AJ653" s="292"/>
      <c r="AK653" s="28"/>
      <c r="AL653" s="22"/>
      <c r="AM653" s="22"/>
      <c r="AN653" s="22"/>
      <c r="AO653" s="22"/>
      <c r="AP653" s="22"/>
      <c r="AQ653" s="22"/>
      <c r="AR653" s="22"/>
    </row>
    <row r="654" spans="1:62" hidden="1" x14ac:dyDescent="0.25">
      <c r="A654" s="22"/>
      <c r="B654" s="352">
        <v>8</v>
      </c>
      <c r="C654" s="49">
        <v>5</v>
      </c>
      <c r="D654" s="382" t="s">
        <v>86</v>
      </c>
      <c r="E654" s="65"/>
      <c r="F654" s="22"/>
      <c r="G654" s="33" t="s">
        <v>1559</v>
      </c>
      <c r="H654" s="33"/>
      <c r="I654" s="33"/>
      <c r="J654" s="22"/>
      <c r="K654" s="33"/>
      <c r="L654" s="25"/>
      <c r="M654" s="25"/>
      <c r="N654" s="50">
        <v>1</v>
      </c>
      <c r="O654" s="22"/>
      <c r="P654" s="51">
        <v>7363.08</v>
      </c>
      <c r="Q654" s="28">
        <f t="shared" si="67"/>
        <v>7363.08</v>
      </c>
      <c r="R654" s="35"/>
      <c r="S654" s="35"/>
      <c r="T654" s="35"/>
      <c r="U654" s="35"/>
      <c r="V654" s="22"/>
      <c r="W654" s="22"/>
      <c r="X654" s="22"/>
      <c r="Y654" s="22"/>
      <c r="Z654" s="29"/>
      <c r="AA654" s="29"/>
      <c r="AB654" s="29"/>
      <c r="AC654" s="29"/>
      <c r="AD654" s="29"/>
      <c r="AE654" s="29"/>
      <c r="AF654" s="22"/>
      <c r="AG654" s="29"/>
      <c r="AH654" s="145"/>
      <c r="AI654" s="22"/>
      <c r="AJ654" s="292"/>
      <c r="AK654" s="28"/>
      <c r="AL654" s="22"/>
      <c r="AM654" s="22"/>
      <c r="AN654" s="22"/>
      <c r="AO654" s="22"/>
      <c r="AP654" s="22"/>
      <c r="AQ654" s="22"/>
      <c r="AR654" s="22"/>
    </row>
    <row r="655" spans="1:62" s="138" customFormat="1" ht="26.4" hidden="1" x14ac:dyDescent="0.25">
      <c r="A655" s="359" t="s">
        <v>1560</v>
      </c>
      <c r="B655" s="352">
        <v>8</v>
      </c>
      <c r="C655" s="49">
        <v>3</v>
      </c>
      <c r="D655" s="382" t="s">
        <v>86</v>
      </c>
      <c r="E655" s="65"/>
      <c r="F655" s="22"/>
      <c r="G655" s="33" t="s">
        <v>1561</v>
      </c>
      <c r="H655" s="33" t="s">
        <v>1562</v>
      </c>
      <c r="I655" s="33"/>
      <c r="J655" s="22"/>
      <c r="K655" s="139">
        <v>3171</v>
      </c>
      <c r="L655" s="25"/>
      <c r="M655" s="25"/>
      <c r="N655" s="50">
        <v>3</v>
      </c>
      <c r="O655" s="22"/>
      <c r="P655" s="51">
        <v>500</v>
      </c>
      <c r="Q655" s="35">
        <f t="shared" si="67"/>
        <v>1500</v>
      </c>
      <c r="R655" s="35"/>
      <c r="S655" s="35"/>
      <c r="T655" s="35"/>
      <c r="U655" s="35"/>
      <c r="V655" s="22"/>
      <c r="W655" s="22"/>
      <c r="X655" s="22"/>
      <c r="Y655" s="22"/>
      <c r="Z655" s="29"/>
      <c r="AA655" s="29"/>
      <c r="AB655" s="29"/>
      <c r="AC655" s="29"/>
      <c r="AD655" s="29"/>
      <c r="AE655" s="29"/>
      <c r="AF655" s="22"/>
      <c r="AG655" s="29"/>
      <c r="AH655" s="145"/>
      <c r="AI655" s="22"/>
      <c r="AJ655" s="292"/>
      <c r="AK655" s="28"/>
      <c r="AL655" s="22"/>
      <c r="AM655" s="22"/>
      <c r="AN655" s="22"/>
      <c r="AO655" s="22"/>
      <c r="AP655" s="22"/>
      <c r="AQ655" s="22"/>
      <c r="AR655" s="22"/>
      <c r="AS655" s="21"/>
      <c r="AT655" s="21"/>
      <c r="AU655" s="21"/>
      <c r="AV655" s="21"/>
      <c r="AW655" s="21"/>
      <c r="AX655" s="21"/>
      <c r="AY655" s="21"/>
      <c r="AZ655" s="21"/>
      <c r="BA655" s="21"/>
      <c r="BB655" s="21"/>
      <c r="BC655" s="21"/>
      <c r="BD655" s="21"/>
      <c r="BE655" s="21"/>
      <c r="BF655" s="21"/>
      <c r="BG655" s="21"/>
      <c r="BH655" s="21"/>
      <c r="BI655" s="21"/>
      <c r="BJ655" s="21"/>
    </row>
    <row r="656" spans="1:62" s="138" customFormat="1" ht="26.4" hidden="1" x14ac:dyDescent="0.25">
      <c r="A656" s="359"/>
      <c r="B656" s="352">
        <v>8</v>
      </c>
      <c r="C656" s="49">
        <v>3</v>
      </c>
      <c r="D656" s="382" t="s">
        <v>86</v>
      </c>
      <c r="E656" s="65"/>
      <c r="F656" s="22"/>
      <c r="G656" s="33" t="s">
        <v>1563</v>
      </c>
      <c r="H656" s="33" t="s">
        <v>1564</v>
      </c>
      <c r="I656" s="33"/>
      <c r="J656" s="22"/>
      <c r="K656" s="33" t="s">
        <v>1565</v>
      </c>
      <c r="L656" s="25"/>
      <c r="M656" s="25"/>
      <c r="N656" s="50">
        <v>1</v>
      </c>
      <c r="O656" s="22"/>
      <c r="P656" s="51">
        <v>1328.21</v>
      </c>
      <c r="Q656" s="35">
        <f t="shared" si="67"/>
        <v>1328.21</v>
      </c>
      <c r="R656" s="35"/>
      <c r="S656" s="35"/>
      <c r="T656" s="35"/>
      <c r="U656" s="35"/>
      <c r="V656" s="22"/>
      <c r="W656" s="22"/>
      <c r="X656" s="22"/>
      <c r="Y656" s="22"/>
      <c r="Z656" s="29"/>
      <c r="AA656" s="29"/>
      <c r="AB656" s="29"/>
      <c r="AC656" s="29"/>
      <c r="AD656" s="29"/>
      <c r="AE656" s="29"/>
      <c r="AF656" s="22"/>
      <c r="AG656" s="29"/>
      <c r="AH656" s="145"/>
      <c r="AI656" s="22"/>
      <c r="AJ656" s="292"/>
      <c r="AK656" s="28"/>
      <c r="AL656" s="22"/>
      <c r="AM656" s="22"/>
      <c r="AN656" s="22"/>
      <c r="AO656" s="22"/>
      <c r="AP656" s="22"/>
      <c r="AQ656" s="22"/>
      <c r="AR656" s="22"/>
      <c r="AS656" s="21"/>
      <c r="AT656" s="21"/>
      <c r="AU656" s="21"/>
      <c r="AV656" s="21"/>
      <c r="AW656" s="21"/>
      <c r="AX656" s="21"/>
      <c r="AY656" s="21"/>
      <c r="AZ656" s="21"/>
      <c r="BA656" s="21"/>
      <c r="BB656" s="21"/>
      <c r="BC656" s="21"/>
      <c r="BD656" s="21"/>
      <c r="BE656" s="21"/>
      <c r="BF656" s="21"/>
      <c r="BG656" s="21"/>
      <c r="BH656" s="21"/>
      <c r="BI656" s="21"/>
      <c r="BJ656" s="21"/>
    </row>
    <row r="657" spans="1:62" s="138" customFormat="1" ht="26.4" hidden="1" x14ac:dyDescent="0.25">
      <c r="A657" s="359"/>
      <c r="B657" s="352">
        <v>8</v>
      </c>
      <c r="C657" s="49">
        <v>3</v>
      </c>
      <c r="D657" s="382" t="s">
        <v>86</v>
      </c>
      <c r="E657" s="65"/>
      <c r="F657" s="22"/>
      <c r="G657" s="33" t="s">
        <v>1566</v>
      </c>
      <c r="H657" s="33" t="s">
        <v>1567</v>
      </c>
      <c r="I657" s="33"/>
      <c r="J657" s="22"/>
      <c r="K657" s="33" t="s">
        <v>1568</v>
      </c>
      <c r="L657" s="25"/>
      <c r="M657" s="25"/>
      <c r="N657" s="50">
        <v>30</v>
      </c>
      <c r="O657" s="22"/>
      <c r="P657" s="51">
        <v>14.63</v>
      </c>
      <c r="Q657" s="35">
        <f t="shared" si="67"/>
        <v>438.90000000000003</v>
      </c>
      <c r="R657" s="35"/>
      <c r="S657" s="35"/>
      <c r="T657" s="35"/>
      <c r="U657" s="35"/>
      <c r="V657" s="22"/>
      <c r="W657" s="22"/>
      <c r="X657" s="22"/>
      <c r="Y657" s="22"/>
      <c r="Z657" s="29"/>
      <c r="AA657" s="29"/>
      <c r="AB657" s="29"/>
      <c r="AC657" s="29"/>
      <c r="AD657" s="29"/>
      <c r="AE657" s="29"/>
      <c r="AF657" s="22"/>
      <c r="AG657" s="29"/>
      <c r="AH657" s="145"/>
      <c r="AI657" s="22"/>
      <c r="AJ657" s="292"/>
      <c r="AK657" s="28"/>
      <c r="AL657" s="22"/>
      <c r="AM657" s="22"/>
      <c r="AN657" s="22"/>
      <c r="AO657" s="22"/>
      <c r="AP657" s="22"/>
      <c r="AQ657" s="22"/>
      <c r="AR657" s="22"/>
      <c r="AS657" s="21"/>
      <c r="AT657" s="21"/>
      <c r="AU657" s="21"/>
      <c r="AV657" s="21"/>
      <c r="AW657" s="21"/>
      <c r="AX657" s="21"/>
      <c r="AY657" s="21"/>
      <c r="AZ657" s="21"/>
      <c r="BA657" s="21"/>
      <c r="BB657" s="21"/>
      <c r="BC657" s="21"/>
      <c r="BD657" s="21"/>
      <c r="BE657" s="21"/>
      <c r="BF657" s="21"/>
      <c r="BG657" s="21"/>
      <c r="BH657" s="21"/>
      <c r="BI657" s="21"/>
      <c r="BJ657" s="21"/>
    </row>
    <row r="658" spans="1:62" s="138" customFormat="1" ht="26.4" hidden="1" x14ac:dyDescent="0.25">
      <c r="A658" s="359"/>
      <c r="B658" s="352">
        <v>8</v>
      </c>
      <c r="C658" s="49">
        <v>3</v>
      </c>
      <c r="D658" s="382" t="s">
        <v>86</v>
      </c>
      <c r="E658" s="65"/>
      <c r="F658" s="22"/>
      <c r="G658" s="33" t="s">
        <v>1569</v>
      </c>
      <c r="H658" s="33" t="s">
        <v>1567</v>
      </c>
      <c r="I658" s="33"/>
      <c r="J658" s="22"/>
      <c r="K658" s="33" t="s">
        <v>1570</v>
      </c>
      <c r="L658" s="25"/>
      <c r="M658" s="25"/>
      <c r="N658" s="442">
        <v>2000</v>
      </c>
      <c r="O658" s="22"/>
      <c r="P658" s="51">
        <v>2.4700000000000002</v>
      </c>
      <c r="Q658" s="35">
        <f t="shared" si="67"/>
        <v>4940</v>
      </c>
      <c r="R658" s="35"/>
      <c r="S658" s="35"/>
      <c r="T658" s="35"/>
      <c r="U658" s="35"/>
      <c r="V658" s="22"/>
      <c r="W658" s="22"/>
      <c r="X658" s="22"/>
      <c r="Y658" s="22"/>
      <c r="Z658" s="29"/>
      <c r="AA658" s="29"/>
      <c r="AB658" s="29"/>
      <c r="AC658" s="29"/>
      <c r="AD658" s="29"/>
      <c r="AE658" s="29"/>
      <c r="AF658" s="22"/>
      <c r="AG658" s="29"/>
      <c r="AH658" s="145"/>
      <c r="AI658" s="22"/>
      <c r="AJ658" s="292"/>
      <c r="AK658" s="28"/>
      <c r="AL658" s="22"/>
      <c r="AM658" s="22"/>
      <c r="AN658" s="22"/>
      <c r="AO658" s="22"/>
      <c r="AP658" s="22"/>
      <c r="AQ658" s="22"/>
      <c r="AR658" s="22"/>
      <c r="AS658" s="21"/>
      <c r="AT658" s="21"/>
      <c r="AU658" s="21"/>
      <c r="AV658" s="21"/>
      <c r="AW658" s="21"/>
      <c r="AX658" s="21"/>
      <c r="AY658" s="21"/>
      <c r="AZ658" s="21"/>
      <c r="BA658" s="21"/>
      <c r="BB658" s="21"/>
      <c r="BC658" s="21"/>
      <c r="BD658" s="21"/>
      <c r="BE658" s="21"/>
      <c r="BF658" s="21"/>
      <c r="BG658" s="21"/>
      <c r="BH658" s="21"/>
      <c r="BI658" s="21"/>
      <c r="BJ658" s="21"/>
    </row>
    <row r="659" spans="1:62" s="138" customFormat="1" hidden="1" x14ac:dyDescent="0.25">
      <c r="A659" s="359"/>
      <c r="B659" s="352">
        <v>8</v>
      </c>
      <c r="C659" s="49">
        <v>3</v>
      </c>
      <c r="D659" s="382" t="s">
        <v>86</v>
      </c>
      <c r="E659" s="65"/>
      <c r="F659" s="22"/>
      <c r="G659" s="33" t="s">
        <v>1571</v>
      </c>
      <c r="H659" s="33" t="s">
        <v>1572</v>
      </c>
      <c r="I659" s="33"/>
      <c r="J659" s="22"/>
      <c r="K659" s="33" t="s">
        <v>1573</v>
      </c>
      <c r="L659" s="25"/>
      <c r="M659" s="25"/>
      <c r="N659" s="50">
        <v>4</v>
      </c>
      <c r="O659" s="22"/>
      <c r="P659" s="51">
        <v>49.95</v>
      </c>
      <c r="Q659" s="35">
        <f t="shared" si="67"/>
        <v>199.8</v>
      </c>
      <c r="R659" s="35"/>
      <c r="S659" s="35"/>
      <c r="T659" s="35"/>
      <c r="U659" s="35"/>
      <c r="V659" s="22"/>
      <c r="W659" s="22"/>
      <c r="X659" s="22"/>
      <c r="Y659" s="22"/>
      <c r="Z659" s="29"/>
      <c r="AA659" s="29"/>
      <c r="AB659" s="29"/>
      <c r="AC659" s="29"/>
      <c r="AD659" s="29"/>
      <c r="AE659" s="29"/>
      <c r="AF659" s="22"/>
      <c r="AG659" s="29"/>
      <c r="AH659" s="145"/>
      <c r="AI659" s="22"/>
      <c r="AJ659" s="292"/>
      <c r="AK659" s="28"/>
      <c r="AL659" s="22"/>
      <c r="AM659" s="22"/>
      <c r="AN659" s="22"/>
      <c r="AO659" s="22"/>
      <c r="AP659" s="22"/>
      <c r="AQ659" s="22"/>
      <c r="AR659" s="22"/>
      <c r="AS659" s="21"/>
      <c r="AT659" s="21"/>
      <c r="AU659" s="21"/>
      <c r="AV659" s="21"/>
      <c r="AW659" s="21"/>
      <c r="AX659" s="21"/>
      <c r="AY659" s="21"/>
      <c r="AZ659" s="21"/>
      <c r="BA659" s="21"/>
      <c r="BB659" s="21"/>
      <c r="BC659" s="21"/>
      <c r="BD659" s="21"/>
      <c r="BE659" s="21"/>
      <c r="BF659" s="21"/>
      <c r="BG659" s="21"/>
      <c r="BH659" s="21"/>
      <c r="BI659" s="21"/>
      <c r="BJ659" s="21"/>
    </row>
    <row r="660" spans="1:62" s="138" customFormat="1" hidden="1" x14ac:dyDescent="0.25">
      <c r="A660" s="359"/>
      <c r="B660" s="352">
        <v>8</v>
      </c>
      <c r="C660" s="49">
        <v>3</v>
      </c>
      <c r="D660" s="382" t="s">
        <v>86</v>
      </c>
      <c r="E660" s="65"/>
      <c r="F660" s="22"/>
      <c r="G660" s="33" t="s">
        <v>1574</v>
      </c>
      <c r="H660" s="33" t="s">
        <v>1572</v>
      </c>
      <c r="I660" s="33"/>
      <c r="J660" s="22"/>
      <c r="K660" s="139">
        <v>245173</v>
      </c>
      <c r="L660" s="25"/>
      <c r="M660" s="25"/>
      <c r="N660" s="50">
        <v>20</v>
      </c>
      <c r="O660" s="22"/>
      <c r="P660" s="51">
        <v>20.95</v>
      </c>
      <c r="Q660" s="35">
        <f t="shared" si="67"/>
        <v>419</v>
      </c>
      <c r="R660" s="35"/>
      <c r="S660" s="35"/>
      <c r="T660" s="35"/>
      <c r="U660" s="35"/>
      <c r="V660" s="22"/>
      <c r="W660" s="22"/>
      <c r="X660" s="22"/>
      <c r="Y660" s="22"/>
      <c r="Z660" s="29"/>
      <c r="AA660" s="29"/>
      <c r="AB660" s="29"/>
      <c r="AC660" s="29"/>
      <c r="AD660" s="29"/>
      <c r="AE660" s="29"/>
      <c r="AF660" s="22"/>
      <c r="AG660" s="29"/>
      <c r="AH660" s="145"/>
      <c r="AI660" s="22"/>
      <c r="AJ660" s="292"/>
      <c r="AK660" s="28"/>
      <c r="AL660" s="22"/>
      <c r="AM660" s="22"/>
      <c r="AN660" s="22"/>
      <c r="AO660" s="22"/>
      <c r="AP660" s="22"/>
      <c r="AQ660" s="22"/>
      <c r="AR660" s="22"/>
      <c r="AS660" s="21"/>
      <c r="AT660" s="21"/>
      <c r="AU660" s="21"/>
      <c r="AV660" s="21"/>
      <c r="AW660" s="21"/>
      <c r="AX660" s="21"/>
      <c r="AY660" s="21"/>
      <c r="AZ660" s="21"/>
      <c r="BA660" s="21"/>
      <c r="BB660" s="21"/>
      <c r="BC660" s="21"/>
      <c r="BD660" s="21"/>
      <c r="BE660" s="21"/>
      <c r="BF660" s="21"/>
      <c r="BG660" s="21"/>
      <c r="BH660" s="21"/>
      <c r="BI660" s="21"/>
      <c r="BJ660" s="21"/>
    </row>
    <row r="661" spans="1:62" s="138" customFormat="1" hidden="1" x14ac:dyDescent="0.25">
      <c r="A661" s="359"/>
      <c r="B661" s="352">
        <v>8</v>
      </c>
      <c r="C661" s="49">
        <v>3</v>
      </c>
      <c r="D661" s="382" t="s">
        <v>86</v>
      </c>
      <c r="E661" s="65"/>
      <c r="F661" s="22"/>
      <c r="G661" s="33" t="s">
        <v>1575</v>
      </c>
      <c r="H661" s="33" t="s">
        <v>1572</v>
      </c>
      <c r="I661" s="33"/>
      <c r="J661" s="22"/>
      <c r="K661" s="139">
        <v>245174</v>
      </c>
      <c r="L661" s="25"/>
      <c r="M661" s="25"/>
      <c r="N661" s="50">
        <v>4</v>
      </c>
      <c r="O661" s="22"/>
      <c r="P661" s="51">
        <v>19.95</v>
      </c>
      <c r="Q661" s="35">
        <f t="shared" si="67"/>
        <v>79.8</v>
      </c>
      <c r="R661" s="35"/>
      <c r="S661" s="35"/>
      <c r="T661" s="35"/>
      <c r="U661" s="35"/>
      <c r="V661" s="22"/>
      <c r="W661" s="22"/>
      <c r="X661" s="22"/>
      <c r="Y661" s="22"/>
      <c r="Z661" s="29"/>
      <c r="AA661" s="29"/>
      <c r="AB661" s="29"/>
      <c r="AC661" s="29"/>
      <c r="AD661" s="29"/>
      <c r="AE661" s="29"/>
      <c r="AF661" s="22"/>
      <c r="AG661" s="29"/>
      <c r="AH661" s="145"/>
      <c r="AI661" s="22"/>
      <c r="AJ661" s="292"/>
      <c r="AK661" s="28"/>
      <c r="AL661" s="22"/>
      <c r="AM661" s="22"/>
      <c r="AN661" s="22"/>
      <c r="AO661" s="22"/>
      <c r="AP661" s="22"/>
      <c r="AQ661" s="22"/>
      <c r="AR661" s="22"/>
      <c r="AS661" s="21"/>
      <c r="AT661" s="21"/>
      <c r="AU661" s="21"/>
      <c r="AV661" s="21"/>
      <c r="AW661" s="21"/>
      <c r="AX661" s="21"/>
      <c r="AY661" s="21"/>
      <c r="AZ661" s="21"/>
      <c r="BA661" s="21"/>
      <c r="BB661" s="21"/>
      <c r="BC661" s="21"/>
      <c r="BD661" s="21"/>
      <c r="BE661" s="21"/>
      <c r="BF661" s="21"/>
      <c r="BG661" s="21"/>
      <c r="BH661" s="21"/>
      <c r="BI661" s="21"/>
      <c r="BJ661" s="21"/>
    </row>
    <row r="662" spans="1:62" s="138" customFormat="1" hidden="1" x14ac:dyDescent="0.25">
      <c r="A662" s="359"/>
      <c r="B662" s="352">
        <v>8</v>
      </c>
      <c r="C662" s="49">
        <v>3</v>
      </c>
      <c r="D662" s="382" t="s">
        <v>86</v>
      </c>
      <c r="E662" s="65"/>
      <c r="F662" s="22"/>
      <c r="G662" s="33" t="s">
        <v>1576</v>
      </c>
      <c r="H662" s="33" t="s">
        <v>1577</v>
      </c>
      <c r="I662" s="33"/>
      <c r="J662" s="22"/>
      <c r="K662" s="33" t="s">
        <v>1578</v>
      </c>
      <c r="L662" s="25"/>
      <c r="M662" s="25"/>
      <c r="N662" s="50">
        <v>15</v>
      </c>
      <c r="O662" s="22"/>
      <c r="P662" s="51">
        <v>31.21</v>
      </c>
      <c r="Q662" s="35">
        <f t="shared" si="67"/>
        <v>468.15000000000003</v>
      </c>
      <c r="R662" s="35"/>
      <c r="S662" s="35"/>
      <c r="T662" s="35"/>
      <c r="U662" s="35"/>
      <c r="V662" s="22"/>
      <c r="W662" s="22"/>
      <c r="X662" s="22"/>
      <c r="Y662" s="22"/>
      <c r="Z662" s="29"/>
      <c r="AA662" s="29"/>
      <c r="AB662" s="29"/>
      <c r="AC662" s="29"/>
      <c r="AD662" s="29"/>
      <c r="AE662" s="29"/>
      <c r="AF662" s="22"/>
      <c r="AG662" s="29"/>
      <c r="AH662" s="145"/>
      <c r="AI662" s="22"/>
      <c r="AJ662" s="292"/>
      <c r="AK662" s="28"/>
      <c r="AL662" s="22"/>
      <c r="AM662" s="22"/>
      <c r="AN662" s="22"/>
      <c r="AO662" s="22"/>
      <c r="AP662" s="22"/>
      <c r="AQ662" s="22"/>
      <c r="AR662" s="22"/>
      <c r="AS662" s="21"/>
      <c r="AT662" s="21"/>
      <c r="AU662" s="21"/>
      <c r="AV662" s="21"/>
      <c r="AW662" s="21"/>
      <c r="AX662" s="21"/>
      <c r="AY662" s="21"/>
      <c r="AZ662" s="21"/>
      <c r="BA662" s="21"/>
      <c r="BB662" s="21"/>
      <c r="BC662" s="21"/>
      <c r="BD662" s="21"/>
      <c r="BE662" s="21"/>
      <c r="BF662" s="21"/>
      <c r="BG662" s="21"/>
      <c r="BH662" s="21"/>
      <c r="BI662" s="21"/>
      <c r="BJ662" s="21"/>
    </row>
    <row r="663" spans="1:62" s="138" customFormat="1" ht="26.4" hidden="1" x14ac:dyDescent="0.25">
      <c r="A663" s="359"/>
      <c r="B663" s="352">
        <v>8</v>
      </c>
      <c r="C663" s="49">
        <v>3</v>
      </c>
      <c r="D663" s="382" t="s">
        <v>86</v>
      </c>
      <c r="E663" s="65"/>
      <c r="F663" s="22"/>
      <c r="G663" s="33" t="s">
        <v>1579</v>
      </c>
      <c r="H663" s="33" t="s">
        <v>1580</v>
      </c>
      <c r="I663" s="33"/>
      <c r="J663" s="22"/>
      <c r="K663" s="33" t="s">
        <v>1581</v>
      </c>
      <c r="L663" s="25"/>
      <c r="M663" s="25"/>
      <c r="N663" s="50">
        <v>4</v>
      </c>
      <c r="O663" s="22"/>
      <c r="P663" s="51">
        <v>152.05000000000001</v>
      </c>
      <c r="Q663" s="35">
        <f t="shared" si="67"/>
        <v>608.20000000000005</v>
      </c>
      <c r="R663" s="35"/>
      <c r="S663" s="35"/>
      <c r="T663" s="35"/>
      <c r="U663" s="35"/>
      <c r="V663" s="22"/>
      <c r="W663" s="22"/>
      <c r="X663" s="22"/>
      <c r="Y663" s="22"/>
      <c r="Z663" s="29"/>
      <c r="AA663" s="29"/>
      <c r="AB663" s="29"/>
      <c r="AC663" s="29"/>
      <c r="AD663" s="29"/>
      <c r="AE663" s="29"/>
      <c r="AF663" s="22"/>
      <c r="AG663" s="29"/>
      <c r="AH663" s="145"/>
      <c r="AI663" s="22"/>
      <c r="AJ663" s="292"/>
      <c r="AK663" s="28"/>
      <c r="AL663" s="22"/>
      <c r="AM663" s="22"/>
      <c r="AN663" s="22"/>
      <c r="AO663" s="22"/>
      <c r="AP663" s="22"/>
      <c r="AQ663" s="22"/>
      <c r="AR663" s="22"/>
      <c r="AS663" s="21"/>
      <c r="AT663" s="21"/>
      <c r="AU663" s="21"/>
      <c r="AV663" s="21"/>
      <c r="AW663" s="21"/>
      <c r="AX663" s="21"/>
      <c r="AY663" s="21"/>
      <c r="AZ663" s="21"/>
      <c r="BA663" s="21"/>
      <c r="BB663" s="21"/>
      <c r="BC663" s="21"/>
      <c r="BD663" s="21"/>
      <c r="BE663" s="21"/>
      <c r="BF663" s="21"/>
      <c r="BG663" s="21"/>
      <c r="BH663" s="21"/>
      <c r="BI663" s="21"/>
      <c r="BJ663" s="21"/>
    </row>
    <row r="664" spans="1:62" s="138" customFormat="1" hidden="1" x14ac:dyDescent="0.25">
      <c r="A664" s="359"/>
      <c r="B664" s="352">
        <v>8</v>
      </c>
      <c r="C664" s="49">
        <v>3</v>
      </c>
      <c r="D664" s="382" t="s">
        <v>86</v>
      </c>
      <c r="E664" s="65"/>
      <c r="F664" s="22"/>
      <c r="G664" s="33" t="s">
        <v>1582</v>
      </c>
      <c r="H664" s="33" t="s">
        <v>1583</v>
      </c>
      <c r="I664" s="33"/>
      <c r="J664" s="22"/>
      <c r="K664" s="33" t="s">
        <v>1583</v>
      </c>
      <c r="L664" s="25"/>
      <c r="M664" s="25"/>
      <c r="N664" s="50">
        <v>1</v>
      </c>
      <c r="O664" s="22"/>
      <c r="P664" s="51">
        <v>291.06000000001222</v>
      </c>
      <c r="Q664" s="35">
        <f t="shared" si="67"/>
        <v>291.06000000001222</v>
      </c>
      <c r="R664" s="35"/>
      <c r="S664" s="35"/>
      <c r="T664" s="35"/>
      <c r="U664" s="35"/>
      <c r="V664" s="22"/>
      <c r="W664" s="22"/>
      <c r="X664" s="22"/>
      <c r="Y664" s="22"/>
      <c r="Z664" s="29"/>
      <c r="AA664" s="29"/>
      <c r="AB664" s="29"/>
      <c r="AC664" s="29"/>
      <c r="AD664" s="29"/>
      <c r="AE664" s="29"/>
      <c r="AF664" s="22"/>
      <c r="AG664" s="29"/>
      <c r="AH664" s="145"/>
      <c r="AI664" s="22"/>
      <c r="AJ664" s="292"/>
      <c r="AK664" s="28"/>
      <c r="AL664" s="22"/>
      <c r="AM664" s="22"/>
      <c r="AN664" s="22"/>
      <c r="AO664" s="22"/>
      <c r="AP664" s="22"/>
      <c r="AQ664" s="22"/>
      <c r="AR664" s="22"/>
      <c r="AS664" s="21"/>
      <c r="AT664" s="21"/>
      <c r="AU664" s="21"/>
      <c r="AV664" s="21"/>
      <c r="AW664" s="21"/>
      <c r="AX664" s="21"/>
      <c r="AY664" s="21"/>
      <c r="AZ664" s="21"/>
      <c r="BA664" s="21"/>
      <c r="BB664" s="21"/>
      <c r="BC664" s="21"/>
      <c r="BD664" s="21"/>
      <c r="BE664" s="21"/>
      <c r="BF664" s="21"/>
      <c r="BG664" s="21"/>
      <c r="BH664" s="21"/>
      <c r="BI664" s="21"/>
      <c r="BJ664" s="21"/>
    </row>
    <row r="665" spans="1:62" s="138" customFormat="1" hidden="1" x14ac:dyDescent="0.25">
      <c r="A665" s="359"/>
      <c r="B665" s="352">
        <v>8</v>
      </c>
      <c r="C665" s="49">
        <v>3</v>
      </c>
      <c r="D665" s="382" t="s">
        <v>86</v>
      </c>
      <c r="E665" s="65"/>
      <c r="F665" s="22"/>
      <c r="G665" s="33" t="s">
        <v>1584</v>
      </c>
      <c r="H665" s="33" t="s">
        <v>1585</v>
      </c>
      <c r="I665" s="33"/>
      <c r="J665" s="22"/>
      <c r="K665" s="33" t="s">
        <v>1586</v>
      </c>
      <c r="L665" s="25"/>
      <c r="M665" s="25"/>
      <c r="N665" s="50">
        <v>1</v>
      </c>
      <c r="O665" s="22"/>
      <c r="P665" s="51"/>
      <c r="Q665" s="35">
        <f t="shared" si="67"/>
        <v>0</v>
      </c>
      <c r="R665" s="35"/>
      <c r="S665" s="35"/>
      <c r="T665" s="35"/>
      <c r="U665" s="35"/>
      <c r="V665" s="22"/>
      <c r="W665" s="22"/>
      <c r="X665" s="22"/>
      <c r="Y665" s="22"/>
      <c r="Z665" s="29"/>
      <c r="AA665" s="29"/>
      <c r="AB665" s="29"/>
      <c r="AC665" s="29"/>
      <c r="AD665" s="29"/>
      <c r="AE665" s="29"/>
      <c r="AF665" s="22"/>
      <c r="AG665" s="29"/>
      <c r="AH665" s="145"/>
      <c r="AI665" s="22"/>
      <c r="AJ665" s="292"/>
      <c r="AK665" s="28"/>
      <c r="AL665" s="22"/>
      <c r="AM665" s="22"/>
      <c r="AN665" s="22"/>
      <c r="AO665" s="22"/>
      <c r="AP665" s="22"/>
      <c r="AQ665" s="22"/>
      <c r="AR665" s="22"/>
      <c r="AS665" s="21"/>
      <c r="AT665" s="21"/>
      <c r="AU665" s="21"/>
      <c r="AV665" s="21"/>
      <c r="AW665" s="21"/>
      <c r="AX665" s="21"/>
      <c r="AY665" s="21"/>
      <c r="AZ665" s="21"/>
      <c r="BA665" s="21"/>
      <c r="BB665" s="21"/>
      <c r="BC665" s="21"/>
      <c r="BD665" s="21"/>
      <c r="BE665" s="21"/>
      <c r="BF665" s="21"/>
      <c r="BG665" s="21"/>
      <c r="BH665" s="21"/>
      <c r="BI665" s="21"/>
      <c r="BJ665" s="21"/>
    </row>
    <row r="666" spans="1:62" s="138" customFormat="1" hidden="1" x14ac:dyDescent="0.25">
      <c r="A666" s="359"/>
      <c r="B666" s="352">
        <v>8</v>
      </c>
      <c r="C666" s="49">
        <v>3</v>
      </c>
      <c r="D666" s="382" t="s">
        <v>86</v>
      </c>
      <c r="E666" s="65"/>
      <c r="F666" s="22"/>
      <c r="G666" s="33" t="s">
        <v>1587</v>
      </c>
      <c r="H666" s="33" t="s">
        <v>1588</v>
      </c>
      <c r="I666" s="33"/>
      <c r="J666" s="22"/>
      <c r="K666" s="139">
        <v>3928000000</v>
      </c>
      <c r="L666" s="25"/>
      <c r="M666" s="25"/>
      <c r="N666" s="50">
        <v>30</v>
      </c>
      <c r="O666" s="22"/>
      <c r="P666" s="51"/>
      <c r="Q666" s="35">
        <f t="shared" si="67"/>
        <v>0</v>
      </c>
      <c r="R666" s="35"/>
      <c r="S666" s="35"/>
      <c r="T666" s="35"/>
      <c r="U666" s="35"/>
      <c r="V666" s="22"/>
      <c r="W666" s="22"/>
      <c r="X666" s="22"/>
      <c r="Y666" s="22"/>
      <c r="Z666" s="29"/>
      <c r="AA666" s="29"/>
      <c r="AB666" s="29"/>
      <c r="AC666" s="29"/>
      <c r="AD666" s="29"/>
      <c r="AE666" s="29"/>
      <c r="AF666" s="22"/>
      <c r="AG666" s="29"/>
      <c r="AH666" s="145"/>
      <c r="AI666" s="22"/>
      <c r="AJ666" s="292"/>
      <c r="AK666" s="28"/>
      <c r="AL666" s="22"/>
      <c r="AM666" s="22"/>
      <c r="AN666" s="22"/>
      <c r="AO666" s="22"/>
      <c r="AP666" s="22"/>
      <c r="AQ666" s="22"/>
      <c r="AR666" s="22"/>
      <c r="AS666" s="21"/>
      <c r="AT666" s="21"/>
      <c r="AU666" s="21"/>
      <c r="AV666" s="21"/>
      <c r="AW666" s="21"/>
      <c r="AX666" s="21"/>
      <c r="AY666" s="21"/>
      <c r="AZ666" s="21"/>
      <c r="BA666" s="21"/>
      <c r="BB666" s="21"/>
      <c r="BC666" s="21"/>
      <c r="BD666" s="21"/>
      <c r="BE666" s="21"/>
      <c r="BF666" s="21"/>
      <c r="BG666" s="21"/>
      <c r="BH666" s="21"/>
      <c r="BI666" s="21"/>
      <c r="BJ666" s="21"/>
    </row>
    <row r="667" spans="1:62" s="138" customFormat="1" hidden="1" x14ac:dyDescent="0.25">
      <c r="A667" s="359"/>
      <c r="B667" s="352">
        <v>8</v>
      </c>
      <c r="C667" s="49">
        <v>3</v>
      </c>
      <c r="D667" s="382" t="s">
        <v>86</v>
      </c>
      <c r="E667" s="65"/>
      <c r="F667" s="22"/>
      <c r="G667" s="33" t="s">
        <v>1589</v>
      </c>
      <c r="H667" s="33"/>
      <c r="I667" s="33"/>
      <c r="J667" s="22"/>
      <c r="K667" s="33"/>
      <c r="L667" s="25"/>
      <c r="M667" s="25"/>
      <c r="N667" s="50">
        <v>8</v>
      </c>
      <c r="O667" s="22"/>
      <c r="P667" s="51"/>
      <c r="Q667" s="35">
        <f t="shared" si="67"/>
        <v>0</v>
      </c>
      <c r="R667" s="35"/>
      <c r="S667" s="35"/>
      <c r="T667" s="35"/>
      <c r="U667" s="35"/>
      <c r="V667" s="22"/>
      <c r="W667" s="22"/>
      <c r="X667" s="22"/>
      <c r="Y667" s="22"/>
      <c r="Z667" s="29"/>
      <c r="AA667" s="29"/>
      <c r="AB667" s="29"/>
      <c r="AC667" s="29"/>
      <c r="AD667" s="29"/>
      <c r="AE667" s="29"/>
      <c r="AF667" s="22"/>
      <c r="AG667" s="29"/>
      <c r="AH667" s="145"/>
      <c r="AI667" s="22"/>
      <c r="AJ667" s="292"/>
      <c r="AK667" s="28"/>
      <c r="AL667" s="22"/>
      <c r="AM667" s="22"/>
      <c r="AN667" s="22"/>
      <c r="AO667" s="22"/>
      <c r="AP667" s="22"/>
      <c r="AQ667" s="22"/>
      <c r="AR667" s="22"/>
      <c r="AS667" s="21"/>
      <c r="AT667" s="21"/>
      <c r="AU667" s="21"/>
      <c r="AV667" s="21"/>
      <c r="AW667" s="21"/>
      <c r="AX667" s="21"/>
      <c r="AY667" s="21"/>
      <c r="AZ667" s="21"/>
      <c r="BA667" s="21"/>
      <c r="BB667" s="21"/>
      <c r="BC667" s="21"/>
      <c r="BD667" s="21"/>
      <c r="BE667" s="21"/>
      <c r="BF667" s="21"/>
      <c r="BG667" s="21"/>
      <c r="BH667" s="21"/>
      <c r="BI667" s="21"/>
      <c r="BJ667" s="21"/>
    </row>
    <row r="668" spans="1:62" s="138" customFormat="1" hidden="1" x14ac:dyDescent="0.25">
      <c r="A668" s="359"/>
      <c r="B668" s="352">
        <v>8</v>
      </c>
      <c r="C668" s="49">
        <v>3</v>
      </c>
      <c r="D668" s="382" t="s">
        <v>86</v>
      </c>
      <c r="E668" s="65"/>
      <c r="F668" s="22"/>
      <c r="G668" s="33" t="s">
        <v>1590</v>
      </c>
      <c r="H668" s="33" t="s">
        <v>1591</v>
      </c>
      <c r="I668" s="33"/>
      <c r="J668" s="22"/>
      <c r="K668" s="33" t="s">
        <v>1592</v>
      </c>
      <c r="L668" s="25"/>
      <c r="M668" s="25"/>
      <c r="N668" s="50">
        <v>1</v>
      </c>
      <c r="O668" s="22"/>
      <c r="P668" s="51">
        <v>47.9</v>
      </c>
      <c r="Q668" s="35">
        <f t="shared" si="67"/>
        <v>47.9</v>
      </c>
      <c r="R668" s="35"/>
      <c r="S668" s="35"/>
      <c r="T668" s="35"/>
      <c r="U668" s="35"/>
      <c r="V668" s="22"/>
      <c r="W668" s="22"/>
      <c r="X668" s="22"/>
      <c r="Y668" s="22"/>
      <c r="Z668" s="29"/>
      <c r="AA668" s="29"/>
      <c r="AB668" s="29"/>
      <c r="AC668" s="29"/>
      <c r="AD668" s="29"/>
      <c r="AE668" s="29"/>
      <c r="AF668" s="22"/>
      <c r="AG668" s="29"/>
      <c r="AH668" s="145"/>
      <c r="AI668" s="22"/>
      <c r="AJ668" s="292"/>
      <c r="AK668" s="28"/>
      <c r="AL668" s="22"/>
      <c r="AM668" s="22"/>
      <c r="AN668" s="22"/>
      <c r="AO668" s="22"/>
      <c r="AP668" s="22"/>
      <c r="AQ668" s="22"/>
      <c r="AR668" s="22"/>
      <c r="AS668" s="21"/>
      <c r="AT668" s="21"/>
      <c r="AU668" s="21"/>
      <c r="AV668" s="21"/>
      <c r="AW668" s="21"/>
      <c r="AX668" s="21"/>
      <c r="AY668" s="21"/>
      <c r="AZ668" s="21"/>
      <c r="BA668" s="21"/>
      <c r="BB668" s="21"/>
      <c r="BC668" s="21"/>
      <c r="BD668" s="21"/>
      <c r="BE668" s="21"/>
      <c r="BF668" s="21"/>
      <c r="BG668" s="21"/>
      <c r="BH668" s="21"/>
      <c r="BI668" s="21"/>
      <c r="BJ668" s="21"/>
    </row>
    <row r="669" spans="1:62" s="138" customFormat="1" hidden="1" x14ac:dyDescent="0.25">
      <c r="A669" s="359"/>
      <c r="B669" s="352">
        <v>8</v>
      </c>
      <c r="C669" s="49">
        <v>3</v>
      </c>
      <c r="D669" s="382" t="s">
        <v>86</v>
      </c>
      <c r="E669" s="65"/>
      <c r="F669" s="22"/>
      <c r="G669" s="33" t="s">
        <v>1593</v>
      </c>
      <c r="H669" s="33" t="s">
        <v>1591</v>
      </c>
      <c r="I669" s="33"/>
      <c r="J669" s="22"/>
      <c r="K669" s="33" t="s">
        <v>1594</v>
      </c>
      <c r="L669" s="25"/>
      <c r="M669" s="25"/>
      <c r="N669" s="50">
        <v>1</v>
      </c>
      <c r="O669" s="22"/>
      <c r="P669" s="51">
        <v>15.5</v>
      </c>
      <c r="Q669" s="35">
        <f t="shared" si="67"/>
        <v>15.5</v>
      </c>
      <c r="R669" s="35"/>
      <c r="S669" s="35"/>
      <c r="T669" s="35"/>
      <c r="U669" s="35"/>
      <c r="V669" s="22"/>
      <c r="W669" s="22"/>
      <c r="X669" s="22"/>
      <c r="Y669" s="22"/>
      <c r="Z669" s="29"/>
      <c r="AA669" s="29"/>
      <c r="AB669" s="29"/>
      <c r="AC669" s="29"/>
      <c r="AD669" s="29"/>
      <c r="AE669" s="29"/>
      <c r="AF669" s="22"/>
      <c r="AG669" s="29"/>
      <c r="AH669" s="145"/>
      <c r="AI669" s="22"/>
      <c r="AJ669" s="292"/>
      <c r="AK669" s="28"/>
      <c r="AL669" s="22"/>
      <c r="AM669" s="22"/>
      <c r="AN669" s="22"/>
      <c r="AO669" s="22"/>
      <c r="AP669" s="22"/>
      <c r="AQ669" s="22"/>
      <c r="AR669" s="22"/>
      <c r="AS669" s="21"/>
      <c r="AT669" s="21"/>
      <c r="AU669" s="21"/>
      <c r="AV669" s="21"/>
      <c r="AW669" s="21"/>
      <c r="AX669" s="21"/>
      <c r="AY669" s="21"/>
      <c r="AZ669" s="21"/>
      <c r="BA669" s="21"/>
      <c r="BB669" s="21"/>
      <c r="BC669" s="21"/>
      <c r="BD669" s="21"/>
      <c r="BE669" s="21"/>
      <c r="BF669" s="21"/>
      <c r="BG669" s="21"/>
      <c r="BH669" s="21"/>
      <c r="BI669" s="21"/>
      <c r="BJ669" s="21"/>
    </row>
    <row r="670" spans="1:62" s="138" customFormat="1" hidden="1" x14ac:dyDescent="0.25">
      <c r="A670" s="359"/>
      <c r="B670" s="352">
        <v>8</v>
      </c>
      <c r="C670" s="49">
        <v>3</v>
      </c>
      <c r="D670" s="382" t="s">
        <v>86</v>
      </c>
      <c r="E670" s="65"/>
      <c r="F670" s="22"/>
      <c r="G670" s="33" t="s">
        <v>1595</v>
      </c>
      <c r="H670" s="33" t="s">
        <v>1596</v>
      </c>
      <c r="I670" s="33"/>
      <c r="J670" s="22"/>
      <c r="K670" s="33" t="s">
        <v>1583</v>
      </c>
      <c r="L670" s="25"/>
      <c r="M670" s="25"/>
      <c r="N670" s="50">
        <v>1</v>
      </c>
      <c r="O670" s="22"/>
      <c r="P670" s="51"/>
      <c r="Q670" s="35">
        <f t="shared" si="67"/>
        <v>0</v>
      </c>
      <c r="R670" s="35"/>
      <c r="S670" s="35"/>
      <c r="T670" s="35"/>
      <c r="U670" s="35"/>
      <c r="V670" s="22"/>
      <c r="W670" s="22"/>
      <c r="X670" s="22"/>
      <c r="Y670" s="22"/>
      <c r="Z670" s="29"/>
      <c r="AA670" s="29"/>
      <c r="AB670" s="29"/>
      <c r="AC670" s="29"/>
      <c r="AD670" s="29"/>
      <c r="AE670" s="29"/>
      <c r="AF670" s="22"/>
      <c r="AG670" s="29"/>
      <c r="AH670" s="145"/>
      <c r="AI670" s="22"/>
      <c r="AJ670" s="292"/>
      <c r="AK670" s="28"/>
      <c r="AL670" s="22"/>
      <c r="AM670" s="22"/>
      <c r="AN670" s="22"/>
      <c r="AO670" s="22"/>
      <c r="AP670" s="22"/>
      <c r="AQ670" s="22"/>
      <c r="AR670" s="22"/>
      <c r="AS670" s="21"/>
      <c r="AT670" s="21"/>
      <c r="AU670" s="21"/>
      <c r="AV670" s="21"/>
      <c r="AW670" s="21"/>
      <c r="AX670" s="21"/>
      <c r="AY670" s="21"/>
      <c r="AZ670" s="21"/>
      <c r="BA670" s="21"/>
      <c r="BB670" s="21"/>
      <c r="BC670" s="21"/>
      <c r="BD670" s="21"/>
      <c r="BE670" s="21"/>
      <c r="BF670" s="21"/>
      <c r="BG670" s="21"/>
      <c r="BH670" s="21"/>
      <c r="BI670" s="21"/>
      <c r="BJ670" s="21"/>
    </row>
    <row r="671" spans="1:62" s="138" customFormat="1" hidden="1" x14ac:dyDescent="0.25">
      <c r="A671" s="359"/>
      <c r="B671" s="352">
        <v>8</v>
      </c>
      <c r="C671" s="49">
        <v>3</v>
      </c>
      <c r="D671" s="382" t="s">
        <v>86</v>
      </c>
      <c r="E671" s="65"/>
      <c r="F671" s="22"/>
      <c r="G671" s="33" t="s">
        <v>1597</v>
      </c>
      <c r="H671" s="33" t="s">
        <v>1192</v>
      </c>
      <c r="I671" s="33"/>
      <c r="J671" s="22"/>
      <c r="K671" s="33" t="s">
        <v>1598</v>
      </c>
      <c r="L671" s="25"/>
      <c r="M671" s="25"/>
      <c r="N671" s="50">
        <v>18</v>
      </c>
      <c r="O671" s="22"/>
      <c r="P671" s="51">
        <v>20.11</v>
      </c>
      <c r="Q671" s="35">
        <f t="shared" si="67"/>
        <v>361.98</v>
      </c>
      <c r="R671" s="35"/>
      <c r="S671" s="35"/>
      <c r="T671" s="35"/>
      <c r="U671" s="35"/>
      <c r="V671" s="22"/>
      <c r="W671" s="22"/>
      <c r="X671" s="22"/>
      <c r="Y671" s="22"/>
      <c r="Z671" s="29"/>
      <c r="AA671" s="29"/>
      <c r="AB671" s="29"/>
      <c r="AC671" s="29"/>
      <c r="AD671" s="29"/>
      <c r="AE671" s="29"/>
      <c r="AF671" s="22"/>
      <c r="AG671" s="29"/>
      <c r="AH671" s="145"/>
      <c r="AI671" s="22"/>
      <c r="AJ671" s="292"/>
      <c r="AK671" s="28"/>
      <c r="AL671" s="22"/>
      <c r="AM671" s="22"/>
      <c r="AN671" s="22"/>
      <c r="AO671" s="22"/>
      <c r="AP671" s="22"/>
      <c r="AQ671" s="22"/>
      <c r="AR671" s="22"/>
      <c r="AS671" s="21"/>
      <c r="AT671" s="21"/>
      <c r="AU671" s="21"/>
      <c r="AV671" s="21"/>
      <c r="AW671" s="21"/>
      <c r="AX671" s="21"/>
      <c r="AY671" s="21"/>
      <c r="AZ671" s="21"/>
      <c r="BA671" s="21"/>
      <c r="BB671" s="21"/>
      <c r="BC671" s="21"/>
      <c r="BD671" s="21"/>
      <c r="BE671" s="21"/>
      <c r="BF671" s="21"/>
      <c r="BG671" s="21"/>
      <c r="BH671" s="21"/>
      <c r="BI671" s="21"/>
      <c r="BJ671" s="21"/>
    </row>
    <row r="672" spans="1:62" s="138" customFormat="1" hidden="1" x14ac:dyDescent="0.25">
      <c r="A672" s="359"/>
      <c r="B672" s="352">
        <v>8</v>
      </c>
      <c r="C672" s="49">
        <v>3</v>
      </c>
      <c r="D672" s="382" t="s">
        <v>86</v>
      </c>
      <c r="E672" s="65"/>
      <c r="F672" s="22"/>
      <c r="G672" s="33" t="s">
        <v>1599</v>
      </c>
      <c r="H672" s="33" t="s">
        <v>1192</v>
      </c>
      <c r="I672" s="33"/>
      <c r="J672" s="22"/>
      <c r="K672" s="33" t="s">
        <v>1600</v>
      </c>
      <c r="L672" s="25"/>
      <c r="M672" s="25"/>
      <c r="N672" s="50">
        <v>2</v>
      </c>
      <c r="O672" s="22"/>
      <c r="P672" s="51">
        <v>343.65</v>
      </c>
      <c r="Q672" s="35">
        <f t="shared" si="67"/>
        <v>687.3</v>
      </c>
      <c r="R672" s="35"/>
      <c r="S672" s="35"/>
      <c r="T672" s="35"/>
      <c r="U672" s="35"/>
      <c r="V672" s="22"/>
      <c r="W672" s="22"/>
      <c r="X672" s="22"/>
      <c r="Y672" s="22"/>
      <c r="Z672" s="29"/>
      <c r="AA672" s="29"/>
      <c r="AB672" s="29"/>
      <c r="AC672" s="29"/>
      <c r="AD672" s="29"/>
      <c r="AE672" s="29"/>
      <c r="AF672" s="22"/>
      <c r="AG672" s="29"/>
      <c r="AH672" s="145"/>
      <c r="AI672" s="22"/>
      <c r="AJ672" s="292"/>
      <c r="AK672" s="28"/>
      <c r="AL672" s="22"/>
      <c r="AM672" s="22"/>
      <c r="AN672" s="22"/>
      <c r="AO672" s="22"/>
      <c r="AP672" s="22"/>
      <c r="AQ672" s="22"/>
      <c r="AR672" s="22"/>
      <c r="AS672" s="21"/>
      <c r="AT672" s="21"/>
      <c r="AU672" s="21"/>
      <c r="AV672" s="21"/>
      <c r="AW672" s="21"/>
      <c r="AX672" s="21"/>
      <c r="AY672" s="21"/>
      <c r="AZ672" s="21"/>
      <c r="BA672" s="21"/>
      <c r="BB672" s="21"/>
      <c r="BC672" s="21"/>
      <c r="BD672" s="21"/>
      <c r="BE672" s="21"/>
      <c r="BF672" s="21"/>
      <c r="BG672" s="21"/>
      <c r="BH672" s="21"/>
      <c r="BI672" s="21"/>
      <c r="BJ672" s="21"/>
    </row>
    <row r="673" spans="1:62" s="138" customFormat="1" hidden="1" x14ac:dyDescent="0.25">
      <c r="A673" s="359"/>
      <c r="B673" s="352">
        <v>8</v>
      </c>
      <c r="C673" s="49">
        <v>3</v>
      </c>
      <c r="D673" s="382" t="s">
        <v>86</v>
      </c>
      <c r="E673" s="65"/>
      <c r="F673" s="22"/>
      <c r="G673" s="33" t="s">
        <v>1601</v>
      </c>
      <c r="H673" s="33"/>
      <c r="I673" s="33"/>
      <c r="J673" s="22"/>
      <c r="K673" s="33"/>
      <c r="L673" s="25"/>
      <c r="M673" s="25"/>
      <c r="N673" s="50"/>
      <c r="O673" s="22"/>
      <c r="P673" s="51"/>
      <c r="Q673" s="35">
        <f t="shared" si="67"/>
        <v>0</v>
      </c>
      <c r="R673" s="35"/>
      <c r="S673" s="35"/>
      <c r="T673" s="35"/>
      <c r="U673" s="35"/>
      <c r="V673" s="22"/>
      <c r="W673" s="22"/>
      <c r="X673" s="22"/>
      <c r="Y673" s="22"/>
      <c r="Z673" s="29"/>
      <c r="AA673" s="29"/>
      <c r="AB673" s="29"/>
      <c r="AC673" s="29"/>
      <c r="AD673" s="29"/>
      <c r="AE673" s="29"/>
      <c r="AF673" s="22"/>
      <c r="AG673" s="29"/>
      <c r="AH673" s="145"/>
      <c r="AI673" s="22"/>
      <c r="AJ673" s="292"/>
      <c r="AK673" s="28"/>
      <c r="AL673" s="22"/>
      <c r="AM673" s="22"/>
      <c r="AN673" s="22"/>
      <c r="AO673" s="22"/>
      <c r="AP673" s="22"/>
      <c r="AQ673" s="22"/>
      <c r="AR673" s="22"/>
      <c r="AS673" s="21"/>
      <c r="AT673" s="21"/>
      <c r="AU673" s="21"/>
      <c r="AV673" s="21"/>
      <c r="AW673" s="21"/>
      <c r="AX673" s="21"/>
      <c r="AY673" s="21"/>
      <c r="AZ673" s="21"/>
      <c r="BA673" s="21"/>
      <c r="BB673" s="21"/>
      <c r="BC673" s="21"/>
      <c r="BD673" s="21"/>
      <c r="BE673" s="21"/>
      <c r="BF673" s="21"/>
      <c r="BG673" s="21"/>
      <c r="BH673" s="21"/>
      <c r="BI673" s="21"/>
      <c r="BJ673" s="21"/>
    </row>
    <row r="674" spans="1:62" s="138" customFormat="1" ht="39.6" hidden="1" x14ac:dyDescent="0.25">
      <c r="A674" s="359" t="s">
        <v>1602</v>
      </c>
      <c r="B674" s="352">
        <v>8</v>
      </c>
      <c r="C674" s="49">
        <v>3</v>
      </c>
      <c r="D674" s="382" t="s">
        <v>86</v>
      </c>
      <c r="E674" s="65"/>
      <c r="F674" s="22"/>
      <c r="G674" s="33" t="s">
        <v>1603</v>
      </c>
      <c r="H674" s="33" t="s">
        <v>1604</v>
      </c>
      <c r="I674" s="33"/>
      <c r="J674" s="22"/>
      <c r="K674" s="33" t="s">
        <v>1605</v>
      </c>
      <c r="L674" s="25"/>
      <c r="M674" s="25"/>
      <c r="N674" s="50">
        <v>35</v>
      </c>
      <c r="O674" s="22"/>
      <c r="P674" s="51">
        <v>65.45</v>
      </c>
      <c r="Q674" s="35">
        <f t="shared" si="67"/>
        <v>2290.75</v>
      </c>
      <c r="R674" s="35"/>
      <c r="S674" s="35"/>
      <c r="T674" s="35"/>
      <c r="U674" s="35"/>
      <c r="V674" s="22"/>
      <c r="W674" s="22"/>
      <c r="X674" s="22"/>
      <c r="Y674" s="22"/>
      <c r="Z674" s="29"/>
      <c r="AA674" s="29"/>
      <c r="AB674" s="29"/>
      <c r="AC674" s="29"/>
      <c r="AD674" s="29"/>
      <c r="AE674" s="29"/>
      <c r="AF674" s="22"/>
      <c r="AG674" s="29"/>
      <c r="AH674" s="145"/>
      <c r="AI674" s="22"/>
      <c r="AJ674" s="292"/>
      <c r="AK674" s="28"/>
      <c r="AL674" s="22"/>
      <c r="AM674" s="22"/>
      <c r="AN674" s="22"/>
      <c r="AO674" s="22"/>
      <c r="AP674" s="22"/>
      <c r="AQ674" s="22"/>
      <c r="AR674" s="22"/>
      <c r="AS674" s="21"/>
      <c r="AT674" s="21"/>
      <c r="AU674" s="21"/>
      <c r="AV674" s="21"/>
      <c r="AW674" s="21"/>
      <c r="AX674" s="21"/>
      <c r="AY674" s="21"/>
      <c r="AZ674" s="21"/>
      <c r="BA674" s="21"/>
      <c r="BB674" s="21"/>
      <c r="BC674" s="21"/>
      <c r="BD674" s="21"/>
      <c r="BE674" s="21"/>
      <c r="BF674" s="21"/>
      <c r="BG674" s="21"/>
      <c r="BH674" s="21"/>
      <c r="BI674" s="21"/>
      <c r="BJ674" s="21"/>
    </row>
    <row r="675" spans="1:62" s="138" customFormat="1" ht="39.6" hidden="1" x14ac:dyDescent="0.25">
      <c r="A675" s="359" t="s">
        <v>1606</v>
      </c>
      <c r="B675" s="352">
        <v>8</v>
      </c>
      <c r="C675" s="49">
        <v>3</v>
      </c>
      <c r="D675" s="382" t="s">
        <v>86</v>
      </c>
      <c r="E675" s="65"/>
      <c r="F675" s="22"/>
      <c r="G675" s="33" t="s">
        <v>1603</v>
      </c>
      <c r="H675" s="33" t="s">
        <v>1607</v>
      </c>
      <c r="I675" s="33"/>
      <c r="J675" s="22"/>
      <c r="K675" s="33" t="s">
        <v>1608</v>
      </c>
      <c r="L675" s="25"/>
      <c r="M675" s="25"/>
      <c r="N675" s="50">
        <v>99</v>
      </c>
      <c r="O675" s="22"/>
      <c r="P675" s="51">
        <v>89.47</v>
      </c>
      <c r="Q675" s="35">
        <f t="shared" si="67"/>
        <v>8857.5300000000007</v>
      </c>
      <c r="R675" s="35"/>
      <c r="S675" s="35"/>
      <c r="T675" s="35"/>
      <c r="U675" s="35"/>
      <c r="V675" s="22"/>
      <c r="W675" s="22"/>
      <c r="X675" s="22"/>
      <c r="Y675" s="22"/>
      <c r="Z675" s="29"/>
      <c r="AA675" s="29"/>
      <c r="AB675" s="29"/>
      <c r="AC675" s="29"/>
      <c r="AD675" s="29"/>
      <c r="AE675" s="29"/>
      <c r="AF675" s="22"/>
      <c r="AG675" s="29"/>
      <c r="AH675" s="145"/>
      <c r="AI675" s="22"/>
      <c r="AJ675" s="292"/>
      <c r="AK675" s="28"/>
      <c r="AL675" s="22"/>
      <c r="AM675" s="22"/>
      <c r="AN675" s="22"/>
      <c r="AO675" s="22"/>
      <c r="AP675" s="22"/>
      <c r="AQ675" s="22"/>
      <c r="AR675" s="22"/>
      <c r="AS675" s="21"/>
      <c r="AT675" s="21"/>
      <c r="AU675" s="21"/>
      <c r="AV675" s="21"/>
      <c r="AW675" s="21"/>
      <c r="AX675" s="21"/>
      <c r="AY675" s="21"/>
      <c r="AZ675" s="21"/>
      <c r="BA675" s="21"/>
      <c r="BB675" s="21"/>
      <c r="BC675" s="21"/>
      <c r="BD675" s="21"/>
      <c r="BE675" s="21"/>
      <c r="BF675" s="21"/>
      <c r="BG675" s="21"/>
      <c r="BH675" s="21"/>
      <c r="BI675" s="21"/>
      <c r="BJ675" s="21"/>
    </row>
    <row r="676" spans="1:62" s="138" customFormat="1" ht="26.4" hidden="1" x14ac:dyDescent="0.25">
      <c r="A676" s="359" t="s">
        <v>1609</v>
      </c>
      <c r="B676" s="352">
        <v>8</v>
      </c>
      <c r="C676" s="49">
        <v>3</v>
      </c>
      <c r="D676" s="382" t="s">
        <v>86</v>
      </c>
      <c r="E676" s="65"/>
      <c r="F676" s="22"/>
      <c r="G676" s="33" t="s">
        <v>1610</v>
      </c>
      <c r="H676" s="33"/>
      <c r="I676" s="33"/>
      <c r="J676" s="22"/>
      <c r="K676" s="33"/>
      <c r="L676" s="85"/>
      <c r="M676" s="85"/>
      <c r="N676" s="52">
        <v>40</v>
      </c>
      <c r="O676" s="86"/>
      <c r="P676" s="51">
        <v>12.8</v>
      </c>
      <c r="Q676" s="35">
        <f t="shared" si="67"/>
        <v>512</v>
      </c>
      <c r="R676" s="22"/>
      <c r="S676" s="35"/>
      <c r="T676" s="35"/>
      <c r="U676" s="22"/>
      <c r="V676" s="22"/>
      <c r="W676" s="22"/>
      <c r="X676" s="22"/>
      <c r="Y676" s="22"/>
      <c r="Z676" s="29"/>
      <c r="AA676" s="29"/>
      <c r="AB676" s="29"/>
      <c r="AC676" s="29"/>
      <c r="AD676" s="29"/>
      <c r="AE676" s="29"/>
      <c r="AF676" s="22"/>
      <c r="AG676" s="29"/>
      <c r="AH676" s="145"/>
      <c r="AI676" s="22"/>
      <c r="AJ676" s="28"/>
      <c r="AK676" s="28"/>
      <c r="AL676" s="22"/>
      <c r="AM676" s="22"/>
      <c r="AN676" s="22"/>
      <c r="AO676" s="22"/>
      <c r="AP676" s="22"/>
      <c r="AQ676" s="22"/>
      <c r="AR676" s="22"/>
      <c r="AS676" s="21"/>
      <c r="AT676" s="21"/>
      <c r="AU676" s="21"/>
      <c r="AV676" s="21"/>
      <c r="AW676" s="21"/>
      <c r="AX676" s="21"/>
      <c r="AY676" s="21"/>
      <c r="AZ676" s="21"/>
      <c r="BA676" s="21"/>
      <c r="BB676" s="21"/>
      <c r="BC676" s="21"/>
      <c r="BD676" s="21"/>
      <c r="BE676" s="21"/>
      <c r="BF676" s="21"/>
      <c r="BG676" s="21"/>
      <c r="BH676" s="21"/>
      <c r="BI676" s="21"/>
      <c r="BJ676" s="21"/>
    </row>
    <row r="677" spans="1:62" hidden="1" x14ac:dyDescent="0.25">
      <c r="B677" s="357"/>
      <c r="C677" s="21"/>
      <c r="D677" s="21"/>
      <c r="G677" s="33"/>
      <c r="L677" s="54"/>
      <c r="P677" s="55"/>
      <c r="Q677" s="458"/>
      <c r="S677" s="35">
        <f>SUM(S2:S676)</f>
        <v>3295255.2199999993</v>
      </c>
      <c r="T677" s="674"/>
      <c r="U677" s="53">
        <f>SUM(U2:U676)</f>
        <v>187065.55100000001</v>
      </c>
      <c r="V677" s="22"/>
      <c r="W677" s="22"/>
      <c r="AG677" s="178"/>
      <c r="AH677" s="529">
        <f>SUM(AH2:AH652)</f>
        <v>3412374.3200000003</v>
      </c>
      <c r="AI677" s="21"/>
      <c r="AJ677" s="179">
        <f>SUM(AJ2:AJ652)</f>
        <v>0</v>
      </c>
      <c r="AK677" s="179">
        <f>SUM(AK2:AK652)</f>
        <v>0</v>
      </c>
      <c r="AL677" s="179">
        <f t="shared" ref="AL677:AN677" si="68">SUM(AL2:AL652)</f>
        <v>0</v>
      </c>
      <c r="AM677" s="179">
        <f t="shared" si="68"/>
        <v>69773.170000000013</v>
      </c>
      <c r="AN677" s="179">
        <f t="shared" si="68"/>
        <v>70936.099999999977</v>
      </c>
      <c r="AO677" s="179">
        <f>SUM(AO2:AO652)</f>
        <v>40696.11</v>
      </c>
      <c r="AP677" s="179">
        <f>SUM(AP2:AP652)</f>
        <v>0</v>
      </c>
      <c r="AQ677" s="179">
        <f>SUM(AQ2:AQ652)</f>
        <v>0</v>
      </c>
      <c r="AR677" s="179">
        <f t="shared" ref="AR677" si="69">SUM(AR2:AR652)</f>
        <v>31387</v>
      </c>
    </row>
    <row r="678" spans="1:62" hidden="1" x14ac:dyDescent="0.25">
      <c r="B678" s="357"/>
      <c r="C678" s="459"/>
      <c r="D678" s="459"/>
      <c r="G678" s="33"/>
      <c r="P678" s="55"/>
      <c r="Q678" s="54"/>
      <c r="S678" s="35"/>
      <c r="T678" s="674"/>
      <c r="U678" s="53"/>
      <c r="V678" s="22"/>
      <c r="W678" s="22"/>
      <c r="AG678" s="178"/>
      <c r="AI678" s="21"/>
    </row>
    <row r="679" spans="1:62" hidden="1" x14ac:dyDescent="0.25">
      <c r="B679" s="357"/>
      <c r="C679" s="459"/>
      <c r="D679" s="459"/>
      <c r="G679" s="33"/>
      <c r="P679" s="55"/>
      <c r="Q679" s="54"/>
      <c r="S679" s="35"/>
      <c r="T679" s="674"/>
      <c r="U679" s="53"/>
      <c r="V679" s="22"/>
      <c r="W679" s="22"/>
      <c r="AG679" s="178"/>
      <c r="AI679" s="21"/>
    </row>
    <row r="680" spans="1:62" hidden="1" x14ac:dyDescent="0.25">
      <c r="B680" s="357"/>
      <c r="C680" s="459"/>
      <c r="D680" s="459"/>
      <c r="G680" s="33"/>
      <c r="P680" s="55"/>
      <c r="Q680" s="54"/>
      <c r="S680" s="35"/>
      <c r="T680" s="674"/>
      <c r="U680" s="53"/>
      <c r="V680" s="22"/>
      <c r="W680" s="22"/>
      <c r="AG680" s="21" t="s">
        <v>1611</v>
      </c>
      <c r="AH680" s="524">
        <f>SUM(AH121+AH120+AH119+AH118+AH117+AH116+AH114+AH113+AH108+AH102+AH101+AH100+AH99+AH98+AH97+AH96+AH95+AH93+AH92+AH91+AH90+AH89+AH88+AH87+AH86+AH85+AH84+AH83+AH82+AH81+AH68+AH61+AH60+AH59+AH58+AH57+AH56+AH55+AH54+AH53+AH52+AH51+AH50+AH49+AH48+AH47+AH46+AH45+AH44+AH43+AH42+AH41+AH40+AH39+AH38+AH37+AH36+AH35+AH34+AH33+AH32+AH31+AH30+AH29+AH28+AH27+AH26+AH25+AH24+AH23+AH22+AH21+AH20+AH19+AH18+AH17+AH12+AH11+AH10+AH9+AH8+AH7+AH6+AH5)</f>
        <v>328355.25000000006</v>
      </c>
      <c r="AI680" s="21"/>
    </row>
    <row r="681" spans="1:62" hidden="1" x14ac:dyDescent="0.25">
      <c r="B681" s="357"/>
      <c r="C681" s="459"/>
      <c r="D681" s="459"/>
      <c r="G681" s="33"/>
      <c r="P681" s="55"/>
      <c r="Q681" s="54"/>
      <c r="S681" s="35"/>
      <c r="T681" s="674"/>
      <c r="U681" s="53"/>
      <c r="V681" s="22"/>
      <c r="W681" s="22"/>
      <c r="AG681" s="21" t="s">
        <v>1612</v>
      </c>
      <c r="AH681" s="524">
        <f>SUM(AH93+AH92+AH91+AH90+AH89+AH88+AH87+AH86+AH85+AH84+AH83+AH82+AH81+AH68)</f>
        <v>14528.599999999999</v>
      </c>
      <c r="AI681" s="21"/>
    </row>
    <row r="682" spans="1:62" hidden="1" x14ac:dyDescent="0.25">
      <c r="B682" s="357"/>
      <c r="C682" s="459"/>
      <c r="D682" s="459"/>
      <c r="G682" s="33"/>
      <c r="P682" s="55"/>
      <c r="Q682" s="54"/>
      <c r="S682" s="35"/>
      <c r="T682" s="674"/>
      <c r="U682" s="53"/>
      <c r="V682" s="22"/>
      <c r="W682" s="22"/>
      <c r="AG682" s="21" t="s">
        <v>1613</v>
      </c>
      <c r="AH682" s="524">
        <f>SUM(AH121+AH120+AH119+AH118+AH117+AH116+AH114+AH113+AH108+AH102+AH101+AH100+AH99+AH98+AH97+AH96+AH95+AH61+AH60+AH59+AH58+AH57+AH56+AH55+AH54+AH53+AH52+AH51+AH50+AH49+AH48+AH47+AH46+AH45+AH44+AH43+AH42+AH41+AH40+AH39+AH38+AH37+AH36+AH35+AH34+AH33+AH32+AH31+AH30+AH29+AH28+AH27+AH26+AH25+AH24+AH23+AH22+AH21+AH20+AH19+AH18+AH17+AH12+AH11+AH10+AH9+AH8+AH7+AH6+AH5)</f>
        <v>313826.64999999997</v>
      </c>
      <c r="AI682" s="21"/>
    </row>
    <row r="683" spans="1:62" hidden="1" x14ac:dyDescent="0.25">
      <c r="B683" s="357"/>
      <c r="C683" s="459"/>
      <c r="D683" s="459"/>
      <c r="G683" s="33"/>
      <c r="P683" s="55"/>
      <c r="Q683" s="54"/>
      <c r="S683" s="35"/>
      <c r="T683" s="674"/>
      <c r="U683" s="53"/>
      <c r="V683" s="22"/>
      <c r="W683" s="22"/>
      <c r="AG683" s="21" t="s">
        <v>1614</v>
      </c>
      <c r="AH683" s="539" t="s">
        <v>1615</v>
      </c>
      <c r="AI683" s="21"/>
    </row>
    <row r="684" spans="1:62" hidden="1" x14ac:dyDescent="0.25">
      <c r="B684" s="357"/>
      <c r="C684" s="459"/>
      <c r="D684" s="459"/>
      <c r="G684" s="33"/>
      <c r="P684" s="55"/>
      <c r="Q684" s="54"/>
      <c r="S684" s="35"/>
      <c r="T684" s="674"/>
      <c r="U684" s="53"/>
      <c r="V684" s="22"/>
      <c r="W684" s="22"/>
      <c r="AG684" s="21" t="s">
        <v>1616</v>
      </c>
      <c r="AH684" s="539" t="b">
        <f>AH682+AH681=AH680</f>
        <v>1</v>
      </c>
      <c r="AI684" s="21"/>
    </row>
    <row r="685" spans="1:62" hidden="1" x14ac:dyDescent="0.25">
      <c r="B685" s="357"/>
      <c r="C685" s="459"/>
      <c r="D685" s="459"/>
      <c r="G685" s="33"/>
      <c r="P685" s="55"/>
      <c r="Q685" s="54"/>
      <c r="S685" s="35"/>
      <c r="T685" s="674"/>
      <c r="U685" s="53"/>
      <c r="V685" s="22"/>
      <c r="W685" s="22"/>
      <c r="AG685" s="178"/>
      <c r="AI685" s="21"/>
    </row>
    <row r="686" spans="1:62" hidden="1" x14ac:dyDescent="0.25">
      <c r="B686" s="357"/>
      <c r="C686" s="459"/>
      <c r="D686" s="459"/>
      <c r="G686" s="33"/>
      <c r="P686" s="55"/>
      <c r="Q686" s="54"/>
      <c r="S686" s="35"/>
      <c r="T686" s="674"/>
      <c r="U686" s="53"/>
      <c r="V686" s="22"/>
      <c r="W686" s="22"/>
      <c r="AG686" s="178"/>
      <c r="AI686" s="21"/>
    </row>
    <row r="687" spans="1:62" hidden="1" x14ac:dyDescent="0.25">
      <c r="B687" s="357"/>
      <c r="C687" s="459"/>
      <c r="D687" s="459"/>
      <c r="G687" s="33"/>
      <c r="P687" s="55"/>
      <c r="Q687" s="54"/>
      <c r="S687" s="35"/>
      <c r="T687" s="674"/>
      <c r="U687" s="53"/>
      <c r="V687" s="22"/>
      <c r="W687" s="22"/>
      <c r="AG687" s="178"/>
      <c r="AI687" s="21"/>
    </row>
    <row r="688" spans="1:62" hidden="1" x14ac:dyDescent="0.25">
      <c r="B688" s="357"/>
      <c r="C688" s="459"/>
      <c r="D688" s="459"/>
      <c r="G688" s="33"/>
      <c r="P688" s="55"/>
      <c r="Q688" s="54"/>
      <c r="S688" s="35"/>
      <c r="T688" s="674"/>
      <c r="U688" s="53"/>
      <c r="V688" s="22"/>
      <c r="W688" s="22"/>
      <c r="AG688" s="178"/>
      <c r="AI688" s="21"/>
    </row>
    <row r="689" spans="2:35" hidden="1" x14ac:dyDescent="0.25">
      <c r="B689" s="357"/>
      <c r="C689" s="459"/>
      <c r="D689" s="459"/>
      <c r="G689" s="33"/>
      <c r="P689" s="55"/>
      <c r="Q689" s="54"/>
      <c r="S689" s="35"/>
      <c r="T689" s="674"/>
      <c r="U689" s="53"/>
      <c r="V689" s="22"/>
      <c r="W689" s="22"/>
      <c r="AG689" s="178"/>
      <c r="AI689" s="21"/>
    </row>
    <row r="690" spans="2:35" hidden="1" x14ac:dyDescent="0.25">
      <c r="B690" s="357"/>
      <c r="C690" s="459"/>
      <c r="D690" s="459"/>
      <c r="G690" s="33"/>
      <c r="P690" s="55"/>
      <c r="Q690" s="54"/>
      <c r="S690" s="35"/>
      <c r="T690" s="674"/>
      <c r="U690" s="53"/>
      <c r="V690" s="22"/>
      <c r="W690" s="22"/>
      <c r="AG690" s="178"/>
      <c r="AI690" s="21"/>
    </row>
    <row r="691" spans="2:35" hidden="1" x14ac:dyDescent="0.25">
      <c r="B691" s="357"/>
      <c r="C691" s="459"/>
      <c r="D691" s="459"/>
      <c r="G691" s="33"/>
      <c r="P691" s="55"/>
      <c r="Q691" s="54"/>
      <c r="S691" s="35"/>
      <c r="T691" s="674"/>
      <c r="U691" s="53"/>
      <c r="V691" s="22"/>
      <c r="W691" s="22"/>
      <c r="AG691" s="178"/>
      <c r="AI691" s="21"/>
    </row>
    <row r="692" spans="2:35" hidden="1" x14ac:dyDescent="0.25">
      <c r="B692" s="357"/>
      <c r="C692" s="459"/>
      <c r="D692" s="459"/>
      <c r="G692" s="33"/>
      <c r="P692" s="55"/>
      <c r="Q692" s="54"/>
      <c r="S692" s="35"/>
      <c r="T692" s="674"/>
      <c r="U692" s="53"/>
      <c r="V692" s="22"/>
      <c r="W692" s="22"/>
      <c r="AG692" s="178"/>
      <c r="AI692" s="21"/>
    </row>
    <row r="693" spans="2:35" hidden="1" x14ac:dyDescent="0.25">
      <c r="B693" s="357"/>
      <c r="C693" s="459"/>
      <c r="D693" s="459"/>
      <c r="G693" s="33"/>
      <c r="P693" s="55"/>
      <c r="Q693" s="54"/>
      <c r="S693" s="35"/>
      <c r="T693" s="674"/>
      <c r="U693" s="53"/>
      <c r="V693" s="22"/>
      <c r="W693" s="22"/>
      <c r="AG693" s="178"/>
      <c r="AI693" s="21"/>
    </row>
    <row r="694" spans="2:35" hidden="1" x14ac:dyDescent="0.25">
      <c r="B694" s="357"/>
      <c r="C694" s="459"/>
      <c r="D694" s="459"/>
      <c r="G694" s="33"/>
      <c r="P694" s="55"/>
      <c r="Q694" s="54"/>
      <c r="S694" s="35"/>
      <c r="T694" s="674"/>
      <c r="U694" s="53"/>
      <c r="V694" s="22"/>
      <c r="W694" s="22"/>
      <c r="AG694" s="178"/>
      <c r="AI694" s="21"/>
    </row>
    <row r="695" spans="2:35" hidden="1" x14ac:dyDescent="0.25">
      <c r="B695" s="357"/>
      <c r="C695" s="459"/>
      <c r="D695" s="459"/>
      <c r="G695" s="33"/>
      <c r="P695" s="55"/>
      <c r="Q695" s="54"/>
      <c r="S695" s="35"/>
      <c r="T695" s="674"/>
      <c r="U695" s="53"/>
      <c r="V695" s="22"/>
      <c r="W695" s="22"/>
      <c r="AG695" s="178"/>
      <c r="AI695" s="21"/>
    </row>
    <row r="696" spans="2:35" hidden="1" x14ac:dyDescent="0.25">
      <c r="B696" s="357"/>
      <c r="C696" s="459"/>
      <c r="D696" s="459"/>
      <c r="G696" s="33"/>
      <c r="P696" s="55"/>
      <c r="Q696" s="54"/>
      <c r="S696" s="35"/>
      <c r="T696" s="674"/>
      <c r="U696" s="53"/>
      <c r="V696" s="22"/>
      <c r="W696" s="22"/>
      <c r="AG696" s="178"/>
      <c r="AI696" s="21"/>
    </row>
    <row r="697" spans="2:35" hidden="1" x14ac:dyDescent="0.25">
      <c r="B697" s="357"/>
      <c r="C697" s="459"/>
      <c r="D697" s="459"/>
      <c r="G697" s="33"/>
      <c r="P697" s="55"/>
      <c r="Q697" s="54"/>
      <c r="S697" s="35"/>
      <c r="T697" s="674"/>
      <c r="U697" s="53"/>
      <c r="V697" s="22"/>
      <c r="W697" s="22"/>
      <c r="AG697" s="178"/>
      <c r="AI697" s="21"/>
    </row>
    <row r="698" spans="2:35" hidden="1" x14ac:dyDescent="0.25">
      <c r="B698" s="357"/>
      <c r="C698" s="459"/>
      <c r="D698" s="459"/>
      <c r="G698" s="33"/>
      <c r="P698" s="55"/>
      <c r="Q698" s="54"/>
      <c r="S698" s="35"/>
      <c r="T698" s="674"/>
      <c r="U698" s="53"/>
      <c r="V698" s="22"/>
      <c r="W698" s="22"/>
      <c r="AG698" s="178"/>
      <c r="AI698" s="21"/>
    </row>
    <row r="699" spans="2:35" hidden="1" x14ac:dyDescent="0.25">
      <c r="B699" s="357"/>
      <c r="C699" s="459"/>
      <c r="D699" s="459"/>
      <c r="G699" s="33"/>
      <c r="P699" s="55"/>
      <c r="Q699" s="54"/>
      <c r="S699" s="35"/>
      <c r="T699" s="674"/>
      <c r="U699" s="53"/>
      <c r="V699" s="22"/>
      <c r="W699" s="22"/>
      <c r="AG699" s="178"/>
      <c r="AI699" s="21"/>
    </row>
    <row r="700" spans="2:35" hidden="1" x14ac:dyDescent="0.25">
      <c r="B700" s="357"/>
      <c r="C700" s="459"/>
      <c r="D700" s="459"/>
      <c r="G700" s="33"/>
      <c r="P700" s="55"/>
      <c r="Q700" s="54"/>
      <c r="S700" s="35"/>
      <c r="T700" s="674"/>
      <c r="U700" s="53"/>
      <c r="V700" s="22"/>
      <c r="W700" s="22"/>
      <c r="AG700" s="178"/>
      <c r="AI700" s="21"/>
    </row>
    <row r="701" spans="2:35" hidden="1" x14ac:dyDescent="0.25">
      <c r="B701" s="357"/>
      <c r="C701" s="459"/>
      <c r="D701" s="459"/>
      <c r="G701" s="33"/>
      <c r="P701" s="55"/>
      <c r="Q701" s="54"/>
      <c r="S701" s="35"/>
      <c r="T701" s="674"/>
      <c r="U701" s="53"/>
      <c r="V701" s="22"/>
      <c r="W701" s="22"/>
      <c r="AG701" s="178"/>
      <c r="AI701" s="21"/>
    </row>
    <row r="702" spans="2:35" hidden="1" x14ac:dyDescent="0.25">
      <c r="B702" s="357"/>
      <c r="C702" s="459"/>
      <c r="D702" s="459"/>
      <c r="G702" s="33"/>
      <c r="P702" s="55"/>
      <c r="Q702" s="54"/>
      <c r="S702" s="35"/>
      <c r="T702" s="674"/>
      <c r="U702" s="53"/>
      <c r="V702" s="22"/>
      <c r="W702" s="22"/>
      <c r="AG702" s="178"/>
      <c r="AI702" s="21"/>
    </row>
    <row r="703" spans="2:35" hidden="1" x14ac:dyDescent="0.25">
      <c r="B703" s="357"/>
      <c r="C703" s="459"/>
      <c r="D703" s="459"/>
      <c r="G703" s="33"/>
      <c r="P703" s="55"/>
      <c r="Q703" s="54"/>
      <c r="S703" s="35"/>
      <c r="T703" s="674"/>
      <c r="U703" s="53"/>
      <c r="V703" s="22"/>
      <c r="W703" s="22"/>
      <c r="AG703" s="178"/>
      <c r="AI703" s="21"/>
    </row>
    <row r="704" spans="2:35" hidden="1" x14ac:dyDescent="0.25">
      <c r="B704" s="357"/>
      <c r="C704" s="459"/>
      <c r="D704" s="459"/>
      <c r="G704" s="33"/>
      <c r="P704" s="55"/>
      <c r="Q704" s="54"/>
      <c r="S704" s="35"/>
      <c r="T704" s="674"/>
      <c r="U704" s="53"/>
      <c r="V704" s="22"/>
      <c r="W704" s="22"/>
      <c r="AG704" s="178"/>
      <c r="AI704" s="21"/>
    </row>
    <row r="705" spans="2:35" hidden="1" x14ac:dyDescent="0.25">
      <c r="B705" s="357"/>
      <c r="C705" s="459"/>
      <c r="D705" s="459"/>
      <c r="G705" s="33"/>
      <c r="P705" s="55"/>
      <c r="Q705" s="54"/>
      <c r="S705" s="35"/>
      <c r="T705" s="674"/>
      <c r="U705" s="53"/>
      <c r="V705" s="22"/>
      <c r="W705" s="22"/>
      <c r="AG705" s="178"/>
      <c r="AI705" s="21"/>
    </row>
    <row r="706" spans="2:35" hidden="1" x14ac:dyDescent="0.25">
      <c r="B706" s="357"/>
      <c r="C706" s="459"/>
      <c r="D706" s="459"/>
      <c r="G706" s="33"/>
      <c r="P706" s="55"/>
      <c r="Q706" s="54"/>
      <c r="S706" s="35"/>
      <c r="T706" s="674"/>
      <c r="U706" s="53"/>
      <c r="V706" s="22"/>
      <c r="W706" s="22"/>
      <c r="AG706" s="178"/>
      <c r="AI706" s="21"/>
    </row>
    <row r="707" spans="2:35" hidden="1" x14ac:dyDescent="0.25">
      <c r="B707" s="357"/>
      <c r="C707" s="459"/>
      <c r="D707" s="459"/>
      <c r="G707" s="33"/>
      <c r="P707" s="55"/>
      <c r="Q707" s="54"/>
      <c r="S707" s="35"/>
      <c r="T707" s="674"/>
      <c r="U707" s="53"/>
      <c r="V707" s="22"/>
      <c r="W707" s="22"/>
      <c r="AG707" s="178"/>
      <c r="AI707" s="21"/>
    </row>
    <row r="708" spans="2:35" hidden="1" x14ac:dyDescent="0.25">
      <c r="B708" s="357"/>
      <c r="C708" s="459"/>
      <c r="D708" s="459"/>
      <c r="G708" s="33"/>
      <c r="P708" s="55"/>
      <c r="Q708" s="54"/>
      <c r="S708" s="35"/>
      <c r="T708" s="674"/>
      <c r="U708" s="53"/>
      <c r="V708" s="22"/>
      <c r="W708" s="22"/>
      <c r="AG708" s="178"/>
      <c r="AI708" s="21"/>
    </row>
    <row r="709" spans="2:35" hidden="1" x14ac:dyDescent="0.25">
      <c r="B709" s="357"/>
      <c r="C709" s="459"/>
      <c r="D709" s="459"/>
      <c r="G709" s="33"/>
      <c r="P709" s="55"/>
      <c r="Q709" s="54"/>
      <c r="S709" s="35"/>
      <c r="T709" s="674"/>
      <c r="U709" s="53"/>
      <c r="V709" s="22"/>
      <c r="W709" s="22"/>
      <c r="AG709" s="178"/>
      <c r="AI709" s="21"/>
    </row>
    <row r="710" spans="2:35" hidden="1" x14ac:dyDescent="0.25">
      <c r="B710" s="357"/>
      <c r="C710" s="459"/>
      <c r="D710" s="459"/>
      <c r="G710" s="33"/>
      <c r="P710" s="55"/>
      <c r="Q710" s="54"/>
      <c r="S710" s="35"/>
      <c r="T710" s="674"/>
      <c r="U710" s="53"/>
      <c r="V710" s="22"/>
      <c r="W710" s="22"/>
      <c r="AG710" s="178"/>
      <c r="AI710" s="21"/>
    </row>
    <row r="711" spans="2:35" hidden="1" x14ac:dyDescent="0.25">
      <c r="B711" s="357"/>
      <c r="C711" s="459"/>
      <c r="D711" s="459"/>
      <c r="G711" s="33"/>
      <c r="P711" s="55"/>
      <c r="Q711" s="54"/>
      <c r="S711" s="35"/>
      <c r="T711" s="674"/>
      <c r="U711" s="53"/>
      <c r="V711" s="22"/>
      <c r="W711" s="22"/>
      <c r="AG711" s="178"/>
      <c r="AI711" s="21"/>
    </row>
    <row r="712" spans="2:35" hidden="1" x14ac:dyDescent="0.25">
      <c r="B712" s="357"/>
      <c r="C712" s="459"/>
      <c r="D712" s="459"/>
      <c r="G712" s="33"/>
      <c r="P712" s="55"/>
      <c r="Q712" s="54"/>
      <c r="S712" s="35"/>
      <c r="T712" s="674"/>
      <c r="U712" s="53"/>
      <c r="V712" s="22"/>
      <c r="W712" s="22"/>
      <c r="AG712" s="178"/>
      <c r="AI712" s="21"/>
    </row>
    <row r="713" spans="2:35" hidden="1" x14ac:dyDescent="0.25">
      <c r="B713" s="357"/>
      <c r="C713" s="459"/>
      <c r="D713" s="459"/>
      <c r="G713" s="33"/>
      <c r="P713" s="55"/>
      <c r="Q713" s="54"/>
      <c r="S713" s="35"/>
      <c r="T713" s="674"/>
      <c r="U713" s="53"/>
      <c r="V713" s="22"/>
      <c r="W713" s="22"/>
      <c r="AG713" s="178"/>
      <c r="AI713" s="21"/>
    </row>
    <row r="714" spans="2:35" hidden="1" x14ac:dyDescent="0.25">
      <c r="B714" s="357"/>
      <c r="C714" s="459"/>
      <c r="D714" s="459"/>
      <c r="G714" s="33"/>
      <c r="P714" s="55"/>
      <c r="Q714" s="54"/>
      <c r="S714" s="35"/>
      <c r="T714" s="674"/>
      <c r="U714" s="53"/>
      <c r="V714" s="22"/>
      <c r="W714" s="22"/>
      <c r="AG714" s="178"/>
      <c r="AI714" s="21"/>
    </row>
    <row r="715" spans="2:35" hidden="1" x14ac:dyDescent="0.25">
      <c r="C715" s="21"/>
      <c r="D715" s="21"/>
      <c r="G715" s="33"/>
      <c r="P715" s="55"/>
      <c r="Q715" s="54"/>
      <c r="S715" s="35"/>
      <c r="T715" s="674"/>
      <c r="U715" s="53"/>
      <c r="V715" s="22"/>
      <c r="W715" s="22"/>
      <c r="AG715" s="178"/>
      <c r="AI715" s="21"/>
    </row>
    <row r="716" spans="2:35" hidden="1" x14ac:dyDescent="0.25">
      <c r="C716" s="21"/>
      <c r="D716" s="21"/>
      <c r="G716" s="33"/>
      <c r="P716" s="55"/>
      <c r="Q716" s="54"/>
      <c r="S716" s="35"/>
      <c r="T716" s="674"/>
      <c r="U716" s="53"/>
      <c r="V716" s="22"/>
      <c r="W716" s="22"/>
      <c r="AG716" s="178"/>
      <c r="AI716" s="21"/>
    </row>
    <row r="717" spans="2:35" hidden="1" x14ac:dyDescent="0.25">
      <c r="C717" s="21"/>
      <c r="D717" s="21"/>
      <c r="G717" s="33"/>
      <c r="P717" s="55"/>
      <c r="Q717" s="54"/>
      <c r="S717" s="35"/>
      <c r="T717" s="674"/>
      <c r="U717" s="53"/>
      <c r="V717" s="22"/>
      <c r="W717" s="22"/>
      <c r="AG717" s="178"/>
      <c r="AI717" s="21"/>
    </row>
    <row r="718" spans="2:35" hidden="1" x14ac:dyDescent="0.25">
      <c r="C718" s="21"/>
      <c r="D718" s="21"/>
      <c r="G718" s="33"/>
      <c r="P718" s="55"/>
      <c r="Q718" s="54"/>
      <c r="S718" s="35"/>
      <c r="T718" s="674"/>
      <c r="U718" s="53"/>
      <c r="V718" s="22"/>
      <c r="W718" s="22"/>
      <c r="AG718" s="178"/>
      <c r="AI718" s="21"/>
    </row>
    <row r="719" spans="2:35" hidden="1" x14ac:dyDescent="0.25">
      <c r="C719" s="21"/>
      <c r="D719" s="21"/>
      <c r="G719" s="33"/>
      <c r="P719" s="55"/>
      <c r="Q719" s="54"/>
      <c r="S719" s="35"/>
      <c r="T719" s="674"/>
      <c r="U719" s="53"/>
      <c r="V719" s="22"/>
      <c r="W719" s="22"/>
      <c r="AG719" s="178"/>
      <c r="AI719" s="21"/>
    </row>
    <row r="720" spans="2:35" hidden="1" x14ac:dyDescent="0.25">
      <c r="C720" s="21"/>
      <c r="D720" s="21"/>
      <c r="G720" s="33"/>
      <c r="P720" s="55"/>
      <c r="Q720" s="54"/>
      <c r="S720" s="35"/>
      <c r="T720" s="674"/>
      <c r="U720" s="53"/>
      <c r="V720" s="22"/>
      <c r="W720" s="22"/>
      <c r="AG720" s="178"/>
      <c r="AI720" s="21"/>
    </row>
    <row r="721" spans="3:35" hidden="1" x14ac:dyDescent="0.25">
      <c r="C721" s="21"/>
      <c r="D721" s="21"/>
      <c r="G721" s="33"/>
      <c r="P721" s="55"/>
      <c r="Q721" s="54"/>
      <c r="S721" s="35"/>
      <c r="T721" s="674"/>
      <c r="U721" s="53"/>
      <c r="V721" s="22"/>
      <c r="W721" s="22"/>
      <c r="AG721" s="178"/>
      <c r="AI721" s="21"/>
    </row>
    <row r="722" spans="3:35" hidden="1" x14ac:dyDescent="0.25">
      <c r="C722" s="21"/>
      <c r="D722" s="21"/>
      <c r="G722" s="33"/>
      <c r="P722" s="55"/>
      <c r="Q722" s="54"/>
      <c r="S722" s="35"/>
      <c r="T722" s="674"/>
      <c r="U722" s="53"/>
      <c r="V722" s="22"/>
      <c r="W722" s="22"/>
      <c r="AG722" s="178"/>
      <c r="AI722" s="21"/>
    </row>
    <row r="723" spans="3:35" hidden="1" x14ac:dyDescent="0.25">
      <c r="C723" s="21"/>
      <c r="D723" s="21"/>
      <c r="G723" s="33"/>
      <c r="P723" s="55"/>
      <c r="Q723" s="54"/>
      <c r="S723" s="35"/>
      <c r="T723" s="674"/>
      <c r="U723" s="53"/>
      <c r="V723" s="22"/>
      <c r="W723" s="22"/>
      <c r="AG723" s="178"/>
      <c r="AI723" s="21"/>
    </row>
    <row r="724" spans="3:35" hidden="1" x14ac:dyDescent="0.25">
      <c r="C724" s="21"/>
      <c r="D724" s="21"/>
      <c r="G724" s="33"/>
      <c r="P724" s="55"/>
      <c r="Q724" s="54"/>
      <c r="S724" s="35"/>
      <c r="T724" s="674"/>
      <c r="U724" s="53"/>
      <c r="V724" s="22"/>
      <c r="W724" s="22"/>
      <c r="AG724" s="178"/>
      <c r="AI724" s="21"/>
    </row>
    <row r="725" spans="3:35" hidden="1" x14ac:dyDescent="0.25">
      <c r="C725" s="21"/>
      <c r="D725" s="21"/>
      <c r="G725" s="33"/>
      <c r="P725" s="55"/>
      <c r="Q725" s="54"/>
      <c r="S725" s="35"/>
      <c r="T725" s="674"/>
      <c r="U725" s="53"/>
      <c r="V725" s="22"/>
      <c r="W725" s="22"/>
      <c r="AG725" s="178"/>
      <c r="AI725" s="21"/>
    </row>
    <row r="726" spans="3:35" hidden="1" x14ac:dyDescent="0.25">
      <c r="C726" s="21"/>
      <c r="D726" s="21"/>
      <c r="G726" s="33"/>
      <c r="P726" s="55"/>
      <c r="Q726" s="54"/>
      <c r="S726" s="35"/>
      <c r="T726" s="674"/>
      <c r="U726" s="53"/>
      <c r="V726" s="22"/>
      <c r="W726" s="22"/>
      <c r="AG726" s="178"/>
      <c r="AI726" s="21"/>
    </row>
    <row r="727" spans="3:35" hidden="1" x14ac:dyDescent="0.25">
      <c r="C727" s="21"/>
      <c r="D727" s="21"/>
      <c r="G727" s="33"/>
      <c r="P727" s="55"/>
      <c r="Q727" s="54"/>
      <c r="S727" s="35"/>
      <c r="T727" s="674"/>
      <c r="U727" s="53"/>
      <c r="V727" s="22"/>
      <c r="W727" s="22"/>
      <c r="AG727" s="178"/>
      <c r="AI727" s="21"/>
    </row>
    <row r="728" spans="3:35" hidden="1" x14ac:dyDescent="0.25">
      <c r="C728" s="21"/>
      <c r="D728" s="21"/>
      <c r="G728" s="33"/>
      <c r="P728" s="55"/>
      <c r="Q728" s="54"/>
      <c r="S728" s="35"/>
      <c r="T728" s="674"/>
      <c r="U728" s="53"/>
      <c r="V728" s="22"/>
      <c r="W728" s="22"/>
      <c r="AG728" s="178"/>
      <c r="AI728" s="21"/>
    </row>
    <row r="729" spans="3:35" hidden="1" x14ac:dyDescent="0.25">
      <c r="C729" s="21"/>
      <c r="D729" s="21"/>
      <c r="G729" s="33"/>
      <c r="P729" s="55"/>
      <c r="Q729" s="54"/>
      <c r="S729" s="35"/>
      <c r="T729" s="674"/>
      <c r="U729" s="53"/>
      <c r="V729" s="22"/>
      <c r="W729" s="22"/>
      <c r="AG729" s="178"/>
      <c r="AI729" s="21"/>
    </row>
    <row r="730" spans="3:35" hidden="1" x14ac:dyDescent="0.25">
      <c r="C730" s="21"/>
      <c r="D730" s="21"/>
      <c r="G730" s="33"/>
      <c r="P730" s="55"/>
      <c r="Q730" s="54"/>
      <c r="S730" s="35"/>
      <c r="T730" s="674"/>
      <c r="U730" s="53"/>
      <c r="V730" s="22"/>
      <c r="W730" s="22"/>
      <c r="AG730" s="178"/>
      <c r="AI730" s="21"/>
    </row>
    <row r="731" spans="3:35" hidden="1" x14ac:dyDescent="0.25">
      <c r="C731" s="21"/>
      <c r="D731" s="21"/>
      <c r="G731" s="33"/>
      <c r="P731" s="55"/>
      <c r="Q731" s="54"/>
      <c r="S731" s="35"/>
      <c r="T731" s="674"/>
      <c r="U731" s="53"/>
      <c r="V731" s="22"/>
      <c r="W731" s="22"/>
      <c r="AG731" s="178"/>
      <c r="AI731" s="21"/>
    </row>
    <row r="732" spans="3:35" hidden="1" x14ac:dyDescent="0.25">
      <c r="C732" s="21"/>
      <c r="D732" s="21"/>
      <c r="G732" s="33"/>
      <c r="P732" s="55"/>
      <c r="Q732" s="54"/>
      <c r="S732" s="35"/>
      <c r="T732" s="674"/>
      <c r="U732" s="53"/>
      <c r="V732" s="22"/>
      <c r="W732" s="22"/>
      <c r="AG732" s="178"/>
      <c r="AI732" s="21"/>
    </row>
    <row r="733" spans="3:35" hidden="1" x14ac:dyDescent="0.25">
      <c r="C733" s="21"/>
      <c r="D733" s="21"/>
      <c r="G733" s="33"/>
      <c r="P733" s="55"/>
      <c r="Q733" s="54"/>
      <c r="S733" s="35"/>
      <c r="T733" s="674"/>
      <c r="U733" s="53"/>
      <c r="V733" s="22"/>
      <c r="W733" s="22"/>
      <c r="AG733" s="178"/>
      <c r="AI733" s="21"/>
    </row>
    <row r="734" spans="3:35" hidden="1" x14ac:dyDescent="0.25">
      <c r="C734" s="21"/>
      <c r="D734" s="21"/>
      <c r="G734" s="33"/>
      <c r="P734" s="55"/>
      <c r="Q734" s="54"/>
      <c r="S734" s="35"/>
      <c r="T734" s="674"/>
      <c r="U734" s="53"/>
      <c r="V734" s="22"/>
      <c r="W734" s="22"/>
      <c r="AG734" s="178"/>
      <c r="AI734" s="21"/>
    </row>
    <row r="735" spans="3:35" hidden="1" x14ac:dyDescent="0.25">
      <c r="C735" s="21"/>
      <c r="D735" s="21"/>
      <c r="G735" s="33"/>
      <c r="P735" s="55"/>
      <c r="Q735" s="54"/>
      <c r="S735" s="35"/>
      <c r="T735" s="674"/>
      <c r="U735" s="53"/>
      <c r="V735" s="22"/>
      <c r="W735" s="22"/>
      <c r="AG735" s="178"/>
      <c r="AI735" s="21"/>
    </row>
    <row r="736" spans="3:35" hidden="1" x14ac:dyDescent="0.25">
      <c r="C736" s="21"/>
      <c r="D736" s="21"/>
      <c r="G736" s="33"/>
      <c r="P736" s="55"/>
      <c r="Q736" s="54"/>
      <c r="S736" s="35"/>
      <c r="T736" s="674"/>
      <c r="U736" s="53"/>
      <c r="V736" s="22"/>
      <c r="W736" s="22"/>
      <c r="AG736" s="178"/>
      <c r="AI736" s="21"/>
    </row>
    <row r="737" spans="3:35" hidden="1" x14ac:dyDescent="0.25">
      <c r="C737" s="21"/>
      <c r="D737" s="21"/>
      <c r="G737" s="33"/>
      <c r="P737" s="55"/>
      <c r="Q737" s="54"/>
      <c r="S737" s="35"/>
      <c r="T737" s="674"/>
      <c r="U737" s="53"/>
      <c r="V737" s="22"/>
      <c r="W737" s="22"/>
      <c r="AG737" s="178"/>
      <c r="AI737" s="21"/>
    </row>
    <row r="738" spans="3:35" hidden="1" x14ac:dyDescent="0.25">
      <c r="C738" s="21"/>
      <c r="D738" s="21"/>
      <c r="G738" s="33"/>
      <c r="P738" s="55"/>
      <c r="Q738" s="54"/>
      <c r="S738" s="35"/>
      <c r="T738" s="674"/>
      <c r="U738" s="53"/>
      <c r="V738" s="22"/>
      <c r="W738" s="22"/>
      <c r="AG738" s="178"/>
      <c r="AI738" s="21"/>
    </row>
    <row r="739" spans="3:35" hidden="1" x14ac:dyDescent="0.25">
      <c r="C739" s="21"/>
      <c r="D739" s="21"/>
      <c r="G739" s="33"/>
      <c r="P739" s="55"/>
      <c r="Q739" s="54"/>
      <c r="S739" s="35"/>
      <c r="T739" s="674"/>
      <c r="U739" s="53"/>
      <c r="V739" s="22"/>
      <c r="W739" s="22"/>
      <c r="AG739" s="178"/>
      <c r="AI739" s="21"/>
    </row>
    <row r="740" spans="3:35" hidden="1" x14ac:dyDescent="0.25">
      <c r="C740" s="21"/>
      <c r="D740" s="21"/>
      <c r="G740" s="33"/>
      <c r="P740" s="55"/>
      <c r="Q740" s="54"/>
      <c r="S740" s="35"/>
      <c r="T740" s="674"/>
      <c r="U740" s="53"/>
      <c r="V740" s="22"/>
      <c r="W740" s="22"/>
      <c r="AG740" s="178"/>
      <c r="AI740" s="21"/>
    </row>
    <row r="741" spans="3:35" hidden="1" x14ac:dyDescent="0.25">
      <c r="C741" s="21"/>
      <c r="D741" s="21"/>
      <c r="G741" s="33"/>
      <c r="P741" s="55"/>
      <c r="Q741" s="54"/>
      <c r="S741" s="35"/>
      <c r="T741" s="674"/>
      <c r="U741" s="53"/>
      <c r="V741" s="22"/>
      <c r="W741" s="22"/>
      <c r="AG741" s="178"/>
      <c r="AI741" s="21"/>
    </row>
    <row r="742" spans="3:35" hidden="1" x14ac:dyDescent="0.25">
      <c r="C742" s="21"/>
      <c r="D742" s="21"/>
      <c r="G742" s="33"/>
      <c r="P742" s="55"/>
      <c r="Q742" s="54"/>
      <c r="S742" s="35"/>
      <c r="T742" s="674"/>
      <c r="U742" s="53"/>
      <c r="V742" s="22"/>
      <c r="W742" s="22"/>
      <c r="AG742" s="178"/>
      <c r="AI742" s="21"/>
    </row>
    <row r="743" spans="3:35" hidden="1" x14ac:dyDescent="0.25">
      <c r="C743" s="21"/>
      <c r="D743" s="21"/>
      <c r="G743" s="33"/>
      <c r="P743" s="55"/>
      <c r="Q743" s="54"/>
      <c r="S743" s="35"/>
      <c r="T743" s="674"/>
      <c r="U743" s="53"/>
      <c r="V743" s="22"/>
      <c r="W743" s="22"/>
      <c r="AG743" s="178"/>
      <c r="AI743" s="21"/>
    </row>
    <row r="744" spans="3:35" hidden="1" x14ac:dyDescent="0.25">
      <c r="C744" s="21"/>
      <c r="D744" s="21"/>
      <c r="G744" s="33"/>
      <c r="P744" s="55"/>
      <c r="Q744" s="54"/>
      <c r="S744" s="35"/>
      <c r="T744" s="674"/>
      <c r="U744" s="53"/>
      <c r="V744" s="22"/>
      <c r="W744" s="22"/>
      <c r="AG744" s="178"/>
      <c r="AI744" s="21"/>
    </row>
    <row r="745" spans="3:35" hidden="1" x14ac:dyDescent="0.25">
      <c r="C745" s="21"/>
      <c r="D745" s="21"/>
      <c r="G745" s="33"/>
      <c r="P745" s="55"/>
      <c r="Q745" s="54"/>
      <c r="S745" s="35"/>
      <c r="T745" s="674"/>
      <c r="U745" s="53"/>
      <c r="V745" s="22"/>
      <c r="W745" s="22"/>
      <c r="AG745" s="178"/>
      <c r="AI745" s="21"/>
    </row>
    <row r="746" spans="3:35" hidden="1" x14ac:dyDescent="0.25">
      <c r="C746" s="21"/>
      <c r="D746" s="21"/>
      <c r="G746" s="33"/>
      <c r="P746" s="55"/>
      <c r="Q746" s="54"/>
      <c r="S746" s="35"/>
      <c r="T746" s="674"/>
      <c r="U746" s="53"/>
      <c r="V746" s="22"/>
      <c r="W746" s="22"/>
      <c r="AG746" s="178"/>
      <c r="AI746" s="21"/>
    </row>
    <row r="747" spans="3:35" hidden="1" x14ac:dyDescent="0.25">
      <c r="C747" s="21"/>
      <c r="D747" s="21"/>
      <c r="G747" s="33"/>
      <c r="P747" s="55"/>
      <c r="Q747" s="54"/>
      <c r="S747" s="35"/>
      <c r="T747" s="674"/>
      <c r="U747" s="53"/>
      <c r="V747" s="22"/>
      <c r="W747" s="22"/>
      <c r="AG747" s="178"/>
      <c r="AI747" s="21"/>
    </row>
    <row r="748" spans="3:35" hidden="1" x14ac:dyDescent="0.25">
      <c r="C748" s="21"/>
      <c r="D748" s="21"/>
      <c r="G748" s="33"/>
      <c r="P748" s="55"/>
      <c r="Q748" s="54"/>
      <c r="S748" s="35"/>
      <c r="T748" s="674"/>
      <c r="U748" s="53"/>
      <c r="V748" s="22"/>
      <c r="W748" s="22"/>
      <c r="AG748" s="178"/>
      <c r="AI748" s="21"/>
    </row>
    <row r="749" spans="3:35" hidden="1" x14ac:dyDescent="0.25">
      <c r="C749" s="21"/>
      <c r="D749" s="21"/>
      <c r="G749" s="33"/>
      <c r="P749" s="55"/>
      <c r="Q749" s="54"/>
      <c r="S749" s="35"/>
      <c r="T749" s="674"/>
      <c r="U749" s="53"/>
      <c r="V749" s="22"/>
      <c r="W749" s="22"/>
      <c r="AG749" s="178"/>
      <c r="AI749" s="21"/>
    </row>
    <row r="750" spans="3:35" hidden="1" x14ac:dyDescent="0.25">
      <c r="C750" s="21"/>
      <c r="D750" s="21"/>
      <c r="G750" s="33"/>
      <c r="P750" s="55"/>
      <c r="Q750" s="54"/>
      <c r="S750" s="35"/>
      <c r="T750" s="674"/>
      <c r="U750" s="53"/>
      <c r="V750" s="22"/>
      <c r="W750" s="22"/>
      <c r="AG750" s="178"/>
      <c r="AI750" s="21"/>
    </row>
    <row r="751" spans="3:35" hidden="1" x14ac:dyDescent="0.25">
      <c r="C751" s="21"/>
      <c r="D751" s="21"/>
      <c r="G751" s="33"/>
      <c r="P751" s="55"/>
      <c r="Q751" s="54"/>
      <c r="S751" s="35"/>
      <c r="T751" s="674"/>
      <c r="U751" s="53"/>
      <c r="V751" s="22"/>
      <c r="W751" s="22"/>
      <c r="AG751" s="178"/>
      <c r="AI751" s="21"/>
    </row>
    <row r="752" spans="3:35" hidden="1" x14ac:dyDescent="0.25">
      <c r="C752" s="21"/>
      <c r="D752" s="21"/>
      <c r="G752" s="33"/>
      <c r="P752" s="55"/>
      <c r="Q752" s="54"/>
      <c r="S752" s="35"/>
      <c r="T752" s="674"/>
      <c r="U752" s="53"/>
      <c r="V752" s="22"/>
      <c r="W752" s="22"/>
      <c r="AG752" s="178"/>
      <c r="AI752" s="21"/>
    </row>
    <row r="753" spans="3:35" hidden="1" x14ac:dyDescent="0.25">
      <c r="C753" s="21"/>
      <c r="D753" s="21"/>
      <c r="G753" s="33"/>
      <c r="P753" s="55"/>
      <c r="Q753" s="54"/>
      <c r="S753" s="35"/>
      <c r="T753" s="674"/>
      <c r="U753" s="53"/>
      <c r="V753" s="22"/>
      <c r="W753" s="22"/>
      <c r="AG753" s="178"/>
      <c r="AI753" s="21"/>
    </row>
    <row r="754" spans="3:35" hidden="1" x14ac:dyDescent="0.25">
      <c r="C754" s="21"/>
      <c r="D754" s="21"/>
      <c r="G754" s="33"/>
      <c r="P754" s="55"/>
      <c r="Q754" s="54"/>
      <c r="S754" s="35"/>
      <c r="T754" s="674"/>
      <c r="U754" s="53"/>
      <c r="V754" s="22"/>
      <c r="W754" s="22"/>
      <c r="AG754" s="178"/>
      <c r="AI754" s="21"/>
    </row>
    <row r="755" spans="3:35" hidden="1" x14ac:dyDescent="0.25">
      <c r="C755" s="21"/>
      <c r="D755" s="21"/>
      <c r="G755" s="33"/>
      <c r="P755" s="55"/>
      <c r="Q755" s="54"/>
      <c r="S755" s="35"/>
      <c r="T755" s="674"/>
      <c r="U755" s="53"/>
      <c r="V755" s="22"/>
      <c r="W755" s="22"/>
      <c r="AG755" s="178"/>
      <c r="AI755" s="21"/>
    </row>
    <row r="756" spans="3:35" hidden="1" x14ac:dyDescent="0.25">
      <c r="C756" s="21"/>
      <c r="D756" s="21"/>
      <c r="G756" s="33"/>
      <c r="P756" s="55"/>
      <c r="Q756" s="54"/>
      <c r="S756" s="35"/>
      <c r="T756" s="674"/>
      <c r="U756" s="53"/>
      <c r="V756" s="22"/>
      <c r="W756" s="22"/>
      <c r="AG756" s="178"/>
      <c r="AI756" s="21"/>
    </row>
    <row r="757" spans="3:35" hidden="1" x14ac:dyDescent="0.25">
      <c r="C757" s="21"/>
      <c r="D757" s="21"/>
      <c r="G757" s="33"/>
      <c r="P757" s="55"/>
      <c r="Q757" s="54"/>
      <c r="S757" s="35"/>
      <c r="T757" s="674"/>
      <c r="U757" s="53"/>
      <c r="V757" s="22"/>
      <c r="W757" s="22"/>
      <c r="AG757" s="178"/>
      <c r="AI757" s="21"/>
    </row>
    <row r="758" spans="3:35" hidden="1" x14ac:dyDescent="0.25">
      <c r="C758" s="21"/>
      <c r="D758" s="21"/>
      <c r="G758" s="33"/>
      <c r="P758" s="55"/>
      <c r="Q758" s="54"/>
      <c r="S758" s="35"/>
      <c r="T758" s="674"/>
      <c r="U758" s="53"/>
      <c r="V758" s="22"/>
      <c r="W758" s="22"/>
      <c r="AG758" s="178"/>
      <c r="AI758" s="21"/>
    </row>
    <row r="759" spans="3:35" hidden="1" x14ac:dyDescent="0.25">
      <c r="C759" s="21"/>
      <c r="D759" s="21"/>
      <c r="G759" s="33"/>
      <c r="P759" s="55"/>
      <c r="Q759" s="54"/>
      <c r="S759" s="35"/>
      <c r="T759" s="674"/>
      <c r="U759" s="53"/>
      <c r="V759" s="22"/>
      <c r="W759" s="22"/>
      <c r="AG759" s="178"/>
      <c r="AI759" s="21"/>
    </row>
    <row r="760" spans="3:35" hidden="1" x14ac:dyDescent="0.25">
      <c r="C760" s="21"/>
      <c r="D760" s="21"/>
      <c r="G760" s="33"/>
      <c r="P760" s="55"/>
      <c r="Q760" s="54"/>
      <c r="S760" s="35"/>
      <c r="T760" s="674"/>
      <c r="U760" s="53"/>
      <c r="V760" s="22"/>
      <c r="W760" s="22"/>
      <c r="AG760" s="178"/>
      <c r="AI760" s="21"/>
    </row>
    <row r="761" spans="3:35" hidden="1" x14ac:dyDescent="0.25">
      <c r="C761" s="21"/>
      <c r="D761" s="21"/>
      <c r="G761" s="33"/>
      <c r="P761" s="55"/>
      <c r="Q761" s="54"/>
      <c r="S761" s="35"/>
      <c r="T761" s="674"/>
      <c r="U761" s="53"/>
      <c r="V761" s="22"/>
      <c r="W761" s="22"/>
      <c r="AG761" s="178"/>
      <c r="AI761" s="21"/>
    </row>
    <row r="762" spans="3:35" hidden="1" x14ac:dyDescent="0.25">
      <c r="C762" s="21"/>
      <c r="D762" s="21"/>
      <c r="G762" s="33"/>
      <c r="P762" s="55"/>
      <c r="Q762" s="54"/>
      <c r="S762" s="35"/>
      <c r="T762" s="674"/>
      <c r="U762" s="53"/>
      <c r="V762" s="22"/>
      <c r="W762" s="22"/>
      <c r="AG762" s="178"/>
      <c r="AI762" s="21"/>
    </row>
    <row r="763" spans="3:35" hidden="1" x14ac:dyDescent="0.25">
      <c r="C763" s="21"/>
      <c r="D763" s="21"/>
      <c r="G763" s="33"/>
      <c r="P763" s="55"/>
      <c r="Q763" s="54"/>
      <c r="S763" s="35"/>
      <c r="T763" s="674"/>
      <c r="U763" s="53"/>
      <c r="V763" s="22"/>
      <c r="W763" s="22"/>
      <c r="AG763" s="178"/>
      <c r="AI763" s="21"/>
    </row>
    <row r="764" spans="3:35" hidden="1" x14ac:dyDescent="0.25">
      <c r="C764" s="21"/>
      <c r="D764" s="21"/>
      <c r="G764" s="33"/>
      <c r="P764" s="55"/>
      <c r="Q764" s="54"/>
      <c r="S764" s="35"/>
      <c r="T764" s="674"/>
      <c r="U764" s="53"/>
      <c r="V764" s="22"/>
      <c r="W764" s="22"/>
      <c r="AG764" s="178"/>
      <c r="AI764" s="21"/>
    </row>
    <row r="765" spans="3:35" hidden="1" x14ac:dyDescent="0.25">
      <c r="C765" s="21"/>
      <c r="D765" s="21"/>
      <c r="G765" s="33"/>
      <c r="P765" s="55"/>
      <c r="Q765" s="54"/>
      <c r="S765" s="35"/>
      <c r="T765" s="674"/>
      <c r="U765" s="53"/>
      <c r="V765" s="22"/>
      <c r="W765" s="22"/>
      <c r="AG765" s="178"/>
      <c r="AI765" s="21"/>
    </row>
    <row r="766" spans="3:35" hidden="1" x14ac:dyDescent="0.25">
      <c r="C766" s="21"/>
      <c r="D766" s="21"/>
      <c r="G766" s="33"/>
      <c r="P766" s="55"/>
      <c r="Q766" s="54"/>
      <c r="S766" s="35"/>
      <c r="T766" s="674"/>
      <c r="U766" s="53"/>
      <c r="V766" s="22"/>
      <c r="W766" s="22"/>
      <c r="AG766" s="178"/>
      <c r="AI766" s="21"/>
    </row>
    <row r="767" spans="3:35" hidden="1" x14ac:dyDescent="0.25">
      <c r="C767" s="21"/>
      <c r="D767" s="21"/>
      <c r="G767" s="33"/>
      <c r="P767" s="55"/>
      <c r="Q767" s="54"/>
      <c r="S767" s="35"/>
      <c r="T767" s="674"/>
      <c r="U767" s="53"/>
      <c r="V767" s="22"/>
      <c r="W767" s="22"/>
      <c r="AG767" s="178"/>
      <c r="AI767" s="21"/>
    </row>
    <row r="768" spans="3:35" hidden="1" x14ac:dyDescent="0.25">
      <c r="C768" s="21"/>
      <c r="D768" s="21"/>
      <c r="G768" s="33"/>
      <c r="P768" s="55"/>
      <c r="Q768" s="54"/>
      <c r="S768" s="35"/>
      <c r="T768" s="674"/>
      <c r="U768" s="53"/>
      <c r="V768" s="22"/>
      <c r="W768" s="22"/>
      <c r="AG768" s="178"/>
      <c r="AI768" s="21"/>
    </row>
    <row r="769" spans="3:35" hidden="1" x14ac:dyDescent="0.25">
      <c r="C769" s="21"/>
      <c r="D769" s="21"/>
      <c r="G769" s="33"/>
      <c r="P769" s="55"/>
      <c r="Q769" s="54"/>
      <c r="S769" s="35"/>
      <c r="T769" s="674"/>
      <c r="U769" s="53"/>
      <c r="V769" s="22"/>
      <c r="W769" s="22"/>
      <c r="AG769" s="178"/>
      <c r="AI769" s="21"/>
    </row>
    <row r="770" spans="3:35" hidden="1" x14ac:dyDescent="0.25">
      <c r="C770" s="21"/>
      <c r="D770" s="21"/>
      <c r="G770" s="33"/>
      <c r="P770" s="55"/>
      <c r="Q770" s="54"/>
      <c r="S770" s="35"/>
      <c r="T770" s="674"/>
      <c r="U770" s="53"/>
      <c r="V770" s="22"/>
      <c r="W770" s="22"/>
      <c r="AG770" s="178"/>
      <c r="AI770" s="21"/>
    </row>
    <row r="771" spans="3:35" hidden="1" x14ac:dyDescent="0.25">
      <c r="C771" s="21"/>
      <c r="D771" s="21"/>
      <c r="G771" s="33"/>
      <c r="P771" s="55"/>
      <c r="Q771" s="54"/>
      <c r="S771" s="35"/>
      <c r="T771" s="674"/>
      <c r="U771" s="53"/>
      <c r="V771" s="22"/>
      <c r="W771" s="22"/>
      <c r="AG771" s="178"/>
      <c r="AI771" s="21"/>
    </row>
    <row r="772" spans="3:35" hidden="1" x14ac:dyDescent="0.25">
      <c r="C772" s="21"/>
      <c r="D772" s="21"/>
      <c r="G772" s="33"/>
      <c r="P772" s="55"/>
      <c r="Q772" s="54"/>
      <c r="S772" s="35"/>
      <c r="T772" s="674"/>
      <c r="U772" s="53"/>
      <c r="V772" s="22"/>
      <c r="W772" s="22"/>
      <c r="AG772" s="178"/>
      <c r="AI772" s="21"/>
    </row>
    <row r="773" spans="3:35" hidden="1" x14ac:dyDescent="0.25">
      <c r="C773" s="21"/>
      <c r="D773" s="21"/>
      <c r="G773" s="33"/>
      <c r="P773" s="55"/>
      <c r="Q773" s="54"/>
      <c r="S773" s="35"/>
      <c r="T773" s="674"/>
      <c r="U773" s="53"/>
      <c r="V773" s="22"/>
      <c r="W773" s="22"/>
      <c r="AG773" s="178"/>
      <c r="AI773" s="21"/>
    </row>
    <row r="774" spans="3:35" hidden="1" x14ac:dyDescent="0.25">
      <c r="C774" s="21"/>
      <c r="D774" s="21"/>
      <c r="G774" s="33"/>
      <c r="P774" s="55"/>
      <c r="Q774" s="54"/>
      <c r="S774" s="35"/>
      <c r="T774" s="674"/>
      <c r="U774" s="53"/>
      <c r="V774" s="22"/>
      <c r="W774" s="22"/>
      <c r="AG774" s="178"/>
      <c r="AI774" s="21"/>
    </row>
    <row r="775" spans="3:35" hidden="1" x14ac:dyDescent="0.25">
      <c r="C775" s="21"/>
      <c r="D775" s="21"/>
      <c r="G775" s="33"/>
      <c r="P775" s="55"/>
      <c r="Q775" s="54"/>
      <c r="S775" s="35"/>
      <c r="T775" s="674"/>
      <c r="U775" s="53"/>
      <c r="V775" s="22"/>
      <c r="W775" s="22"/>
      <c r="AG775" s="178"/>
      <c r="AI775" s="21"/>
    </row>
    <row r="776" spans="3:35" hidden="1" x14ac:dyDescent="0.25">
      <c r="C776" s="21"/>
      <c r="D776" s="21"/>
      <c r="G776" s="33"/>
      <c r="P776" s="55"/>
      <c r="Q776" s="54"/>
      <c r="S776" s="35"/>
      <c r="T776" s="674"/>
      <c r="U776" s="53"/>
      <c r="V776" s="22"/>
      <c r="W776" s="22"/>
      <c r="AG776" s="178"/>
      <c r="AI776" s="21"/>
    </row>
    <row r="777" spans="3:35" hidden="1" x14ac:dyDescent="0.25">
      <c r="C777" s="21"/>
      <c r="D777" s="21"/>
      <c r="G777" s="33"/>
      <c r="P777" s="55"/>
      <c r="Q777" s="54"/>
      <c r="S777" s="35"/>
      <c r="T777" s="674"/>
      <c r="U777" s="53"/>
      <c r="V777" s="22"/>
      <c r="W777" s="22"/>
      <c r="AG777" s="178"/>
      <c r="AI777" s="21"/>
    </row>
    <row r="778" spans="3:35" hidden="1" x14ac:dyDescent="0.25">
      <c r="C778" s="21"/>
      <c r="D778" s="21"/>
      <c r="G778" s="33"/>
      <c r="P778" s="55"/>
      <c r="Q778" s="54"/>
      <c r="S778" s="35"/>
      <c r="T778" s="674"/>
      <c r="U778" s="53"/>
      <c r="V778" s="22"/>
      <c r="W778" s="22"/>
      <c r="AG778" s="178"/>
      <c r="AI778" s="21"/>
    </row>
    <row r="779" spans="3:35" hidden="1" x14ac:dyDescent="0.25">
      <c r="C779" s="21"/>
      <c r="D779" s="21"/>
      <c r="G779" s="33"/>
      <c r="P779" s="55"/>
      <c r="Q779" s="54"/>
      <c r="S779" s="35"/>
      <c r="T779" s="674"/>
      <c r="U779" s="53"/>
      <c r="V779" s="22"/>
      <c r="W779" s="22"/>
      <c r="AG779" s="178"/>
      <c r="AI779" s="21"/>
    </row>
    <row r="780" spans="3:35" hidden="1" x14ac:dyDescent="0.25">
      <c r="C780" s="21"/>
      <c r="D780" s="21"/>
      <c r="G780" s="33"/>
      <c r="P780" s="55"/>
      <c r="Q780" s="54"/>
      <c r="S780" s="35"/>
      <c r="T780" s="674"/>
      <c r="U780" s="53"/>
      <c r="V780" s="22"/>
      <c r="W780" s="22"/>
      <c r="AG780" s="178"/>
      <c r="AI780" s="21"/>
    </row>
    <row r="781" spans="3:35" hidden="1" x14ac:dyDescent="0.25">
      <c r="C781" s="21"/>
      <c r="D781" s="21"/>
      <c r="G781" s="33"/>
      <c r="P781" s="55"/>
      <c r="Q781" s="54"/>
      <c r="S781" s="35"/>
      <c r="T781" s="674"/>
      <c r="U781" s="53"/>
      <c r="V781" s="22"/>
      <c r="W781" s="22"/>
      <c r="AG781" s="178"/>
      <c r="AI781" s="21"/>
    </row>
    <row r="782" spans="3:35" hidden="1" x14ac:dyDescent="0.25">
      <c r="C782" s="21"/>
      <c r="D782" s="21"/>
      <c r="G782" s="33"/>
      <c r="P782" s="55"/>
      <c r="Q782" s="54"/>
      <c r="S782" s="35"/>
      <c r="T782" s="674"/>
      <c r="U782" s="53"/>
      <c r="V782" s="22"/>
      <c r="W782" s="22"/>
      <c r="AG782" s="178"/>
      <c r="AI782" s="21"/>
    </row>
    <row r="783" spans="3:35" hidden="1" x14ac:dyDescent="0.25">
      <c r="C783" s="21"/>
      <c r="D783" s="21"/>
      <c r="G783" s="33"/>
      <c r="P783" s="55"/>
      <c r="Q783" s="54"/>
      <c r="S783" s="35"/>
      <c r="T783" s="674"/>
      <c r="U783" s="53"/>
      <c r="V783" s="22"/>
      <c r="W783" s="22"/>
      <c r="AG783" s="178"/>
      <c r="AI783" s="21"/>
    </row>
    <row r="784" spans="3:35" hidden="1" x14ac:dyDescent="0.25">
      <c r="C784" s="21"/>
      <c r="D784" s="21"/>
      <c r="G784" s="33"/>
      <c r="P784" s="55"/>
      <c r="Q784" s="54"/>
      <c r="S784" s="35"/>
      <c r="T784" s="674"/>
      <c r="U784" s="53"/>
      <c r="V784" s="22"/>
      <c r="W784" s="22"/>
      <c r="AG784" s="178"/>
      <c r="AI784" s="21"/>
    </row>
    <row r="785" spans="3:35" hidden="1" x14ac:dyDescent="0.25">
      <c r="C785" s="21"/>
      <c r="D785" s="21"/>
      <c r="G785" s="33"/>
      <c r="P785" s="55"/>
      <c r="Q785" s="54"/>
      <c r="S785" s="35"/>
      <c r="T785" s="674"/>
      <c r="U785" s="53"/>
      <c r="V785" s="22"/>
      <c r="W785" s="22"/>
      <c r="AG785" s="178"/>
      <c r="AI785" s="21"/>
    </row>
    <row r="786" spans="3:35" hidden="1" x14ac:dyDescent="0.25">
      <c r="C786" s="21"/>
      <c r="D786" s="21"/>
      <c r="G786" s="33"/>
      <c r="P786" s="55"/>
      <c r="Q786" s="54"/>
      <c r="S786" s="35"/>
      <c r="T786" s="674"/>
      <c r="U786" s="53"/>
      <c r="V786" s="22"/>
      <c r="W786" s="22"/>
      <c r="AG786" s="178"/>
      <c r="AI786" s="21"/>
    </row>
    <row r="787" spans="3:35" hidden="1" x14ac:dyDescent="0.25">
      <c r="C787" s="21"/>
      <c r="D787" s="21"/>
      <c r="G787" s="33"/>
      <c r="P787" s="55"/>
      <c r="Q787" s="54"/>
      <c r="S787" s="35"/>
      <c r="T787" s="674"/>
      <c r="U787" s="53"/>
      <c r="V787" s="22"/>
      <c r="W787" s="22"/>
      <c r="AG787" s="178"/>
      <c r="AI787" s="21"/>
    </row>
    <row r="788" spans="3:35" hidden="1" x14ac:dyDescent="0.25">
      <c r="C788" s="21"/>
      <c r="D788" s="21"/>
      <c r="G788" s="33"/>
      <c r="P788" s="55"/>
      <c r="Q788" s="54"/>
      <c r="S788" s="35"/>
      <c r="T788" s="674"/>
      <c r="U788" s="53"/>
      <c r="V788" s="22"/>
      <c r="W788" s="22"/>
      <c r="AG788" s="178"/>
      <c r="AI788" s="21"/>
    </row>
    <row r="789" spans="3:35" hidden="1" x14ac:dyDescent="0.25">
      <c r="C789" s="21"/>
      <c r="D789" s="21"/>
      <c r="G789" s="33"/>
      <c r="P789" s="55"/>
      <c r="Q789" s="54"/>
      <c r="S789" s="35"/>
      <c r="T789" s="674"/>
      <c r="U789" s="53"/>
      <c r="V789" s="22"/>
      <c r="W789" s="22"/>
      <c r="AG789" s="178"/>
      <c r="AI789" s="21"/>
    </row>
    <row r="790" spans="3:35" hidden="1" x14ac:dyDescent="0.25">
      <c r="C790" s="21"/>
      <c r="D790" s="21"/>
      <c r="G790" s="33"/>
      <c r="P790" s="55"/>
      <c r="Q790" s="54"/>
      <c r="S790" s="35"/>
      <c r="T790" s="674"/>
      <c r="U790" s="53"/>
      <c r="V790" s="22"/>
      <c r="W790" s="22"/>
      <c r="AG790" s="178"/>
      <c r="AI790" s="21"/>
    </row>
    <row r="791" spans="3:35" hidden="1" x14ac:dyDescent="0.25">
      <c r="C791" s="21"/>
      <c r="D791" s="21"/>
      <c r="G791" s="33"/>
      <c r="P791" s="55"/>
      <c r="Q791" s="54"/>
      <c r="S791" s="35"/>
      <c r="T791" s="674"/>
      <c r="U791" s="53"/>
      <c r="V791" s="22"/>
      <c r="W791" s="22"/>
      <c r="AG791" s="178"/>
      <c r="AI791" s="21"/>
    </row>
    <row r="792" spans="3:35" hidden="1" x14ac:dyDescent="0.25">
      <c r="C792" s="21"/>
      <c r="D792" s="21"/>
      <c r="G792" s="33"/>
      <c r="P792" s="55"/>
      <c r="Q792" s="54"/>
      <c r="S792" s="35"/>
      <c r="T792" s="674"/>
      <c r="U792" s="53"/>
      <c r="V792" s="22"/>
      <c r="W792" s="22"/>
      <c r="AG792" s="178"/>
      <c r="AI792" s="21"/>
    </row>
    <row r="793" spans="3:35" hidden="1" x14ac:dyDescent="0.25">
      <c r="C793" s="21"/>
      <c r="D793" s="21"/>
      <c r="G793" s="33"/>
      <c r="P793" s="55"/>
      <c r="Q793" s="54"/>
      <c r="S793" s="35"/>
      <c r="T793" s="674"/>
      <c r="U793" s="53"/>
      <c r="V793" s="22"/>
      <c r="W793" s="22"/>
      <c r="AG793" s="178"/>
      <c r="AI793" s="21"/>
    </row>
    <row r="794" spans="3:35" hidden="1" x14ac:dyDescent="0.25">
      <c r="C794" s="21"/>
      <c r="D794" s="21"/>
      <c r="G794" s="33"/>
      <c r="P794" s="55"/>
      <c r="Q794" s="54"/>
      <c r="S794" s="35"/>
      <c r="T794" s="674"/>
      <c r="U794" s="53"/>
      <c r="V794" s="22"/>
      <c r="W794" s="22"/>
      <c r="AG794" s="178"/>
      <c r="AI794" s="21"/>
    </row>
    <row r="795" spans="3:35" hidden="1" x14ac:dyDescent="0.25">
      <c r="C795" s="21"/>
      <c r="D795" s="21"/>
      <c r="G795" s="33"/>
      <c r="P795" s="55"/>
      <c r="Q795" s="54"/>
      <c r="S795" s="35"/>
      <c r="T795" s="674"/>
      <c r="U795" s="53"/>
      <c r="V795" s="22"/>
      <c r="W795" s="22"/>
      <c r="AG795" s="178"/>
      <c r="AI795" s="21"/>
    </row>
    <row r="796" spans="3:35" hidden="1" x14ac:dyDescent="0.25">
      <c r="C796" s="21"/>
      <c r="D796" s="21"/>
      <c r="G796" s="33"/>
      <c r="P796" s="55"/>
      <c r="Q796" s="54"/>
      <c r="S796" s="35"/>
      <c r="T796" s="674"/>
      <c r="U796" s="53"/>
      <c r="V796" s="22"/>
      <c r="W796" s="22"/>
      <c r="AG796" s="178"/>
      <c r="AI796" s="21"/>
    </row>
    <row r="797" spans="3:35" hidden="1" x14ac:dyDescent="0.25">
      <c r="C797" s="21"/>
      <c r="D797" s="21"/>
      <c r="G797" s="33"/>
      <c r="P797" s="55"/>
      <c r="Q797" s="54"/>
      <c r="S797" s="35"/>
      <c r="T797" s="674"/>
      <c r="U797" s="53"/>
      <c r="V797" s="22"/>
      <c r="W797" s="22"/>
      <c r="AG797" s="178"/>
      <c r="AI797" s="21"/>
    </row>
    <row r="798" spans="3:35" hidden="1" x14ac:dyDescent="0.25">
      <c r="C798" s="21"/>
      <c r="D798" s="21"/>
      <c r="G798" s="33"/>
      <c r="P798" s="55"/>
      <c r="Q798" s="54"/>
      <c r="S798" s="35"/>
      <c r="T798" s="674"/>
      <c r="U798" s="53"/>
      <c r="V798" s="22"/>
      <c r="W798" s="22"/>
      <c r="AG798" s="178"/>
      <c r="AI798" s="21"/>
    </row>
    <row r="799" spans="3:35" hidden="1" x14ac:dyDescent="0.25">
      <c r="C799" s="21"/>
      <c r="D799" s="21"/>
      <c r="G799" s="33"/>
      <c r="P799" s="55"/>
      <c r="Q799" s="54"/>
      <c r="S799" s="35"/>
      <c r="T799" s="674"/>
      <c r="U799" s="53"/>
      <c r="V799" s="22"/>
      <c r="W799" s="22"/>
      <c r="AG799" s="178"/>
      <c r="AI799" s="21"/>
    </row>
    <row r="800" spans="3:35" hidden="1" x14ac:dyDescent="0.25">
      <c r="C800" s="21"/>
      <c r="D800" s="21"/>
      <c r="G800" s="33"/>
      <c r="P800" s="55"/>
      <c r="Q800" s="54"/>
      <c r="S800" s="35"/>
      <c r="T800" s="674"/>
      <c r="U800" s="53"/>
      <c r="V800" s="22"/>
      <c r="W800" s="22"/>
      <c r="AG800" s="178"/>
      <c r="AI800" s="21"/>
    </row>
    <row r="801" spans="3:35" hidden="1" x14ac:dyDescent="0.25">
      <c r="C801" s="21"/>
      <c r="D801" s="21"/>
      <c r="G801" s="33"/>
      <c r="P801" s="55"/>
      <c r="Q801" s="54"/>
      <c r="S801" s="35"/>
      <c r="T801" s="674"/>
      <c r="U801" s="53"/>
      <c r="V801" s="22"/>
      <c r="W801" s="22"/>
      <c r="AG801" s="178"/>
      <c r="AI801" s="21"/>
    </row>
    <row r="802" spans="3:35" hidden="1" x14ac:dyDescent="0.25">
      <c r="C802" s="21"/>
      <c r="D802" s="21"/>
      <c r="G802" s="33"/>
      <c r="P802" s="55"/>
      <c r="Q802" s="54"/>
      <c r="S802" s="35"/>
      <c r="T802" s="674"/>
      <c r="U802" s="53"/>
      <c r="V802" s="22"/>
      <c r="W802" s="22"/>
      <c r="AG802" s="178"/>
      <c r="AI802" s="21"/>
    </row>
    <row r="803" spans="3:35" hidden="1" x14ac:dyDescent="0.25">
      <c r="C803" s="21"/>
      <c r="D803" s="21"/>
      <c r="G803" s="33"/>
      <c r="P803" s="55"/>
      <c r="Q803" s="54"/>
      <c r="S803" s="35"/>
      <c r="T803" s="674"/>
      <c r="U803" s="53"/>
      <c r="V803" s="22"/>
      <c r="W803" s="22"/>
      <c r="AG803" s="178"/>
      <c r="AI803" s="21"/>
    </row>
    <row r="804" spans="3:35" hidden="1" x14ac:dyDescent="0.25">
      <c r="C804" s="21"/>
      <c r="D804" s="21"/>
      <c r="G804" s="33"/>
      <c r="P804" s="55"/>
      <c r="Q804" s="54"/>
      <c r="S804" s="35"/>
      <c r="T804" s="674"/>
      <c r="U804" s="53"/>
      <c r="V804" s="22"/>
      <c r="W804" s="22"/>
      <c r="AG804" s="178"/>
      <c r="AI804" s="21"/>
    </row>
    <row r="805" spans="3:35" hidden="1" x14ac:dyDescent="0.25">
      <c r="C805" s="21"/>
      <c r="D805" s="21"/>
      <c r="G805" s="33"/>
      <c r="P805" s="55"/>
      <c r="Q805" s="54"/>
      <c r="S805" s="35"/>
      <c r="T805" s="674"/>
      <c r="U805" s="53"/>
      <c r="V805" s="22"/>
      <c r="W805" s="22"/>
      <c r="AG805" s="178"/>
      <c r="AI805" s="21"/>
    </row>
    <row r="806" spans="3:35" hidden="1" x14ac:dyDescent="0.25">
      <c r="C806" s="21"/>
      <c r="D806" s="21"/>
      <c r="G806" s="33"/>
      <c r="P806" s="55"/>
      <c r="Q806" s="54"/>
      <c r="S806" s="35"/>
      <c r="T806" s="674"/>
      <c r="U806" s="53"/>
      <c r="V806" s="22"/>
      <c r="W806" s="22"/>
      <c r="AG806" s="178"/>
      <c r="AI806" s="21"/>
    </row>
    <row r="807" spans="3:35" hidden="1" x14ac:dyDescent="0.25">
      <c r="C807" s="21"/>
      <c r="D807" s="21"/>
      <c r="G807" s="33"/>
      <c r="P807" s="55"/>
      <c r="Q807" s="54"/>
      <c r="S807" s="35"/>
      <c r="T807" s="674"/>
      <c r="U807" s="53"/>
      <c r="V807" s="22"/>
      <c r="W807" s="22"/>
      <c r="AG807" s="178"/>
      <c r="AI807" s="21"/>
    </row>
    <row r="808" spans="3:35" hidden="1" x14ac:dyDescent="0.25">
      <c r="C808" s="21"/>
      <c r="D808" s="21"/>
      <c r="G808" s="33"/>
      <c r="P808" s="55"/>
      <c r="Q808" s="54"/>
      <c r="S808" s="35"/>
      <c r="T808" s="674"/>
      <c r="U808" s="53"/>
      <c r="V808" s="22"/>
      <c r="W808" s="22"/>
      <c r="AG808" s="178"/>
      <c r="AI808" s="21"/>
    </row>
    <row r="809" spans="3:35" hidden="1" x14ac:dyDescent="0.25">
      <c r="C809" s="21"/>
      <c r="D809" s="21"/>
      <c r="G809" s="33"/>
      <c r="P809" s="55"/>
      <c r="Q809" s="54"/>
      <c r="S809" s="35"/>
      <c r="T809" s="674"/>
      <c r="U809" s="53"/>
      <c r="V809" s="22"/>
      <c r="W809" s="22"/>
      <c r="AG809" s="178"/>
      <c r="AI809" s="21"/>
    </row>
    <row r="810" spans="3:35" hidden="1" x14ac:dyDescent="0.25">
      <c r="C810" s="21"/>
      <c r="D810" s="21"/>
      <c r="G810" s="33"/>
      <c r="P810" s="55"/>
      <c r="Q810" s="54"/>
      <c r="S810" s="35"/>
      <c r="T810" s="674"/>
      <c r="U810" s="53"/>
      <c r="V810" s="22"/>
      <c r="W810" s="22"/>
      <c r="AG810" s="178"/>
      <c r="AI810" s="21"/>
    </row>
    <row r="811" spans="3:35" hidden="1" x14ac:dyDescent="0.25">
      <c r="C811" s="21"/>
      <c r="D811" s="21"/>
      <c r="G811" s="33"/>
      <c r="P811" s="55"/>
      <c r="Q811" s="54"/>
      <c r="S811" s="35"/>
      <c r="T811" s="674"/>
      <c r="U811" s="53"/>
      <c r="V811" s="22"/>
      <c r="W811" s="22"/>
      <c r="AG811" s="178"/>
      <c r="AI811" s="21"/>
    </row>
    <row r="812" spans="3:35" hidden="1" x14ac:dyDescent="0.25">
      <c r="C812" s="21"/>
      <c r="D812" s="21"/>
      <c r="G812" s="33"/>
      <c r="P812" s="55"/>
      <c r="Q812" s="54"/>
      <c r="S812" s="35"/>
      <c r="T812" s="674"/>
      <c r="U812" s="53"/>
      <c r="V812" s="22"/>
      <c r="W812" s="22"/>
      <c r="AG812" s="178"/>
      <c r="AI812" s="21"/>
    </row>
    <row r="813" spans="3:35" hidden="1" x14ac:dyDescent="0.25">
      <c r="C813" s="21"/>
      <c r="D813" s="21"/>
      <c r="G813" s="33"/>
      <c r="P813" s="55"/>
      <c r="Q813" s="54"/>
      <c r="S813" s="35"/>
      <c r="T813" s="674"/>
      <c r="U813" s="53"/>
      <c r="V813" s="22"/>
      <c r="W813" s="22"/>
      <c r="AG813" s="178"/>
      <c r="AI813" s="21"/>
    </row>
    <row r="814" spans="3:35" hidden="1" x14ac:dyDescent="0.25">
      <c r="C814" s="21"/>
      <c r="D814" s="21"/>
      <c r="G814" s="33"/>
      <c r="P814" s="55"/>
      <c r="Q814" s="54"/>
      <c r="S814" s="35"/>
      <c r="T814" s="674"/>
      <c r="U814" s="53"/>
      <c r="V814" s="22"/>
      <c r="W814" s="22"/>
      <c r="AG814" s="178"/>
      <c r="AI814" s="21"/>
    </row>
    <row r="815" spans="3:35" hidden="1" x14ac:dyDescent="0.25">
      <c r="C815" s="21"/>
      <c r="D815" s="21"/>
      <c r="G815" s="33"/>
      <c r="P815" s="55"/>
      <c r="Q815" s="54"/>
      <c r="S815" s="35"/>
      <c r="T815" s="674"/>
      <c r="U815" s="53"/>
      <c r="V815" s="22"/>
      <c r="W815" s="22"/>
      <c r="AG815" s="178"/>
      <c r="AI815" s="21"/>
    </row>
    <row r="816" spans="3:35" hidden="1" x14ac:dyDescent="0.25">
      <c r="C816" s="21"/>
      <c r="D816" s="21"/>
      <c r="G816" s="33"/>
      <c r="P816" s="55"/>
      <c r="Q816" s="54"/>
      <c r="S816" s="35"/>
      <c r="T816" s="674"/>
      <c r="U816" s="53"/>
      <c r="V816" s="22"/>
      <c r="W816" s="22"/>
      <c r="AG816" s="178"/>
      <c r="AI816" s="21"/>
    </row>
    <row r="817" spans="3:35" hidden="1" x14ac:dyDescent="0.25">
      <c r="C817" s="21"/>
      <c r="D817" s="21"/>
      <c r="G817" s="33"/>
      <c r="P817" s="55"/>
      <c r="Q817" s="54"/>
      <c r="S817" s="35"/>
      <c r="T817" s="674"/>
      <c r="U817" s="53"/>
      <c r="V817" s="22"/>
      <c r="W817" s="22"/>
      <c r="AG817" s="178"/>
      <c r="AI817" s="21"/>
    </row>
    <row r="818" spans="3:35" hidden="1" x14ac:dyDescent="0.25">
      <c r="C818" s="21"/>
      <c r="D818" s="21"/>
      <c r="G818" s="33"/>
      <c r="P818" s="55"/>
      <c r="Q818" s="54"/>
      <c r="S818" s="35"/>
      <c r="T818" s="674"/>
      <c r="U818" s="53"/>
      <c r="V818" s="22"/>
      <c r="W818" s="22"/>
      <c r="AG818" s="178"/>
      <c r="AI818" s="21"/>
    </row>
    <row r="819" spans="3:35" hidden="1" x14ac:dyDescent="0.25">
      <c r="C819" s="21"/>
      <c r="D819" s="21"/>
      <c r="G819" s="33"/>
      <c r="P819" s="55"/>
      <c r="Q819" s="54"/>
      <c r="S819" s="35"/>
      <c r="T819" s="674"/>
      <c r="U819" s="53"/>
      <c r="V819" s="22"/>
      <c r="W819" s="22"/>
      <c r="AG819" s="178"/>
      <c r="AI819" s="21"/>
    </row>
    <row r="820" spans="3:35" hidden="1" x14ac:dyDescent="0.25">
      <c r="C820" s="21"/>
      <c r="D820" s="21"/>
      <c r="G820" s="33"/>
      <c r="P820" s="55"/>
      <c r="Q820" s="54"/>
      <c r="S820" s="35"/>
      <c r="T820" s="674"/>
      <c r="U820" s="53"/>
      <c r="V820" s="22"/>
      <c r="W820" s="22"/>
      <c r="AG820" s="178"/>
      <c r="AI820" s="21"/>
    </row>
    <row r="821" spans="3:35" hidden="1" x14ac:dyDescent="0.25">
      <c r="C821" s="21"/>
      <c r="D821" s="21"/>
      <c r="G821" s="33"/>
      <c r="P821" s="55"/>
      <c r="Q821" s="54"/>
      <c r="S821" s="35"/>
      <c r="T821" s="674"/>
      <c r="U821" s="53"/>
      <c r="V821" s="22"/>
      <c r="W821" s="22"/>
      <c r="AG821" s="178"/>
      <c r="AI821" s="21"/>
    </row>
    <row r="822" spans="3:35" hidden="1" x14ac:dyDescent="0.25">
      <c r="C822" s="21"/>
      <c r="D822" s="21"/>
      <c r="G822" s="33"/>
      <c r="P822" s="55"/>
      <c r="Q822" s="54"/>
      <c r="S822" s="35"/>
      <c r="T822" s="674"/>
      <c r="U822" s="53"/>
      <c r="V822" s="22"/>
      <c r="W822" s="22"/>
      <c r="AG822" s="178"/>
      <c r="AI822" s="21"/>
    </row>
    <row r="823" spans="3:35" hidden="1" x14ac:dyDescent="0.25">
      <c r="C823" s="21"/>
      <c r="D823" s="21"/>
      <c r="G823" s="33"/>
      <c r="P823" s="55"/>
      <c r="Q823" s="54"/>
      <c r="S823" s="35"/>
      <c r="T823" s="674"/>
      <c r="U823" s="53"/>
      <c r="V823" s="22"/>
      <c r="W823" s="22"/>
      <c r="AG823" s="178"/>
      <c r="AI823" s="21"/>
    </row>
    <row r="824" spans="3:35" hidden="1" x14ac:dyDescent="0.25">
      <c r="C824" s="21"/>
      <c r="D824" s="21"/>
      <c r="G824" s="33"/>
      <c r="P824" s="55"/>
      <c r="Q824" s="54"/>
      <c r="S824" s="35"/>
      <c r="T824" s="674"/>
      <c r="U824" s="53"/>
      <c r="V824" s="22"/>
      <c r="W824" s="22"/>
      <c r="AG824" s="178"/>
      <c r="AI824" s="21"/>
    </row>
    <row r="825" spans="3:35" hidden="1" x14ac:dyDescent="0.25">
      <c r="C825" s="21"/>
      <c r="D825" s="21"/>
      <c r="G825" s="33"/>
      <c r="P825" s="55"/>
      <c r="Q825" s="54"/>
      <c r="S825" s="35"/>
      <c r="T825" s="674"/>
      <c r="U825" s="53"/>
      <c r="V825" s="22"/>
      <c r="W825" s="22"/>
      <c r="AG825" s="178"/>
      <c r="AI825" s="21"/>
    </row>
    <row r="826" spans="3:35" hidden="1" x14ac:dyDescent="0.25">
      <c r="C826" s="21"/>
      <c r="D826" s="21"/>
      <c r="G826" s="33"/>
      <c r="P826" s="55"/>
      <c r="Q826" s="54"/>
      <c r="S826" s="35"/>
      <c r="T826" s="674"/>
      <c r="U826" s="53"/>
      <c r="V826" s="22"/>
      <c r="W826" s="22"/>
      <c r="AG826" s="178"/>
      <c r="AI826" s="21"/>
    </row>
    <row r="827" spans="3:35" hidden="1" x14ac:dyDescent="0.25">
      <c r="C827" s="21"/>
      <c r="D827" s="21"/>
      <c r="G827" s="33"/>
      <c r="P827" s="55"/>
      <c r="Q827" s="54"/>
      <c r="S827" s="35"/>
      <c r="T827" s="674"/>
      <c r="U827" s="53"/>
      <c r="V827" s="22"/>
      <c r="W827" s="22"/>
      <c r="AG827" s="178"/>
      <c r="AI827" s="21"/>
    </row>
    <row r="828" spans="3:35" hidden="1" x14ac:dyDescent="0.25">
      <c r="C828" s="21"/>
      <c r="D828" s="21"/>
      <c r="G828" s="33"/>
      <c r="P828" s="55"/>
      <c r="Q828" s="54"/>
      <c r="S828" s="35"/>
      <c r="T828" s="674"/>
      <c r="U828" s="53"/>
      <c r="V828" s="22"/>
      <c r="W828" s="22"/>
      <c r="AG828" s="178"/>
      <c r="AI828" s="21"/>
    </row>
    <row r="829" spans="3:35" hidden="1" x14ac:dyDescent="0.25">
      <c r="C829" s="21"/>
      <c r="D829" s="21"/>
      <c r="G829" s="33"/>
      <c r="P829" s="55"/>
      <c r="Q829" s="54"/>
      <c r="S829" s="35"/>
      <c r="T829" s="674"/>
      <c r="U829" s="53"/>
      <c r="V829" s="22"/>
      <c r="W829" s="22"/>
      <c r="AG829" s="178"/>
      <c r="AI829" s="21"/>
    </row>
    <row r="830" spans="3:35" hidden="1" x14ac:dyDescent="0.25">
      <c r="C830" s="21"/>
      <c r="D830" s="21"/>
      <c r="G830" s="33"/>
      <c r="P830" s="55"/>
      <c r="Q830" s="54"/>
      <c r="S830" s="35"/>
      <c r="T830" s="674"/>
      <c r="U830" s="53"/>
      <c r="V830" s="22"/>
      <c r="W830" s="22"/>
      <c r="AG830" s="178"/>
      <c r="AI830" s="21"/>
    </row>
    <row r="831" spans="3:35" hidden="1" x14ac:dyDescent="0.25">
      <c r="C831" s="21"/>
      <c r="D831" s="21"/>
      <c r="G831" s="33"/>
      <c r="P831" s="55"/>
      <c r="Q831" s="54"/>
      <c r="S831" s="35"/>
      <c r="T831" s="674"/>
      <c r="U831" s="53"/>
      <c r="V831" s="22"/>
      <c r="W831" s="22"/>
      <c r="AG831" s="178"/>
      <c r="AI831" s="21"/>
    </row>
    <row r="832" spans="3:35" hidden="1" x14ac:dyDescent="0.25">
      <c r="C832" s="21"/>
      <c r="D832" s="21"/>
      <c r="G832" s="33"/>
      <c r="P832" s="55"/>
      <c r="Q832" s="54"/>
      <c r="S832" s="35"/>
      <c r="T832" s="674"/>
      <c r="U832" s="53"/>
      <c r="V832" s="22"/>
      <c r="W832" s="22"/>
      <c r="AG832" s="178"/>
      <c r="AI832" s="21"/>
    </row>
    <row r="833" spans="3:35" hidden="1" x14ac:dyDescent="0.25">
      <c r="C833" s="21"/>
      <c r="D833" s="21"/>
      <c r="G833" s="33"/>
      <c r="P833" s="55"/>
      <c r="Q833" s="54"/>
      <c r="S833" s="35"/>
      <c r="T833" s="674"/>
      <c r="U833" s="53"/>
      <c r="V833" s="22"/>
      <c r="W833" s="22"/>
      <c r="AG833" s="178"/>
      <c r="AI833" s="21"/>
    </row>
    <row r="834" spans="3:35" hidden="1" x14ac:dyDescent="0.25">
      <c r="C834" s="21"/>
      <c r="D834" s="21"/>
      <c r="G834" s="33"/>
      <c r="P834" s="55"/>
      <c r="Q834" s="54"/>
      <c r="S834" s="35"/>
      <c r="T834" s="674"/>
      <c r="U834" s="53"/>
      <c r="V834" s="22"/>
      <c r="W834" s="22"/>
      <c r="AG834" s="178"/>
      <c r="AI834" s="21"/>
    </row>
    <row r="835" spans="3:35" hidden="1" x14ac:dyDescent="0.25">
      <c r="C835" s="21"/>
      <c r="D835" s="21"/>
      <c r="G835" s="33"/>
      <c r="P835" s="55"/>
      <c r="Q835" s="54"/>
      <c r="S835" s="35"/>
      <c r="T835" s="674"/>
      <c r="U835" s="53"/>
      <c r="V835" s="22"/>
      <c r="W835" s="22"/>
      <c r="AG835" s="178"/>
      <c r="AI835" s="21"/>
    </row>
    <row r="836" spans="3:35" hidden="1" x14ac:dyDescent="0.25">
      <c r="C836" s="21"/>
      <c r="D836" s="21"/>
      <c r="G836" s="33"/>
      <c r="P836" s="55"/>
      <c r="Q836" s="54"/>
      <c r="S836" s="35"/>
      <c r="T836" s="674"/>
      <c r="U836" s="53"/>
      <c r="V836" s="22"/>
      <c r="W836" s="22"/>
      <c r="AG836" s="178"/>
      <c r="AI836" s="21"/>
    </row>
    <row r="837" spans="3:35" hidden="1" x14ac:dyDescent="0.25">
      <c r="C837" s="21"/>
      <c r="D837" s="21"/>
      <c r="G837" s="33"/>
      <c r="P837" s="55"/>
      <c r="Q837" s="54"/>
      <c r="S837" s="35"/>
      <c r="T837" s="674"/>
      <c r="U837" s="53"/>
      <c r="V837" s="22"/>
      <c r="W837" s="22"/>
      <c r="AG837" s="178"/>
      <c r="AI837" s="21"/>
    </row>
    <row r="838" spans="3:35" hidden="1" x14ac:dyDescent="0.25">
      <c r="C838" s="21"/>
      <c r="D838" s="21"/>
      <c r="G838" s="33"/>
      <c r="P838" s="55"/>
      <c r="Q838" s="54"/>
      <c r="S838" s="35"/>
      <c r="T838" s="674"/>
      <c r="U838" s="53"/>
      <c r="V838" s="22"/>
      <c r="W838" s="22"/>
      <c r="AG838" s="178"/>
      <c r="AI838" s="21"/>
    </row>
    <row r="839" spans="3:35" hidden="1" x14ac:dyDescent="0.25">
      <c r="C839" s="21"/>
      <c r="D839" s="21"/>
      <c r="G839" s="33"/>
      <c r="P839" s="55"/>
      <c r="Q839" s="54"/>
      <c r="S839" s="35"/>
      <c r="T839" s="674"/>
      <c r="U839" s="53"/>
      <c r="V839" s="22"/>
      <c r="W839" s="22"/>
      <c r="AG839" s="178"/>
      <c r="AI839" s="21"/>
    </row>
    <row r="840" spans="3:35" hidden="1" x14ac:dyDescent="0.25">
      <c r="C840" s="21"/>
      <c r="D840" s="21"/>
      <c r="G840" s="33"/>
      <c r="P840" s="55"/>
      <c r="Q840" s="54"/>
      <c r="S840" s="35"/>
      <c r="T840" s="674"/>
      <c r="U840" s="53"/>
      <c r="V840" s="22"/>
      <c r="W840" s="22"/>
      <c r="AG840" s="178"/>
      <c r="AI840" s="21"/>
    </row>
    <row r="841" spans="3:35" hidden="1" x14ac:dyDescent="0.25">
      <c r="C841" s="21"/>
      <c r="D841" s="21"/>
      <c r="G841" s="33"/>
      <c r="P841" s="55"/>
      <c r="Q841" s="54"/>
      <c r="S841" s="35"/>
      <c r="T841" s="674"/>
      <c r="U841" s="53"/>
      <c r="V841" s="22"/>
      <c r="W841" s="22"/>
      <c r="AG841" s="178"/>
      <c r="AI841" s="21"/>
    </row>
    <row r="842" spans="3:35" hidden="1" x14ac:dyDescent="0.25">
      <c r="C842" s="21"/>
      <c r="D842" s="21"/>
      <c r="G842" s="33"/>
      <c r="P842" s="55"/>
      <c r="Q842" s="54"/>
      <c r="S842" s="35"/>
      <c r="T842" s="674"/>
      <c r="U842" s="53"/>
      <c r="V842" s="22"/>
      <c r="W842" s="22"/>
      <c r="AG842" s="178"/>
      <c r="AI842" s="21"/>
    </row>
    <row r="843" spans="3:35" hidden="1" x14ac:dyDescent="0.25">
      <c r="C843" s="21"/>
      <c r="D843" s="21"/>
      <c r="G843" s="33"/>
      <c r="P843" s="55"/>
      <c r="Q843" s="54"/>
      <c r="S843" s="35"/>
      <c r="T843" s="674"/>
      <c r="U843" s="53"/>
      <c r="V843" s="22"/>
      <c r="W843" s="22"/>
      <c r="AG843" s="178"/>
      <c r="AI843" s="21"/>
    </row>
    <row r="844" spans="3:35" hidden="1" x14ac:dyDescent="0.25">
      <c r="C844" s="21"/>
      <c r="D844" s="21"/>
      <c r="G844" s="33"/>
      <c r="P844" s="55"/>
      <c r="Q844" s="54"/>
      <c r="S844" s="35"/>
      <c r="T844" s="674"/>
      <c r="U844" s="53"/>
      <c r="V844" s="22"/>
      <c r="W844" s="22"/>
      <c r="AG844" s="178"/>
      <c r="AI844" s="21"/>
    </row>
    <row r="845" spans="3:35" hidden="1" x14ac:dyDescent="0.25">
      <c r="C845" s="21"/>
      <c r="D845" s="21"/>
      <c r="G845" s="33"/>
      <c r="P845" s="55"/>
      <c r="Q845" s="54"/>
      <c r="S845" s="35"/>
      <c r="T845" s="674"/>
      <c r="U845" s="53"/>
      <c r="V845" s="22"/>
      <c r="W845" s="22"/>
      <c r="AG845" s="178"/>
      <c r="AI845" s="21"/>
    </row>
    <row r="846" spans="3:35" hidden="1" x14ac:dyDescent="0.25">
      <c r="C846" s="21"/>
      <c r="D846" s="21"/>
      <c r="G846" s="33"/>
      <c r="P846" s="55"/>
      <c r="Q846" s="54"/>
      <c r="S846" s="35"/>
      <c r="T846" s="674"/>
      <c r="U846" s="53"/>
      <c r="V846" s="22"/>
      <c r="W846" s="22"/>
      <c r="AG846" s="178"/>
      <c r="AI846" s="21"/>
    </row>
    <row r="847" spans="3:35" hidden="1" x14ac:dyDescent="0.25">
      <c r="C847" s="21"/>
      <c r="D847" s="21"/>
      <c r="G847" s="33"/>
      <c r="P847" s="55"/>
      <c r="Q847" s="54"/>
      <c r="S847" s="35"/>
      <c r="T847" s="674"/>
      <c r="U847" s="53"/>
      <c r="V847" s="22"/>
      <c r="W847" s="22"/>
      <c r="AG847" s="178"/>
      <c r="AI847" s="21"/>
    </row>
    <row r="848" spans="3:35" hidden="1" x14ac:dyDescent="0.25">
      <c r="C848" s="21"/>
      <c r="D848" s="21"/>
      <c r="G848" s="33"/>
      <c r="P848" s="55"/>
      <c r="Q848" s="54"/>
      <c r="S848" s="35"/>
      <c r="T848" s="674"/>
      <c r="U848" s="53"/>
      <c r="V848" s="22"/>
      <c r="W848" s="22"/>
      <c r="AG848" s="178"/>
      <c r="AI848" s="21"/>
    </row>
    <row r="849" spans="3:35" hidden="1" x14ac:dyDescent="0.25">
      <c r="C849" s="21"/>
      <c r="D849" s="21"/>
      <c r="G849" s="33"/>
      <c r="P849" s="55"/>
      <c r="Q849" s="54"/>
      <c r="S849" s="35"/>
      <c r="T849" s="674"/>
      <c r="U849" s="53"/>
      <c r="V849" s="22"/>
      <c r="W849" s="22"/>
      <c r="AG849" s="178"/>
      <c r="AI849" s="21"/>
    </row>
    <row r="850" spans="3:35" hidden="1" x14ac:dyDescent="0.25">
      <c r="C850" s="21"/>
      <c r="D850" s="21"/>
      <c r="G850" s="33"/>
      <c r="P850" s="55"/>
      <c r="Q850" s="54"/>
      <c r="S850" s="35"/>
      <c r="T850" s="674"/>
      <c r="U850" s="53"/>
      <c r="V850" s="22"/>
      <c r="W850" s="22"/>
      <c r="AG850" s="178"/>
      <c r="AI850" s="21"/>
    </row>
    <row r="851" spans="3:35" hidden="1" x14ac:dyDescent="0.25">
      <c r="C851" s="21"/>
      <c r="D851" s="21"/>
      <c r="G851" s="33"/>
      <c r="P851" s="55"/>
      <c r="Q851" s="54"/>
      <c r="S851" s="35"/>
      <c r="T851" s="674"/>
      <c r="U851" s="53"/>
      <c r="V851" s="22"/>
      <c r="W851" s="22"/>
      <c r="AG851" s="178"/>
      <c r="AI851" s="21"/>
    </row>
    <row r="852" spans="3:35" hidden="1" x14ac:dyDescent="0.25">
      <c r="C852" s="21"/>
      <c r="D852" s="21"/>
      <c r="G852" s="33"/>
      <c r="P852" s="55"/>
      <c r="Q852" s="54"/>
      <c r="S852" s="35"/>
      <c r="T852" s="674"/>
      <c r="U852" s="53"/>
      <c r="V852" s="22"/>
      <c r="W852" s="22"/>
      <c r="AG852" s="178"/>
      <c r="AI852" s="21"/>
    </row>
    <row r="853" spans="3:35" hidden="1" x14ac:dyDescent="0.25">
      <c r="C853" s="21"/>
      <c r="D853" s="21"/>
      <c r="G853" s="33"/>
      <c r="P853" s="55"/>
      <c r="Q853" s="54"/>
      <c r="S853" s="35"/>
      <c r="T853" s="674"/>
      <c r="U853" s="53"/>
      <c r="V853" s="22"/>
      <c r="W853" s="22"/>
      <c r="AG853" s="178"/>
      <c r="AI853" s="21"/>
    </row>
    <row r="854" spans="3:35" hidden="1" x14ac:dyDescent="0.25">
      <c r="C854" s="21"/>
      <c r="D854" s="21"/>
      <c r="G854" s="33"/>
      <c r="P854" s="55"/>
      <c r="Q854" s="54"/>
      <c r="S854" s="35"/>
      <c r="T854" s="674"/>
      <c r="U854" s="53"/>
      <c r="V854" s="22"/>
      <c r="W854" s="22"/>
      <c r="AG854" s="178"/>
      <c r="AI854" s="21"/>
    </row>
    <row r="855" spans="3:35" hidden="1" x14ac:dyDescent="0.25">
      <c r="C855" s="21"/>
      <c r="D855" s="21"/>
      <c r="G855" s="33"/>
      <c r="P855" s="55"/>
      <c r="Q855" s="54"/>
      <c r="S855" s="35"/>
      <c r="T855" s="674"/>
      <c r="U855" s="53"/>
      <c r="V855" s="22"/>
      <c r="W855" s="22"/>
      <c r="AG855" s="178"/>
      <c r="AI855" s="21"/>
    </row>
    <row r="856" spans="3:35" hidden="1" x14ac:dyDescent="0.25">
      <c r="C856" s="21"/>
      <c r="D856" s="21"/>
      <c r="G856" s="33"/>
      <c r="P856" s="55"/>
      <c r="Q856" s="54"/>
      <c r="S856" s="35"/>
      <c r="T856" s="674"/>
      <c r="U856" s="53"/>
      <c r="V856" s="22"/>
      <c r="W856" s="22"/>
      <c r="AG856" s="178"/>
      <c r="AI856" s="21"/>
    </row>
    <row r="857" spans="3:35" hidden="1" x14ac:dyDescent="0.25">
      <c r="C857" s="21"/>
      <c r="D857" s="21"/>
      <c r="G857" s="33"/>
      <c r="P857" s="55"/>
      <c r="Q857" s="54"/>
      <c r="S857" s="35"/>
      <c r="T857" s="674"/>
      <c r="U857" s="53"/>
      <c r="V857" s="22"/>
      <c r="W857" s="22"/>
      <c r="AG857" s="178"/>
      <c r="AI857" s="21"/>
    </row>
    <row r="858" spans="3:35" hidden="1" x14ac:dyDescent="0.25">
      <c r="C858" s="21"/>
      <c r="D858" s="21"/>
      <c r="G858" s="33"/>
      <c r="P858" s="55"/>
      <c r="Q858" s="54"/>
      <c r="S858" s="35"/>
      <c r="T858" s="674"/>
      <c r="U858" s="53"/>
      <c r="V858" s="22"/>
      <c r="W858" s="22"/>
      <c r="AG858" s="178"/>
      <c r="AI858" s="21"/>
    </row>
    <row r="859" spans="3:35" hidden="1" x14ac:dyDescent="0.25">
      <c r="C859" s="21"/>
      <c r="D859" s="21"/>
      <c r="G859" s="33"/>
      <c r="P859" s="55"/>
      <c r="Q859" s="54"/>
      <c r="S859" s="35"/>
      <c r="T859" s="674"/>
      <c r="U859" s="53"/>
      <c r="V859" s="22"/>
      <c r="W859" s="22"/>
      <c r="AG859" s="178"/>
      <c r="AI859" s="21"/>
    </row>
    <row r="860" spans="3:35" hidden="1" x14ac:dyDescent="0.25">
      <c r="C860" s="21"/>
      <c r="D860" s="21"/>
      <c r="G860" s="33"/>
      <c r="P860" s="55"/>
      <c r="Q860" s="54"/>
      <c r="S860" s="35"/>
      <c r="T860" s="674"/>
      <c r="U860" s="53"/>
      <c r="V860" s="22"/>
      <c r="W860" s="22"/>
      <c r="AG860" s="178"/>
      <c r="AI860" s="21"/>
    </row>
    <row r="861" spans="3:35" hidden="1" x14ac:dyDescent="0.25">
      <c r="C861" s="21"/>
      <c r="D861" s="21"/>
      <c r="G861" s="33"/>
      <c r="P861" s="55"/>
      <c r="Q861" s="54"/>
      <c r="S861" s="35"/>
      <c r="T861" s="674"/>
      <c r="U861" s="53"/>
      <c r="V861" s="22"/>
      <c r="W861" s="22"/>
      <c r="AG861" s="178"/>
      <c r="AI861" s="21"/>
    </row>
    <row r="862" spans="3:35" hidden="1" x14ac:dyDescent="0.25">
      <c r="C862" s="21"/>
      <c r="D862" s="21"/>
      <c r="G862" s="33"/>
      <c r="P862" s="55"/>
      <c r="Q862" s="54"/>
      <c r="S862" s="35"/>
      <c r="T862" s="674"/>
      <c r="U862" s="53"/>
      <c r="V862" s="22"/>
      <c r="W862" s="22"/>
      <c r="AG862" s="178"/>
      <c r="AI862" s="21"/>
    </row>
    <row r="863" spans="3:35" hidden="1" x14ac:dyDescent="0.25">
      <c r="C863" s="21"/>
      <c r="D863" s="21"/>
      <c r="G863" s="33"/>
      <c r="P863" s="55"/>
      <c r="Q863" s="54"/>
      <c r="S863" s="35"/>
      <c r="T863" s="674"/>
      <c r="U863" s="53"/>
      <c r="V863" s="22"/>
      <c r="W863" s="22"/>
      <c r="AG863" s="178"/>
      <c r="AI863" s="21"/>
    </row>
    <row r="864" spans="3:35" hidden="1" x14ac:dyDescent="0.25">
      <c r="C864" s="21"/>
      <c r="D864" s="21"/>
      <c r="G864" s="33"/>
      <c r="P864" s="55"/>
      <c r="Q864" s="54"/>
      <c r="S864" s="35"/>
      <c r="T864" s="674"/>
      <c r="U864" s="53"/>
      <c r="V864" s="22"/>
      <c r="W864" s="22"/>
      <c r="AG864" s="178"/>
      <c r="AI864" s="21"/>
    </row>
    <row r="865" spans="3:35" hidden="1" x14ac:dyDescent="0.25">
      <c r="C865" s="21"/>
      <c r="D865" s="21"/>
      <c r="G865" s="33"/>
      <c r="P865" s="55"/>
      <c r="Q865" s="54"/>
      <c r="S865" s="35"/>
      <c r="T865" s="674"/>
      <c r="U865" s="53"/>
      <c r="V865" s="22"/>
      <c r="W865" s="22"/>
      <c r="AG865" s="178"/>
      <c r="AI865" s="21"/>
    </row>
    <row r="866" spans="3:35" hidden="1" x14ac:dyDescent="0.25">
      <c r="C866" s="21"/>
      <c r="D866" s="21"/>
      <c r="G866" s="33"/>
      <c r="P866" s="55"/>
      <c r="Q866" s="54"/>
      <c r="S866" s="35"/>
      <c r="T866" s="674"/>
      <c r="U866" s="53"/>
      <c r="V866" s="22"/>
      <c r="W866" s="22"/>
      <c r="AG866" s="178"/>
      <c r="AI866" s="21"/>
    </row>
    <row r="867" spans="3:35" hidden="1" x14ac:dyDescent="0.25">
      <c r="C867" s="21"/>
      <c r="D867" s="21"/>
      <c r="G867" s="33"/>
      <c r="P867" s="55"/>
      <c r="Q867" s="54"/>
      <c r="S867" s="35"/>
      <c r="T867" s="674"/>
      <c r="U867" s="53"/>
      <c r="V867" s="22"/>
      <c r="W867" s="22"/>
      <c r="AG867" s="178"/>
      <c r="AI867" s="21"/>
    </row>
    <row r="868" spans="3:35" hidden="1" x14ac:dyDescent="0.25">
      <c r="C868" s="21"/>
      <c r="D868" s="21"/>
      <c r="G868" s="33"/>
      <c r="P868" s="55"/>
      <c r="Q868" s="54"/>
      <c r="S868" s="35"/>
      <c r="T868" s="674"/>
      <c r="U868" s="53"/>
      <c r="V868" s="22"/>
      <c r="W868" s="22"/>
      <c r="AG868" s="178"/>
      <c r="AI868" s="21"/>
    </row>
    <row r="869" spans="3:35" hidden="1" x14ac:dyDescent="0.25">
      <c r="C869" s="21"/>
      <c r="D869" s="21"/>
      <c r="G869" s="33"/>
      <c r="P869" s="55"/>
      <c r="Q869" s="54"/>
      <c r="S869" s="35"/>
      <c r="T869" s="674"/>
      <c r="U869" s="53"/>
      <c r="V869" s="22"/>
      <c r="W869" s="22"/>
      <c r="AG869" s="178"/>
      <c r="AI869" s="21"/>
    </row>
    <row r="870" spans="3:35" hidden="1" x14ac:dyDescent="0.25">
      <c r="C870" s="21"/>
      <c r="D870" s="21"/>
      <c r="G870" s="33"/>
      <c r="P870" s="55"/>
      <c r="Q870" s="54"/>
      <c r="S870" s="35"/>
      <c r="T870" s="674"/>
      <c r="U870" s="53"/>
      <c r="V870" s="22"/>
      <c r="W870" s="22"/>
      <c r="AG870" s="178"/>
      <c r="AI870" s="21"/>
    </row>
    <row r="871" spans="3:35" hidden="1" x14ac:dyDescent="0.25">
      <c r="C871" s="21"/>
      <c r="D871" s="21"/>
      <c r="G871" s="33"/>
      <c r="P871" s="55"/>
      <c r="Q871" s="54"/>
      <c r="S871" s="35"/>
      <c r="T871" s="674"/>
      <c r="U871" s="53"/>
      <c r="V871" s="22"/>
      <c r="W871" s="22"/>
      <c r="AG871" s="178"/>
      <c r="AI871" s="21"/>
    </row>
    <row r="872" spans="3:35" hidden="1" x14ac:dyDescent="0.25">
      <c r="C872" s="21"/>
      <c r="D872" s="21"/>
      <c r="G872" s="33"/>
      <c r="P872" s="55"/>
      <c r="Q872" s="54"/>
      <c r="S872" s="35"/>
      <c r="T872" s="674"/>
      <c r="U872" s="53"/>
      <c r="V872" s="22"/>
      <c r="W872" s="22"/>
      <c r="AG872" s="178"/>
      <c r="AI872" s="21"/>
    </row>
    <row r="873" spans="3:35" hidden="1" x14ac:dyDescent="0.25">
      <c r="C873" s="21"/>
      <c r="D873" s="21"/>
      <c r="G873" s="33"/>
      <c r="P873" s="55"/>
      <c r="Q873" s="54"/>
      <c r="S873" s="35"/>
      <c r="T873" s="674"/>
      <c r="U873" s="53"/>
      <c r="V873" s="22"/>
      <c r="W873" s="22"/>
      <c r="AG873" s="178"/>
      <c r="AI873" s="21"/>
    </row>
    <row r="874" spans="3:35" hidden="1" x14ac:dyDescent="0.25">
      <c r="C874" s="21"/>
      <c r="D874" s="21"/>
      <c r="G874" s="33"/>
      <c r="P874" s="55"/>
      <c r="Q874" s="54"/>
      <c r="S874" s="35"/>
      <c r="T874" s="674"/>
      <c r="U874" s="53"/>
      <c r="V874" s="22"/>
      <c r="W874" s="22"/>
      <c r="AG874" s="178"/>
      <c r="AI874" s="21"/>
    </row>
    <row r="875" spans="3:35" hidden="1" x14ac:dyDescent="0.25">
      <c r="C875" s="21"/>
      <c r="D875" s="21"/>
      <c r="G875" s="33"/>
      <c r="P875" s="55"/>
      <c r="Q875" s="54"/>
      <c r="S875" s="35"/>
      <c r="T875" s="674"/>
      <c r="U875" s="53"/>
      <c r="V875" s="22"/>
      <c r="W875" s="22"/>
      <c r="AG875" s="178"/>
      <c r="AI875" s="21"/>
    </row>
    <row r="876" spans="3:35" hidden="1" x14ac:dyDescent="0.25">
      <c r="C876" s="21"/>
      <c r="D876" s="21"/>
      <c r="G876" s="33"/>
      <c r="P876" s="55"/>
      <c r="Q876" s="54"/>
      <c r="S876" s="35"/>
      <c r="T876" s="674"/>
      <c r="U876" s="53"/>
      <c r="V876" s="22"/>
      <c r="W876" s="22"/>
      <c r="AG876" s="178"/>
      <c r="AI876" s="21"/>
    </row>
    <row r="877" spans="3:35" hidden="1" x14ac:dyDescent="0.25">
      <c r="C877" s="21"/>
      <c r="D877" s="21"/>
      <c r="G877" s="33"/>
      <c r="P877" s="55"/>
      <c r="Q877" s="54"/>
      <c r="S877" s="35"/>
      <c r="T877" s="674"/>
      <c r="U877" s="53"/>
      <c r="V877" s="22"/>
      <c r="W877" s="22"/>
      <c r="AG877" s="178"/>
      <c r="AI877" s="21"/>
    </row>
    <row r="878" spans="3:35" hidden="1" x14ac:dyDescent="0.25">
      <c r="C878" s="21"/>
      <c r="D878" s="21"/>
      <c r="G878" s="33"/>
      <c r="P878" s="55"/>
      <c r="Q878" s="54"/>
      <c r="S878" s="35"/>
      <c r="T878" s="674"/>
      <c r="U878" s="53"/>
      <c r="V878" s="22"/>
      <c r="W878" s="22"/>
      <c r="AG878" s="178"/>
      <c r="AI878" s="21"/>
    </row>
    <row r="879" spans="3:35" hidden="1" x14ac:dyDescent="0.25">
      <c r="C879" s="21"/>
      <c r="D879" s="21"/>
      <c r="G879" s="33"/>
      <c r="P879" s="55"/>
      <c r="Q879" s="54"/>
      <c r="S879" s="35"/>
      <c r="T879" s="674"/>
      <c r="U879" s="53"/>
      <c r="V879" s="22"/>
      <c r="W879" s="22"/>
      <c r="AG879" s="178"/>
      <c r="AI879" s="21"/>
    </row>
    <row r="880" spans="3:35" hidden="1" x14ac:dyDescent="0.25">
      <c r="C880" s="21"/>
      <c r="D880" s="21"/>
      <c r="G880" s="33"/>
      <c r="P880" s="55"/>
      <c r="Q880" s="54"/>
      <c r="S880" s="35"/>
      <c r="T880" s="674"/>
      <c r="U880" s="53"/>
      <c r="V880" s="22"/>
      <c r="W880" s="22"/>
      <c r="AG880" s="178"/>
      <c r="AI880" s="21"/>
    </row>
    <row r="881" spans="3:35" hidden="1" x14ac:dyDescent="0.25">
      <c r="C881" s="21"/>
      <c r="D881" s="21"/>
      <c r="G881" s="33"/>
      <c r="P881" s="55"/>
      <c r="Q881" s="54"/>
      <c r="S881" s="35"/>
      <c r="T881" s="674"/>
      <c r="U881" s="53"/>
      <c r="V881" s="22"/>
      <c r="W881" s="22"/>
      <c r="AG881" s="178"/>
      <c r="AI881" s="21"/>
    </row>
    <row r="882" spans="3:35" hidden="1" x14ac:dyDescent="0.25">
      <c r="C882" s="21"/>
      <c r="D882" s="21"/>
      <c r="G882" s="33"/>
      <c r="P882" s="55"/>
      <c r="Q882" s="54"/>
      <c r="S882" s="35"/>
      <c r="T882" s="674"/>
      <c r="U882" s="53"/>
      <c r="V882" s="22"/>
      <c r="W882" s="22"/>
      <c r="AG882" s="178"/>
      <c r="AI882" s="21"/>
    </row>
    <row r="883" spans="3:35" hidden="1" x14ac:dyDescent="0.25">
      <c r="C883" s="21"/>
      <c r="D883" s="21"/>
      <c r="G883" s="33"/>
      <c r="P883" s="55"/>
      <c r="Q883" s="54"/>
      <c r="S883" s="35"/>
      <c r="T883" s="674"/>
      <c r="U883" s="53"/>
      <c r="V883" s="22"/>
      <c r="W883" s="22"/>
      <c r="AG883" s="178"/>
      <c r="AI883" s="21"/>
    </row>
    <row r="884" spans="3:35" hidden="1" x14ac:dyDescent="0.25">
      <c r="C884" s="21"/>
      <c r="D884" s="21"/>
      <c r="G884" s="33"/>
      <c r="P884" s="55"/>
      <c r="Q884" s="54"/>
      <c r="S884" s="35"/>
      <c r="T884" s="674"/>
      <c r="U884" s="53"/>
      <c r="V884" s="22"/>
      <c r="W884" s="22"/>
      <c r="AG884" s="178"/>
      <c r="AI884" s="21"/>
    </row>
    <row r="885" spans="3:35" hidden="1" x14ac:dyDescent="0.25">
      <c r="C885" s="21"/>
      <c r="D885" s="21"/>
      <c r="G885" s="33"/>
      <c r="P885" s="55"/>
      <c r="Q885" s="54"/>
      <c r="S885" s="35"/>
      <c r="T885" s="674"/>
      <c r="U885" s="53"/>
      <c r="V885" s="22"/>
      <c r="W885" s="22"/>
      <c r="AG885" s="178"/>
      <c r="AI885" s="21"/>
    </row>
    <row r="886" spans="3:35" hidden="1" x14ac:dyDescent="0.25">
      <c r="C886" s="21"/>
      <c r="D886" s="21"/>
      <c r="G886" s="33"/>
      <c r="P886" s="55"/>
      <c r="Q886" s="54"/>
      <c r="S886" s="35"/>
      <c r="T886" s="674"/>
      <c r="U886" s="53"/>
      <c r="V886" s="22"/>
      <c r="W886" s="22"/>
      <c r="AG886" s="178"/>
      <c r="AI886" s="21"/>
    </row>
    <row r="887" spans="3:35" hidden="1" x14ac:dyDescent="0.25">
      <c r="C887" s="21"/>
      <c r="D887" s="21"/>
      <c r="G887" s="33"/>
      <c r="P887" s="55"/>
      <c r="Q887" s="54"/>
      <c r="S887" s="35"/>
      <c r="T887" s="674"/>
      <c r="U887" s="53"/>
      <c r="V887" s="22"/>
      <c r="W887" s="22"/>
      <c r="AG887" s="178"/>
      <c r="AI887" s="21"/>
    </row>
    <row r="888" spans="3:35" hidden="1" x14ac:dyDescent="0.25">
      <c r="C888" s="21"/>
      <c r="D888" s="21"/>
      <c r="G888" s="33"/>
      <c r="P888" s="55"/>
      <c r="Q888" s="54"/>
      <c r="S888" s="35"/>
      <c r="T888" s="674"/>
      <c r="U888" s="53"/>
      <c r="V888" s="22"/>
      <c r="W888" s="22"/>
      <c r="AG888" s="178"/>
      <c r="AI888" s="21"/>
    </row>
    <row r="889" spans="3:35" hidden="1" x14ac:dyDescent="0.25">
      <c r="C889" s="21"/>
      <c r="D889" s="21"/>
      <c r="G889" s="33"/>
      <c r="P889" s="55"/>
      <c r="Q889" s="54"/>
      <c r="S889" s="35"/>
      <c r="T889" s="674"/>
      <c r="U889" s="53"/>
      <c r="V889" s="22"/>
      <c r="W889" s="22"/>
      <c r="AG889" s="178"/>
      <c r="AI889" s="21"/>
    </row>
    <row r="890" spans="3:35" hidden="1" x14ac:dyDescent="0.25">
      <c r="C890" s="21"/>
      <c r="D890" s="21"/>
      <c r="G890" s="33"/>
      <c r="P890" s="55"/>
      <c r="Q890" s="54"/>
      <c r="S890" s="35"/>
      <c r="T890" s="674"/>
      <c r="U890" s="53"/>
      <c r="V890" s="22"/>
      <c r="W890" s="22"/>
      <c r="AG890" s="178"/>
      <c r="AI890" s="21"/>
    </row>
    <row r="891" spans="3:35" hidden="1" x14ac:dyDescent="0.25">
      <c r="C891" s="21"/>
      <c r="D891" s="21"/>
      <c r="G891" s="33"/>
      <c r="P891" s="55"/>
      <c r="Q891" s="54"/>
      <c r="S891" s="35"/>
      <c r="T891" s="674"/>
      <c r="U891" s="53"/>
      <c r="V891" s="22"/>
      <c r="W891" s="22"/>
      <c r="AG891" s="178"/>
      <c r="AI891" s="21"/>
    </row>
    <row r="892" spans="3:35" hidden="1" x14ac:dyDescent="0.25">
      <c r="C892" s="21"/>
      <c r="D892" s="21"/>
      <c r="G892" s="33"/>
      <c r="P892" s="55"/>
      <c r="Q892" s="54"/>
      <c r="S892" s="35"/>
      <c r="T892" s="674"/>
      <c r="U892" s="53"/>
      <c r="V892" s="22"/>
      <c r="W892" s="22"/>
      <c r="AG892" s="178"/>
      <c r="AI892" s="21"/>
    </row>
    <row r="893" spans="3:35" hidden="1" x14ac:dyDescent="0.25">
      <c r="C893" s="21"/>
      <c r="D893" s="21"/>
      <c r="G893" s="33"/>
      <c r="P893" s="55"/>
      <c r="Q893" s="54"/>
      <c r="S893" s="35"/>
      <c r="T893" s="674"/>
      <c r="U893" s="53"/>
      <c r="V893" s="22"/>
      <c r="W893" s="22"/>
      <c r="AG893" s="178"/>
      <c r="AI893" s="21"/>
    </row>
    <row r="894" spans="3:35" hidden="1" x14ac:dyDescent="0.25">
      <c r="C894" s="21"/>
      <c r="D894" s="21"/>
      <c r="G894" s="33"/>
      <c r="P894" s="55"/>
      <c r="Q894" s="54"/>
      <c r="S894" s="35"/>
      <c r="T894" s="674"/>
      <c r="U894" s="53"/>
      <c r="V894" s="22"/>
      <c r="W894" s="22"/>
      <c r="AG894" s="178"/>
      <c r="AI894" s="21"/>
    </row>
    <row r="895" spans="3:35" hidden="1" x14ac:dyDescent="0.25">
      <c r="C895" s="21"/>
      <c r="D895" s="21"/>
      <c r="G895" s="33"/>
      <c r="P895" s="55"/>
      <c r="Q895" s="54"/>
      <c r="S895" s="35"/>
      <c r="T895" s="674"/>
      <c r="U895" s="53"/>
      <c r="V895" s="22"/>
      <c r="W895" s="22"/>
      <c r="AG895" s="178"/>
      <c r="AI895" s="21"/>
    </row>
    <row r="896" spans="3:35" hidden="1" x14ac:dyDescent="0.25">
      <c r="C896" s="21"/>
      <c r="D896" s="21"/>
      <c r="G896" s="33"/>
      <c r="P896" s="55"/>
      <c r="Q896" s="54"/>
      <c r="S896" s="35"/>
      <c r="T896" s="674"/>
      <c r="U896" s="53"/>
      <c r="V896" s="22"/>
      <c r="W896" s="22"/>
      <c r="AG896" s="178"/>
      <c r="AI896" s="21"/>
    </row>
    <row r="897" spans="3:35" hidden="1" x14ac:dyDescent="0.25">
      <c r="C897" s="21"/>
      <c r="D897" s="21"/>
      <c r="G897" s="33"/>
      <c r="P897" s="55"/>
      <c r="Q897" s="54"/>
      <c r="S897" s="35"/>
      <c r="T897" s="674"/>
      <c r="U897" s="53"/>
      <c r="V897" s="22"/>
      <c r="W897" s="22"/>
      <c r="AG897" s="178"/>
      <c r="AI897" s="21"/>
    </row>
    <row r="898" spans="3:35" hidden="1" x14ac:dyDescent="0.25">
      <c r="C898" s="21"/>
      <c r="D898" s="21"/>
      <c r="G898" s="33"/>
      <c r="P898" s="55"/>
      <c r="Q898" s="54"/>
      <c r="S898" s="35"/>
      <c r="T898" s="674"/>
      <c r="U898" s="53"/>
      <c r="V898" s="22"/>
      <c r="W898" s="22"/>
      <c r="AG898" s="178"/>
      <c r="AI898" s="21"/>
    </row>
    <row r="899" spans="3:35" hidden="1" x14ac:dyDescent="0.25">
      <c r="C899" s="21"/>
      <c r="D899" s="21"/>
      <c r="G899" s="33"/>
      <c r="P899" s="55"/>
      <c r="Q899" s="54"/>
      <c r="S899" s="35"/>
      <c r="T899" s="674"/>
      <c r="U899" s="53"/>
      <c r="V899" s="22"/>
      <c r="W899" s="22"/>
      <c r="AG899" s="178"/>
      <c r="AI899" s="21"/>
    </row>
    <row r="900" spans="3:35" hidden="1" x14ac:dyDescent="0.25">
      <c r="C900" s="21"/>
      <c r="D900" s="21"/>
      <c r="G900" s="33"/>
      <c r="P900" s="55"/>
      <c r="Q900" s="54"/>
      <c r="S900" s="35"/>
      <c r="T900" s="674"/>
      <c r="U900" s="53"/>
      <c r="V900" s="22"/>
      <c r="W900" s="22"/>
      <c r="AG900" s="178"/>
      <c r="AI900" s="21"/>
    </row>
    <row r="901" spans="3:35" hidden="1" x14ac:dyDescent="0.25">
      <c r="C901" s="21"/>
      <c r="D901" s="21"/>
      <c r="G901" s="33"/>
      <c r="P901" s="55"/>
      <c r="Q901" s="54"/>
      <c r="S901" s="35"/>
      <c r="T901" s="674"/>
      <c r="U901" s="53"/>
      <c r="V901" s="22"/>
      <c r="W901" s="22"/>
      <c r="AG901" s="178"/>
      <c r="AI901" s="21"/>
    </row>
    <row r="902" spans="3:35" hidden="1" x14ac:dyDescent="0.25">
      <c r="C902" s="21"/>
      <c r="D902" s="21"/>
      <c r="G902" s="33"/>
      <c r="P902" s="55"/>
      <c r="Q902" s="54"/>
      <c r="S902" s="35"/>
      <c r="T902" s="674"/>
      <c r="U902" s="53"/>
      <c r="V902" s="22"/>
      <c r="W902" s="22"/>
      <c r="AG902" s="178"/>
      <c r="AI902" s="21"/>
    </row>
    <row r="903" spans="3:35" hidden="1" x14ac:dyDescent="0.25">
      <c r="C903" s="21"/>
      <c r="D903" s="21"/>
      <c r="G903" s="33"/>
      <c r="P903" s="55"/>
      <c r="Q903" s="54"/>
      <c r="S903" s="35"/>
      <c r="T903" s="674"/>
      <c r="U903" s="53"/>
      <c r="V903" s="22"/>
      <c r="W903" s="22"/>
      <c r="AG903" s="178"/>
      <c r="AI903" s="21"/>
    </row>
    <row r="904" spans="3:35" hidden="1" x14ac:dyDescent="0.25">
      <c r="C904" s="21"/>
      <c r="D904" s="21"/>
      <c r="G904" s="33"/>
      <c r="P904" s="55"/>
      <c r="Q904" s="54"/>
      <c r="S904" s="35"/>
      <c r="T904" s="674"/>
      <c r="U904" s="53"/>
      <c r="V904" s="22"/>
      <c r="W904" s="22"/>
      <c r="AG904" s="178"/>
      <c r="AI904" s="21"/>
    </row>
    <row r="905" spans="3:35" hidden="1" x14ac:dyDescent="0.25">
      <c r="C905" s="21"/>
      <c r="D905" s="21"/>
      <c r="G905" s="33"/>
      <c r="P905" s="55"/>
      <c r="Q905" s="54"/>
      <c r="S905" s="35"/>
      <c r="T905" s="674"/>
      <c r="U905" s="53"/>
      <c r="V905" s="22"/>
      <c r="W905" s="22"/>
      <c r="AG905" s="178"/>
      <c r="AI905" s="21"/>
    </row>
    <row r="906" spans="3:35" hidden="1" x14ac:dyDescent="0.25">
      <c r="C906" s="21"/>
      <c r="D906" s="21"/>
      <c r="G906" s="33"/>
      <c r="P906" s="55"/>
      <c r="Q906" s="54"/>
      <c r="S906" s="35"/>
      <c r="T906" s="674"/>
      <c r="U906" s="53"/>
      <c r="V906" s="22"/>
      <c r="W906" s="22"/>
      <c r="AG906" s="178"/>
      <c r="AI906" s="21"/>
    </row>
    <row r="907" spans="3:35" hidden="1" x14ac:dyDescent="0.25">
      <c r="C907" s="21"/>
      <c r="D907" s="21"/>
      <c r="G907" s="33"/>
      <c r="P907" s="55"/>
      <c r="Q907" s="54"/>
      <c r="S907" s="35"/>
      <c r="T907" s="674"/>
      <c r="U907" s="53"/>
      <c r="V907" s="22"/>
      <c r="W907" s="22"/>
      <c r="AG907" s="178"/>
      <c r="AI907" s="21"/>
    </row>
    <row r="908" spans="3:35" hidden="1" x14ac:dyDescent="0.25">
      <c r="C908" s="21"/>
      <c r="D908" s="21"/>
      <c r="G908" s="33"/>
      <c r="P908" s="55"/>
      <c r="Q908" s="54"/>
      <c r="S908" s="35"/>
      <c r="T908" s="674"/>
      <c r="U908" s="53"/>
      <c r="V908" s="22"/>
      <c r="W908" s="22"/>
      <c r="AG908" s="178"/>
      <c r="AI908" s="21"/>
    </row>
    <row r="909" spans="3:35" hidden="1" x14ac:dyDescent="0.25">
      <c r="C909" s="21"/>
      <c r="D909" s="21"/>
      <c r="G909" s="33"/>
      <c r="P909" s="55"/>
      <c r="Q909" s="54"/>
      <c r="S909" s="35"/>
      <c r="T909" s="674"/>
      <c r="U909" s="53"/>
      <c r="V909" s="22"/>
      <c r="W909" s="22"/>
      <c r="AG909" s="178"/>
      <c r="AI909" s="21"/>
    </row>
    <row r="910" spans="3:35" hidden="1" x14ac:dyDescent="0.25">
      <c r="C910" s="21"/>
      <c r="D910" s="21"/>
      <c r="G910" s="33"/>
      <c r="P910" s="55"/>
      <c r="Q910" s="54"/>
      <c r="S910" s="35"/>
      <c r="T910" s="674"/>
      <c r="U910" s="53"/>
      <c r="V910" s="22"/>
      <c r="W910" s="22"/>
      <c r="AG910" s="178"/>
      <c r="AI910" s="21"/>
    </row>
    <row r="911" spans="3:35" hidden="1" x14ac:dyDescent="0.25">
      <c r="C911" s="21"/>
      <c r="D911" s="21"/>
      <c r="G911" s="33"/>
      <c r="P911" s="55"/>
      <c r="Q911" s="54"/>
      <c r="S911" s="35"/>
      <c r="T911" s="674"/>
      <c r="U911" s="53"/>
      <c r="V911" s="22"/>
      <c r="W911" s="22"/>
      <c r="AG911" s="178"/>
      <c r="AI911" s="21"/>
    </row>
    <row r="912" spans="3:35" hidden="1" x14ac:dyDescent="0.25">
      <c r="C912" s="21"/>
      <c r="D912" s="21"/>
      <c r="G912" s="33"/>
      <c r="P912" s="55"/>
      <c r="Q912" s="54"/>
      <c r="S912" s="35"/>
      <c r="T912" s="674"/>
      <c r="U912" s="53"/>
      <c r="V912" s="22"/>
      <c r="W912" s="22"/>
      <c r="AG912" s="178"/>
      <c r="AI912" s="21"/>
    </row>
    <row r="913" spans="3:35" hidden="1" x14ac:dyDescent="0.25">
      <c r="C913" s="21"/>
      <c r="D913" s="21"/>
      <c r="G913" s="33"/>
      <c r="P913" s="55"/>
      <c r="Q913" s="54"/>
      <c r="S913" s="35"/>
      <c r="T913" s="674"/>
      <c r="U913" s="53"/>
      <c r="V913" s="22"/>
      <c r="W913" s="22"/>
      <c r="AG913" s="178"/>
      <c r="AI913" s="21"/>
    </row>
    <row r="914" spans="3:35" hidden="1" x14ac:dyDescent="0.25">
      <c r="C914" s="21"/>
      <c r="D914" s="21"/>
      <c r="G914" s="33"/>
      <c r="P914" s="55"/>
      <c r="Q914" s="54"/>
      <c r="S914" s="35"/>
      <c r="T914" s="674"/>
      <c r="U914" s="53"/>
      <c r="V914" s="22"/>
      <c r="W914" s="22"/>
      <c r="AG914" s="178"/>
      <c r="AI914" s="21"/>
    </row>
    <row r="915" spans="3:35" hidden="1" x14ac:dyDescent="0.25">
      <c r="C915" s="21"/>
      <c r="D915" s="21"/>
      <c r="G915" s="33"/>
      <c r="P915" s="55"/>
      <c r="Q915" s="54"/>
      <c r="S915" s="35"/>
      <c r="T915" s="674"/>
      <c r="U915" s="53"/>
      <c r="V915" s="22"/>
      <c r="W915" s="22"/>
      <c r="AG915" s="178"/>
      <c r="AI915" s="21"/>
    </row>
    <row r="916" spans="3:35" hidden="1" x14ac:dyDescent="0.25">
      <c r="C916" s="21"/>
      <c r="D916" s="21"/>
      <c r="G916" s="33"/>
      <c r="P916" s="55"/>
      <c r="Q916" s="54"/>
      <c r="S916" s="35"/>
      <c r="T916" s="674"/>
      <c r="U916" s="53"/>
      <c r="V916" s="22"/>
      <c r="W916" s="22"/>
      <c r="AG916" s="178"/>
      <c r="AI916" s="21"/>
    </row>
    <row r="917" spans="3:35" hidden="1" x14ac:dyDescent="0.25">
      <c r="C917" s="21"/>
      <c r="D917" s="21"/>
      <c r="G917" s="33"/>
      <c r="P917" s="55"/>
      <c r="Q917" s="54"/>
      <c r="S917" s="35"/>
      <c r="T917" s="674"/>
      <c r="U917" s="53"/>
      <c r="V917" s="22"/>
      <c r="W917" s="22"/>
      <c r="AG917" s="178"/>
      <c r="AI917" s="21"/>
    </row>
    <row r="918" spans="3:35" hidden="1" x14ac:dyDescent="0.25">
      <c r="C918" s="21"/>
      <c r="D918" s="21"/>
      <c r="G918" s="33"/>
      <c r="P918" s="55"/>
      <c r="Q918" s="54"/>
      <c r="S918" s="35"/>
      <c r="T918" s="674"/>
      <c r="U918" s="53"/>
      <c r="V918" s="22"/>
      <c r="W918" s="22"/>
      <c r="AG918" s="178"/>
      <c r="AI918" s="21"/>
    </row>
    <row r="919" spans="3:35" hidden="1" x14ac:dyDescent="0.25">
      <c r="C919" s="21"/>
      <c r="D919" s="21"/>
      <c r="G919" s="33"/>
      <c r="P919" s="55"/>
      <c r="Q919" s="54"/>
      <c r="S919" s="35"/>
      <c r="T919" s="674"/>
      <c r="U919" s="53"/>
      <c r="V919" s="22"/>
      <c r="W919" s="22"/>
      <c r="AG919" s="178"/>
      <c r="AI919" s="21"/>
    </row>
    <row r="920" spans="3:35" hidden="1" x14ac:dyDescent="0.25">
      <c r="C920" s="21"/>
      <c r="D920" s="21"/>
      <c r="G920" s="33"/>
      <c r="P920" s="55"/>
      <c r="Q920" s="54"/>
      <c r="S920" s="35"/>
      <c r="T920" s="674"/>
      <c r="U920" s="53"/>
      <c r="V920" s="22"/>
      <c r="W920" s="22"/>
      <c r="AG920" s="178"/>
      <c r="AI920" s="21"/>
    </row>
    <row r="921" spans="3:35" hidden="1" x14ac:dyDescent="0.25">
      <c r="C921" s="21"/>
      <c r="D921" s="21"/>
      <c r="G921" s="33"/>
      <c r="P921" s="55"/>
      <c r="Q921" s="54"/>
      <c r="S921" s="35"/>
      <c r="T921" s="674"/>
      <c r="U921" s="53"/>
      <c r="V921" s="22"/>
      <c r="W921" s="22"/>
      <c r="AG921" s="178"/>
      <c r="AI921" s="21"/>
    </row>
    <row r="922" spans="3:35" hidden="1" x14ac:dyDescent="0.25">
      <c r="C922" s="21"/>
      <c r="D922" s="21"/>
      <c r="G922" s="33"/>
      <c r="P922" s="55"/>
      <c r="Q922" s="54"/>
      <c r="S922" s="35"/>
      <c r="T922" s="674"/>
      <c r="U922" s="53"/>
      <c r="V922" s="22"/>
      <c r="W922" s="22"/>
      <c r="AG922" s="178"/>
      <c r="AI922" s="21"/>
    </row>
    <row r="923" spans="3:35" hidden="1" x14ac:dyDescent="0.25">
      <c r="C923" s="21"/>
      <c r="D923" s="21"/>
      <c r="G923" s="33"/>
      <c r="P923" s="55"/>
      <c r="Q923" s="54"/>
      <c r="S923" s="35"/>
      <c r="T923" s="674"/>
      <c r="U923" s="53"/>
      <c r="V923" s="22"/>
      <c r="W923" s="22"/>
      <c r="AG923" s="178"/>
      <c r="AI923" s="21"/>
    </row>
    <row r="924" spans="3:35" hidden="1" x14ac:dyDescent="0.25">
      <c r="C924" s="21"/>
      <c r="D924" s="21"/>
      <c r="G924" s="33"/>
      <c r="P924" s="55"/>
      <c r="Q924" s="54"/>
      <c r="S924" s="35"/>
      <c r="T924" s="674"/>
      <c r="U924" s="53"/>
      <c r="V924" s="22"/>
      <c r="W924" s="22"/>
      <c r="AG924" s="178"/>
      <c r="AI924" s="21"/>
    </row>
    <row r="925" spans="3:35" hidden="1" x14ac:dyDescent="0.25">
      <c r="C925" s="21"/>
      <c r="D925" s="21"/>
      <c r="G925" s="33"/>
      <c r="P925" s="55"/>
      <c r="Q925" s="54"/>
      <c r="S925" s="35"/>
      <c r="T925" s="674"/>
      <c r="U925" s="53"/>
      <c r="V925" s="22"/>
      <c r="W925" s="22"/>
      <c r="AG925" s="178"/>
      <c r="AI925" s="21"/>
    </row>
    <row r="926" spans="3:35" hidden="1" x14ac:dyDescent="0.25">
      <c r="C926" s="21"/>
      <c r="D926" s="21"/>
      <c r="G926" s="33"/>
      <c r="P926" s="55"/>
      <c r="Q926" s="54"/>
      <c r="S926" s="35"/>
      <c r="T926" s="674"/>
      <c r="U926" s="53"/>
      <c r="V926" s="22"/>
      <c r="W926" s="22"/>
      <c r="AG926" s="178"/>
      <c r="AI926" s="21"/>
    </row>
    <row r="927" spans="3:35" hidden="1" x14ac:dyDescent="0.25">
      <c r="C927" s="21"/>
      <c r="D927" s="21"/>
      <c r="G927" s="33"/>
      <c r="P927" s="55"/>
      <c r="Q927" s="54"/>
      <c r="S927" s="35"/>
      <c r="T927" s="674"/>
      <c r="U927" s="53"/>
      <c r="V927" s="22"/>
      <c r="W927" s="22"/>
      <c r="AG927" s="178"/>
      <c r="AI927" s="21"/>
    </row>
    <row r="928" spans="3:35" hidden="1" x14ac:dyDescent="0.25">
      <c r="C928" s="21"/>
      <c r="D928" s="21"/>
      <c r="G928" s="33"/>
      <c r="P928" s="55"/>
      <c r="Q928" s="54"/>
      <c r="S928" s="35"/>
      <c r="T928" s="674"/>
      <c r="U928" s="53"/>
      <c r="V928" s="22"/>
      <c r="W928" s="22"/>
      <c r="AG928" s="178"/>
      <c r="AI928" s="21"/>
    </row>
    <row r="929" spans="3:35" hidden="1" x14ac:dyDescent="0.25">
      <c r="C929" s="21"/>
      <c r="D929" s="21"/>
      <c r="G929" s="33"/>
      <c r="P929" s="55"/>
      <c r="Q929" s="54"/>
      <c r="S929" s="35"/>
      <c r="T929" s="674"/>
      <c r="U929" s="53"/>
      <c r="V929" s="22"/>
      <c r="W929" s="22"/>
      <c r="AG929" s="178"/>
      <c r="AI929" s="21"/>
    </row>
    <row r="930" spans="3:35" hidden="1" x14ac:dyDescent="0.25">
      <c r="C930" s="21"/>
      <c r="D930" s="21"/>
      <c r="G930" s="33"/>
      <c r="P930" s="55"/>
      <c r="Q930" s="54"/>
      <c r="S930" s="35"/>
      <c r="T930" s="674"/>
      <c r="U930" s="53"/>
      <c r="V930" s="22"/>
      <c r="W930" s="22"/>
      <c r="AG930" s="178"/>
      <c r="AI930" s="21"/>
    </row>
    <row r="931" spans="3:35" hidden="1" x14ac:dyDescent="0.25">
      <c r="C931" s="21"/>
      <c r="D931" s="21"/>
      <c r="G931" s="33"/>
      <c r="P931" s="55"/>
      <c r="Q931" s="54"/>
      <c r="S931" s="35"/>
      <c r="T931" s="674"/>
      <c r="U931" s="53"/>
      <c r="V931" s="22"/>
      <c r="W931" s="22"/>
      <c r="AG931" s="178"/>
      <c r="AI931" s="21"/>
    </row>
    <row r="932" spans="3:35" hidden="1" x14ac:dyDescent="0.25">
      <c r="C932" s="21"/>
      <c r="D932" s="21"/>
      <c r="G932" s="33"/>
      <c r="P932" s="55"/>
      <c r="Q932" s="54"/>
      <c r="S932" s="35"/>
      <c r="T932" s="674"/>
      <c r="U932" s="53"/>
      <c r="V932" s="22"/>
      <c r="W932" s="22"/>
      <c r="AG932" s="178"/>
      <c r="AI932" s="21"/>
    </row>
    <row r="933" spans="3:35" hidden="1" x14ac:dyDescent="0.25">
      <c r="C933" s="21"/>
      <c r="D933" s="21"/>
      <c r="G933" s="33"/>
      <c r="P933" s="55"/>
      <c r="Q933" s="54"/>
      <c r="S933" s="35"/>
      <c r="T933" s="674"/>
      <c r="U933" s="53"/>
      <c r="V933" s="22"/>
      <c r="W933" s="22"/>
      <c r="AG933" s="178"/>
      <c r="AI933" s="21"/>
    </row>
    <row r="934" spans="3:35" hidden="1" x14ac:dyDescent="0.25">
      <c r="C934" s="21"/>
      <c r="D934" s="21"/>
      <c r="G934" s="33"/>
      <c r="P934" s="55"/>
      <c r="Q934" s="54"/>
      <c r="S934" s="35"/>
      <c r="T934" s="674"/>
      <c r="U934" s="53"/>
      <c r="V934" s="22"/>
      <c r="W934" s="22"/>
      <c r="AG934" s="178"/>
      <c r="AI934" s="21"/>
    </row>
    <row r="935" spans="3:35" hidden="1" x14ac:dyDescent="0.25">
      <c r="C935" s="21"/>
      <c r="D935" s="21"/>
      <c r="G935" s="33"/>
      <c r="P935" s="55"/>
      <c r="Q935" s="54"/>
      <c r="S935" s="35"/>
      <c r="T935" s="674"/>
      <c r="U935" s="53"/>
      <c r="V935" s="22"/>
      <c r="W935" s="22"/>
      <c r="AG935" s="178"/>
      <c r="AI935" s="21"/>
    </row>
    <row r="936" spans="3:35" hidden="1" x14ac:dyDescent="0.25">
      <c r="C936" s="21"/>
      <c r="D936" s="21"/>
      <c r="G936" s="33"/>
      <c r="P936" s="55"/>
      <c r="Q936" s="54"/>
      <c r="S936" s="35"/>
      <c r="T936" s="674"/>
      <c r="U936" s="53"/>
      <c r="V936" s="22"/>
      <c r="W936" s="22"/>
      <c r="AG936" s="178"/>
      <c r="AI936" s="21"/>
    </row>
    <row r="937" spans="3:35" hidden="1" x14ac:dyDescent="0.25">
      <c r="C937" s="21"/>
      <c r="D937" s="21"/>
      <c r="G937" s="33"/>
      <c r="P937" s="55"/>
      <c r="Q937" s="54"/>
      <c r="S937" s="35"/>
      <c r="T937" s="674"/>
      <c r="U937" s="53"/>
      <c r="V937" s="22"/>
      <c r="W937" s="22"/>
      <c r="AG937" s="178"/>
      <c r="AI937" s="21"/>
    </row>
    <row r="938" spans="3:35" hidden="1" x14ac:dyDescent="0.25">
      <c r="C938" s="21"/>
      <c r="D938" s="21"/>
      <c r="G938" s="33"/>
      <c r="P938" s="55"/>
      <c r="Q938" s="54"/>
      <c r="S938" s="35"/>
      <c r="T938" s="674"/>
      <c r="U938" s="53"/>
      <c r="V938" s="22"/>
      <c r="W938" s="22"/>
      <c r="AG938" s="178"/>
      <c r="AI938" s="21"/>
    </row>
    <row r="939" spans="3:35" hidden="1" x14ac:dyDescent="0.25">
      <c r="C939" s="21"/>
      <c r="D939" s="21"/>
      <c r="G939" s="33"/>
      <c r="P939" s="55"/>
      <c r="Q939" s="54"/>
      <c r="S939" s="35"/>
      <c r="T939" s="674"/>
      <c r="U939" s="53"/>
      <c r="V939" s="22"/>
      <c r="W939" s="22"/>
      <c r="AG939" s="178"/>
      <c r="AI939" s="21"/>
    </row>
    <row r="940" spans="3:35" hidden="1" x14ac:dyDescent="0.25">
      <c r="C940" s="21"/>
      <c r="D940" s="21"/>
      <c r="G940" s="33"/>
      <c r="P940" s="55"/>
      <c r="Q940" s="54"/>
      <c r="S940" s="35"/>
      <c r="T940" s="674"/>
      <c r="U940" s="53"/>
      <c r="V940" s="22"/>
      <c r="W940" s="22"/>
      <c r="AG940" s="178"/>
      <c r="AI940" s="21"/>
    </row>
    <row r="941" spans="3:35" hidden="1" x14ac:dyDescent="0.25">
      <c r="C941" s="21"/>
      <c r="D941" s="21"/>
      <c r="G941" s="33"/>
      <c r="P941" s="55"/>
      <c r="Q941" s="54"/>
      <c r="S941" s="35"/>
      <c r="T941" s="674"/>
      <c r="U941" s="53"/>
      <c r="V941" s="22"/>
      <c r="W941" s="22"/>
      <c r="AG941" s="178"/>
      <c r="AI941" s="21"/>
    </row>
    <row r="942" spans="3:35" hidden="1" x14ac:dyDescent="0.25">
      <c r="C942" s="21"/>
      <c r="D942" s="21"/>
      <c r="G942" s="33"/>
      <c r="P942" s="55"/>
      <c r="Q942" s="54"/>
      <c r="S942" s="35"/>
      <c r="T942" s="674"/>
      <c r="U942" s="53"/>
      <c r="V942" s="22"/>
      <c r="W942" s="22"/>
      <c r="AG942" s="178"/>
      <c r="AI942" s="21"/>
    </row>
    <row r="943" spans="3:35" hidden="1" x14ac:dyDescent="0.25">
      <c r="C943" s="21"/>
      <c r="D943" s="21"/>
      <c r="G943" s="33"/>
      <c r="P943" s="55"/>
      <c r="Q943" s="54"/>
      <c r="S943" s="35"/>
      <c r="T943" s="674"/>
      <c r="U943" s="53"/>
      <c r="V943" s="22"/>
      <c r="W943" s="22"/>
      <c r="AG943" s="178"/>
      <c r="AI943" s="21"/>
    </row>
    <row r="944" spans="3:35" hidden="1" x14ac:dyDescent="0.25">
      <c r="C944" s="21"/>
      <c r="D944" s="21"/>
      <c r="G944" s="33"/>
      <c r="P944" s="55"/>
      <c r="Q944" s="54"/>
      <c r="S944" s="35"/>
      <c r="T944" s="674"/>
      <c r="U944" s="53"/>
      <c r="V944" s="22"/>
      <c r="W944" s="22"/>
      <c r="AG944" s="178"/>
      <c r="AI944" s="21"/>
    </row>
    <row r="945" spans="3:35" hidden="1" x14ac:dyDescent="0.25">
      <c r="C945" s="21"/>
      <c r="D945" s="21"/>
      <c r="G945" s="33"/>
      <c r="P945" s="55"/>
      <c r="Q945" s="54"/>
      <c r="S945" s="35"/>
      <c r="T945" s="674"/>
      <c r="U945" s="53"/>
      <c r="V945" s="22"/>
      <c r="W945" s="22"/>
      <c r="AG945" s="178"/>
      <c r="AI945" s="21"/>
    </row>
    <row r="946" spans="3:35" hidden="1" x14ac:dyDescent="0.25">
      <c r="C946" s="21"/>
      <c r="D946" s="21"/>
      <c r="G946" s="33"/>
      <c r="P946" s="55"/>
      <c r="Q946" s="54"/>
      <c r="S946" s="35"/>
      <c r="T946" s="674"/>
      <c r="U946" s="53"/>
      <c r="V946" s="22"/>
      <c r="W946" s="22"/>
      <c r="AG946" s="178"/>
      <c r="AI946" s="21"/>
    </row>
    <row r="947" spans="3:35" hidden="1" x14ac:dyDescent="0.25">
      <c r="C947" s="21"/>
      <c r="D947" s="21"/>
      <c r="G947" s="33"/>
      <c r="P947" s="55"/>
      <c r="Q947" s="54"/>
      <c r="S947" s="35"/>
      <c r="T947" s="674"/>
      <c r="U947" s="53"/>
      <c r="V947" s="22"/>
      <c r="W947" s="22"/>
      <c r="AG947" s="178"/>
      <c r="AI947" s="21"/>
    </row>
    <row r="948" spans="3:35" hidden="1" x14ac:dyDescent="0.25">
      <c r="C948" s="21"/>
      <c r="D948" s="21"/>
      <c r="G948" s="33"/>
      <c r="P948" s="55"/>
      <c r="Q948" s="54"/>
      <c r="S948" s="35"/>
      <c r="T948" s="674"/>
      <c r="U948" s="53"/>
      <c r="V948" s="22"/>
      <c r="W948" s="22"/>
      <c r="AG948" s="178"/>
      <c r="AI948" s="21"/>
    </row>
    <row r="949" spans="3:35" hidden="1" x14ac:dyDescent="0.25">
      <c r="C949" s="21"/>
      <c r="D949" s="21"/>
      <c r="G949" s="33"/>
      <c r="P949" s="55"/>
      <c r="Q949" s="54"/>
      <c r="S949" s="35"/>
      <c r="T949" s="674"/>
      <c r="U949" s="53"/>
      <c r="V949" s="22"/>
      <c r="W949" s="22"/>
      <c r="AG949" s="178"/>
      <c r="AI949" s="21"/>
    </row>
    <row r="950" spans="3:35" hidden="1" x14ac:dyDescent="0.25">
      <c r="C950" s="21"/>
      <c r="D950" s="21"/>
      <c r="G950" s="33"/>
      <c r="P950" s="55"/>
      <c r="Q950" s="54"/>
      <c r="S950" s="35"/>
      <c r="T950" s="674"/>
      <c r="U950" s="53"/>
      <c r="V950" s="22"/>
      <c r="W950" s="22"/>
      <c r="AG950" s="178"/>
      <c r="AI950" s="21"/>
    </row>
    <row r="951" spans="3:35" hidden="1" x14ac:dyDescent="0.25">
      <c r="C951" s="21"/>
      <c r="D951" s="21"/>
      <c r="G951" s="33"/>
      <c r="P951" s="55"/>
      <c r="Q951" s="54"/>
      <c r="S951" s="35"/>
      <c r="T951" s="674"/>
      <c r="U951" s="53"/>
      <c r="V951" s="22"/>
      <c r="W951" s="22"/>
      <c r="AG951" s="178"/>
      <c r="AI951" s="21"/>
    </row>
    <row r="952" spans="3:35" hidden="1" x14ac:dyDescent="0.25">
      <c r="C952" s="21"/>
      <c r="D952" s="21"/>
      <c r="G952" s="33"/>
      <c r="P952" s="55"/>
      <c r="Q952" s="54"/>
      <c r="S952" s="35"/>
      <c r="T952" s="674"/>
      <c r="U952" s="53"/>
      <c r="V952" s="22"/>
      <c r="W952" s="22"/>
      <c r="AG952" s="178"/>
      <c r="AI952" s="21"/>
    </row>
    <row r="953" spans="3:35" hidden="1" x14ac:dyDescent="0.25">
      <c r="C953" s="21"/>
      <c r="D953" s="21"/>
      <c r="G953" s="33"/>
      <c r="P953" s="55"/>
      <c r="Q953" s="54"/>
      <c r="S953" s="35"/>
      <c r="T953" s="674"/>
      <c r="U953" s="53"/>
      <c r="V953" s="22"/>
      <c r="W953" s="22"/>
      <c r="AG953" s="178"/>
      <c r="AI953" s="21"/>
    </row>
    <row r="954" spans="3:35" hidden="1" x14ac:dyDescent="0.25">
      <c r="C954" s="21"/>
      <c r="D954" s="21"/>
      <c r="G954" s="33"/>
      <c r="P954" s="55"/>
      <c r="Q954" s="54"/>
      <c r="S954" s="35"/>
      <c r="T954" s="674"/>
      <c r="U954" s="53"/>
      <c r="V954" s="22"/>
      <c r="W954" s="22"/>
      <c r="AG954" s="178"/>
      <c r="AI954" s="21"/>
    </row>
    <row r="955" spans="3:35" hidden="1" x14ac:dyDescent="0.25">
      <c r="C955" s="21"/>
      <c r="D955" s="21"/>
      <c r="G955" s="33"/>
      <c r="P955" s="55"/>
      <c r="Q955" s="54"/>
      <c r="S955" s="35"/>
      <c r="T955" s="674"/>
      <c r="U955" s="53"/>
      <c r="V955" s="22"/>
      <c r="W955" s="22"/>
      <c r="AG955" s="178"/>
      <c r="AI955" s="21"/>
    </row>
    <row r="956" spans="3:35" hidden="1" x14ac:dyDescent="0.25">
      <c r="C956" s="21"/>
      <c r="D956" s="21"/>
      <c r="G956" s="33"/>
      <c r="P956" s="55"/>
      <c r="Q956" s="54"/>
      <c r="S956" s="35"/>
      <c r="T956" s="674"/>
      <c r="U956" s="53"/>
      <c r="V956" s="22"/>
      <c r="W956" s="22"/>
      <c r="AG956" s="178"/>
      <c r="AI956" s="21"/>
    </row>
    <row r="957" spans="3:35" hidden="1" x14ac:dyDescent="0.25">
      <c r="C957" s="21"/>
      <c r="D957" s="21"/>
      <c r="G957" s="33"/>
      <c r="P957" s="55"/>
      <c r="Q957" s="54"/>
      <c r="S957" s="35"/>
      <c r="T957" s="674"/>
      <c r="U957" s="53"/>
      <c r="V957" s="22"/>
      <c r="W957" s="22"/>
      <c r="AG957" s="178"/>
      <c r="AI957" s="21"/>
    </row>
    <row r="958" spans="3:35" hidden="1" x14ac:dyDescent="0.25">
      <c r="C958" s="21"/>
      <c r="D958" s="21"/>
      <c r="G958" s="33"/>
      <c r="P958" s="55"/>
      <c r="Q958" s="54"/>
      <c r="S958" s="35"/>
      <c r="T958" s="674"/>
      <c r="U958" s="53"/>
      <c r="V958" s="22"/>
      <c r="W958" s="22"/>
      <c r="AG958" s="178"/>
      <c r="AI958" s="21"/>
    </row>
    <row r="959" spans="3:35" hidden="1" x14ac:dyDescent="0.25">
      <c r="C959" s="21"/>
      <c r="D959" s="21"/>
      <c r="G959" s="33"/>
      <c r="P959" s="55"/>
      <c r="Q959" s="54"/>
      <c r="S959" s="35"/>
      <c r="T959" s="674"/>
      <c r="U959" s="53"/>
      <c r="V959" s="22"/>
      <c r="W959" s="22"/>
      <c r="AG959" s="178"/>
      <c r="AI959" s="21"/>
    </row>
    <row r="960" spans="3:35" hidden="1" x14ac:dyDescent="0.25">
      <c r="C960" s="21"/>
      <c r="D960" s="21"/>
      <c r="G960" s="33"/>
      <c r="P960" s="55"/>
      <c r="Q960" s="54"/>
      <c r="S960" s="35"/>
      <c r="T960" s="674"/>
      <c r="U960" s="53"/>
      <c r="V960" s="22"/>
      <c r="W960" s="22"/>
      <c r="AG960" s="178"/>
      <c r="AI960" s="21"/>
    </row>
    <row r="961" spans="3:35" hidden="1" x14ac:dyDescent="0.25">
      <c r="C961" s="21"/>
      <c r="D961" s="21"/>
      <c r="G961" s="33"/>
      <c r="P961" s="55"/>
      <c r="Q961" s="54"/>
      <c r="S961" s="35"/>
      <c r="T961" s="674"/>
      <c r="U961" s="53"/>
      <c r="V961" s="22"/>
      <c r="W961" s="22"/>
      <c r="AG961" s="178"/>
      <c r="AI961" s="21"/>
    </row>
    <row r="962" spans="3:35" hidden="1" x14ac:dyDescent="0.25">
      <c r="C962" s="21"/>
      <c r="D962" s="21"/>
      <c r="G962" s="33"/>
      <c r="P962" s="55"/>
      <c r="Q962" s="54"/>
      <c r="S962" s="35"/>
      <c r="T962" s="674"/>
      <c r="U962" s="53"/>
      <c r="V962" s="22"/>
      <c r="W962" s="22"/>
      <c r="AG962" s="178"/>
      <c r="AI962" s="21"/>
    </row>
    <row r="963" spans="3:35" hidden="1" x14ac:dyDescent="0.25">
      <c r="C963" s="21"/>
      <c r="D963" s="21"/>
      <c r="G963" s="33"/>
      <c r="P963" s="55"/>
      <c r="Q963" s="54"/>
      <c r="S963" s="35"/>
      <c r="T963" s="674"/>
      <c r="U963" s="53"/>
      <c r="V963" s="22"/>
      <c r="W963" s="22"/>
      <c r="AG963" s="178"/>
      <c r="AI963" s="21"/>
    </row>
    <row r="964" spans="3:35" hidden="1" x14ac:dyDescent="0.25">
      <c r="C964" s="21"/>
      <c r="D964" s="21"/>
      <c r="G964" s="33"/>
      <c r="P964" s="55"/>
      <c r="Q964" s="54"/>
      <c r="S964" s="35"/>
      <c r="T964" s="674"/>
      <c r="U964" s="53"/>
      <c r="V964" s="22"/>
      <c r="W964" s="22"/>
      <c r="AG964" s="178"/>
      <c r="AI964" s="21"/>
    </row>
    <row r="965" spans="3:35" hidden="1" x14ac:dyDescent="0.25">
      <c r="C965" s="21"/>
      <c r="D965" s="21"/>
      <c r="G965" s="33"/>
      <c r="P965" s="55"/>
      <c r="Q965" s="54"/>
      <c r="S965" s="35"/>
      <c r="T965" s="674"/>
      <c r="U965" s="53"/>
      <c r="V965" s="22"/>
      <c r="W965" s="22"/>
      <c r="AG965" s="178"/>
      <c r="AI965" s="21"/>
    </row>
    <row r="966" spans="3:35" hidden="1" x14ac:dyDescent="0.25">
      <c r="C966" s="21"/>
      <c r="D966" s="21"/>
      <c r="G966" s="33"/>
      <c r="P966" s="55"/>
      <c r="Q966" s="54"/>
      <c r="S966" s="35"/>
      <c r="T966" s="674"/>
      <c r="U966" s="53"/>
      <c r="V966" s="22"/>
      <c r="W966" s="22"/>
      <c r="AG966" s="178"/>
      <c r="AI966" s="21"/>
    </row>
    <row r="967" spans="3:35" hidden="1" x14ac:dyDescent="0.25">
      <c r="C967" s="21"/>
      <c r="D967" s="21"/>
      <c r="G967" s="33"/>
      <c r="P967" s="55"/>
      <c r="Q967" s="54"/>
      <c r="S967" s="35"/>
      <c r="T967" s="674"/>
      <c r="U967" s="53"/>
      <c r="V967" s="22"/>
      <c r="W967" s="22"/>
      <c r="AG967" s="178"/>
      <c r="AI967" s="21"/>
    </row>
    <row r="968" spans="3:35" hidden="1" x14ac:dyDescent="0.25">
      <c r="C968" s="21"/>
      <c r="D968" s="21"/>
      <c r="G968" s="33"/>
      <c r="P968" s="55"/>
      <c r="Q968" s="54"/>
      <c r="S968" s="35"/>
      <c r="T968" s="674"/>
      <c r="U968" s="53"/>
      <c r="V968" s="22"/>
      <c r="W968" s="22"/>
      <c r="AG968" s="178"/>
      <c r="AI968" s="21"/>
    </row>
    <row r="969" spans="3:35" hidden="1" x14ac:dyDescent="0.25">
      <c r="C969" s="21"/>
      <c r="D969" s="21"/>
      <c r="G969" s="33"/>
      <c r="P969" s="55"/>
      <c r="Q969" s="54"/>
      <c r="S969" s="35"/>
      <c r="T969" s="674"/>
      <c r="U969" s="53"/>
      <c r="V969" s="22"/>
      <c r="W969" s="22"/>
      <c r="AG969" s="178"/>
      <c r="AI969" s="21"/>
    </row>
    <row r="970" spans="3:35" hidden="1" x14ac:dyDescent="0.25">
      <c r="C970" s="21"/>
      <c r="D970" s="21"/>
      <c r="G970" s="33"/>
      <c r="P970" s="55"/>
      <c r="Q970" s="54"/>
      <c r="S970" s="35"/>
      <c r="T970" s="674"/>
      <c r="U970" s="53"/>
      <c r="V970" s="22"/>
      <c r="W970" s="22"/>
      <c r="AG970" s="178"/>
      <c r="AI970" s="21"/>
    </row>
    <row r="971" spans="3:35" hidden="1" x14ac:dyDescent="0.25">
      <c r="C971" s="21"/>
      <c r="D971" s="21"/>
      <c r="G971" s="33"/>
      <c r="P971" s="55"/>
      <c r="Q971" s="54"/>
      <c r="S971" s="35"/>
      <c r="T971" s="674"/>
      <c r="U971" s="53"/>
      <c r="V971" s="22"/>
      <c r="W971" s="22"/>
      <c r="AG971" s="178"/>
      <c r="AI971" s="21"/>
    </row>
    <row r="972" spans="3:35" hidden="1" x14ac:dyDescent="0.25">
      <c r="C972" s="21"/>
      <c r="D972" s="21"/>
      <c r="G972" s="33"/>
      <c r="P972" s="55"/>
      <c r="Q972" s="54"/>
      <c r="S972" s="35"/>
      <c r="T972" s="674"/>
      <c r="U972" s="53"/>
      <c r="V972" s="22"/>
      <c r="W972" s="22"/>
      <c r="AG972" s="178"/>
      <c r="AI972" s="21"/>
    </row>
    <row r="973" spans="3:35" hidden="1" x14ac:dyDescent="0.25">
      <c r="C973" s="21"/>
      <c r="D973" s="21"/>
      <c r="G973" s="33"/>
      <c r="P973" s="55"/>
      <c r="Q973" s="54"/>
      <c r="S973" s="35"/>
      <c r="T973" s="674"/>
      <c r="U973" s="53"/>
      <c r="V973" s="22"/>
      <c r="W973" s="22"/>
      <c r="AG973" s="178"/>
      <c r="AI973" s="21"/>
    </row>
    <row r="974" spans="3:35" hidden="1" x14ac:dyDescent="0.25">
      <c r="C974" s="21"/>
      <c r="D974" s="21"/>
      <c r="G974" s="33"/>
      <c r="P974" s="55"/>
      <c r="Q974" s="54"/>
      <c r="S974" s="35"/>
      <c r="T974" s="674"/>
      <c r="U974" s="53"/>
      <c r="V974" s="22"/>
      <c r="W974" s="22"/>
      <c r="AG974" s="178"/>
      <c r="AI974" s="21"/>
    </row>
    <row r="975" spans="3:35" hidden="1" x14ac:dyDescent="0.25">
      <c r="C975" s="21"/>
      <c r="D975" s="21"/>
      <c r="G975" s="33"/>
      <c r="P975" s="55"/>
      <c r="Q975" s="54"/>
      <c r="S975" s="35"/>
      <c r="T975" s="674"/>
      <c r="U975" s="53"/>
      <c r="V975" s="22"/>
      <c r="W975" s="22"/>
      <c r="AG975" s="178"/>
      <c r="AI975" s="21"/>
    </row>
    <row r="976" spans="3:35" hidden="1" x14ac:dyDescent="0.25">
      <c r="C976" s="21"/>
      <c r="D976" s="21"/>
      <c r="G976" s="33"/>
      <c r="P976" s="55"/>
      <c r="Q976" s="54"/>
      <c r="S976" s="35"/>
      <c r="T976" s="674"/>
      <c r="U976" s="53"/>
      <c r="V976" s="22"/>
      <c r="W976" s="22"/>
      <c r="AG976" s="178"/>
      <c r="AI976" s="21"/>
    </row>
    <row r="977" spans="3:35" hidden="1" x14ac:dyDescent="0.25">
      <c r="C977" s="21"/>
      <c r="D977" s="21"/>
      <c r="G977" s="33"/>
      <c r="P977" s="55"/>
      <c r="Q977" s="54"/>
      <c r="S977" s="35"/>
      <c r="T977" s="674"/>
      <c r="U977" s="53"/>
      <c r="V977" s="22"/>
      <c r="W977" s="22"/>
      <c r="AG977" s="178"/>
      <c r="AI977" s="21"/>
    </row>
    <row r="978" spans="3:35" hidden="1" x14ac:dyDescent="0.25">
      <c r="C978" s="21"/>
      <c r="D978" s="21"/>
      <c r="G978" s="33"/>
      <c r="P978" s="55"/>
      <c r="Q978" s="54"/>
      <c r="S978" s="35"/>
      <c r="T978" s="674"/>
      <c r="U978" s="53"/>
      <c r="V978" s="22"/>
      <c r="W978" s="22"/>
      <c r="AG978" s="178"/>
      <c r="AI978" s="21"/>
    </row>
    <row r="979" spans="3:35" hidden="1" x14ac:dyDescent="0.25">
      <c r="C979" s="21"/>
      <c r="D979" s="21"/>
      <c r="G979" s="33"/>
      <c r="P979" s="55"/>
      <c r="Q979" s="54"/>
      <c r="S979" s="35"/>
      <c r="T979" s="674"/>
      <c r="U979" s="53"/>
      <c r="V979" s="22"/>
      <c r="W979" s="22"/>
      <c r="AG979" s="178"/>
      <c r="AI979" s="21"/>
    </row>
    <row r="980" spans="3:35" hidden="1" x14ac:dyDescent="0.25">
      <c r="C980" s="21"/>
      <c r="D980" s="21"/>
      <c r="G980" s="33"/>
      <c r="P980" s="55"/>
      <c r="Q980" s="54"/>
      <c r="S980" s="35"/>
      <c r="T980" s="674"/>
      <c r="U980" s="53"/>
      <c r="V980" s="22"/>
      <c r="W980" s="22"/>
      <c r="AG980" s="178"/>
      <c r="AI980" s="21"/>
    </row>
    <row r="981" spans="3:35" hidden="1" x14ac:dyDescent="0.25">
      <c r="C981" s="21"/>
      <c r="D981" s="21"/>
      <c r="G981" s="33"/>
      <c r="P981" s="55"/>
      <c r="Q981" s="54"/>
      <c r="S981" s="35"/>
      <c r="T981" s="674"/>
      <c r="U981" s="53"/>
      <c r="V981" s="22"/>
      <c r="W981" s="22"/>
      <c r="AG981" s="178"/>
      <c r="AI981" s="21"/>
    </row>
    <row r="982" spans="3:35" hidden="1" x14ac:dyDescent="0.25">
      <c r="C982" s="21"/>
      <c r="D982" s="21"/>
      <c r="G982" s="33"/>
      <c r="P982" s="55"/>
      <c r="Q982" s="54"/>
      <c r="S982" s="35"/>
      <c r="T982" s="674"/>
      <c r="U982" s="53"/>
      <c r="V982" s="22"/>
      <c r="W982" s="22"/>
      <c r="AG982" s="178"/>
      <c r="AI982" s="21"/>
    </row>
    <row r="983" spans="3:35" hidden="1" x14ac:dyDescent="0.25">
      <c r="C983" s="21"/>
      <c r="D983" s="21"/>
      <c r="G983" s="33"/>
      <c r="P983" s="55"/>
      <c r="Q983" s="54"/>
      <c r="S983" s="35"/>
      <c r="T983" s="674"/>
      <c r="U983" s="53"/>
      <c r="V983" s="22"/>
      <c r="W983" s="22"/>
      <c r="AG983" s="178"/>
      <c r="AI983" s="21"/>
    </row>
    <row r="984" spans="3:35" hidden="1" x14ac:dyDescent="0.25">
      <c r="C984" s="21"/>
      <c r="D984" s="21"/>
      <c r="G984" s="33"/>
      <c r="P984" s="55"/>
      <c r="Q984" s="54"/>
      <c r="S984" s="35"/>
      <c r="T984" s="674"/>
      <c r="U984" s="53"/>
      <c r="V984" s="22"/>
      <c r="W984" s="22"/>
      <c r="AG984" s="178"/>
      <c r="AI984" s="21"/>
    </row>
    <row r="985" spans="3:35" hidden="1" x14ac:dyDescent="0.25">
      <c r="C985" s="21"/>
      <c r="D985" s="21"/>
      <c r="G985" s="33"/>
      <c r="P985" s="55"/>
      <c r="Q985" s="54"/>
      <c r="S985" s="35"/>
      <c r="T985" s="674"/>
      <c r="U985" s="53"/>
      <c r="V985" s="22"/>
      <c r="W985" s="22"/>
      <c r="AG985" s="178"/>
      <c r="AI985" s="21"/>
    </row>
    <row r="986" spans="3:35" hidden="1" x14ac:dyDescent="0.25">
      <c r="C986" s="21"/>
      <c r="D986" s="21"/>
      <c r="G986" s="33"/>
      <c r="P986" s="55"/>
      <c r="Q986" s="54"/>
      <c r="S986" s="35"/>
      <c r="T986" s="674"/>
      <c r="U986" s="53"/>
      <c r="V986" s="22"/>
      <c r="W986" s="22"/>
      <c r="AG986" s="178"/>
      <c r="AI986" s="21"/>
    </row>
    <row r="987" spans="3:35" hidden="1" x14ac:dyDescent="0.25">
      <c r="C987" s="21"/>
      <c r="D987" s="21"/>
      <c r="G987" s="33"/>
      <c r="P987" s="55"/>
      <c r="Q987" s="54"/>
      <c r="S987" s="35"/>
      <c r="T987" s="674"/>
      <c r="U987" s="53"/>
      <c r="V987" s="22"/>
      <c r="W987" s="22"/>
      <c r="AG987" s="178"/>
      <c r="AI987" s="21"/>
    </row>
    <row r="988" spans="3:35" hidden="1" x14ac:dyDescent="0.25">
      <c r="C988" s="21"/>
      <c r="D988" s="21"/>
      <c r="G988" s="33"/>
      <c r="P988" s="55"/>
      <c r="Q988" s="54"/>
      <c r="S988" s="35"/>
      <c r="T988" s="674"/>
      <c r="U988" s="53"/>
      <c r="V988" s="22"/>
      <c r="W988" s="22"/>
      <c r="AG988" s="178"/>
      <c r="AI988" s="21"/>
    </row>
    <row r="989" spans="3:35" hidden="1" x14ac:dyDescent="0.25">
      <c r="C989" s="21"/>
      <c r="D989" s="21"/>
      <c r="G989" s="33"/>
      <c r="P989" s="55"/>
      <c r="Q989" s="54"/>
      <c r="S989" s="35"/>
      <c r="T989" s="674"/>
      <c r="U989" s="53"/>
      <c r="V989" s="22"/>
      <c r="W989" s="22"/>
      <c r="AG989" s="178"/>
      <c r="AI989" s="21"/>
    </row>
    <row r="990" spans="3:35" hidden="1" x14ac:dyDescent="0.25">
      <c r="C990" s="21"/>
      <c r="D990" s="21"/>
      <c r="G990" s="33"/>
      <c r="P990" s="55"/>
      <c r="Q990" s="54"/>
      <c r="S990" s="35"/>
      <c r="T990" s="674"/>
      <c r="U990" s="53"/>
      <c r="V990" s="22"/>
      <c r="W990" s="22"/>
      <c r="AG990" s="178"/>
      <c r="AI990" s="21"/>
    </row>
    <row r="991" spans="3:35" hidden="1" x14ac:dyDescent="0.25">
      <c r="C991" s="21"/>
      <c r="D991" s="21"/>
      <c r="G991" s="33"/>
      <c r="P991" s="55"/>
      <c r="Q991" s="54"/>
      <c r="S991" s="35"/>
      <c r="T991" s="674"/>
      <c r="U991" s="53"/>
      <c r="V991" s="22"/>
      <c r="W991" s="22"/>
      <c r="AG991" s="178"/>
      <c r="AI991" s="21"/>
    </row>
    <row r="992" spans="3:35" hidden="1" x14ac:dyDescent="0.25">
      <c r="C992" s="21"/>
      <c r="D992" s="21"/>
      <c r="G992" s="33"/>
      <c r="P992" s="55"/>
      <c r="Q992" s="54"/>
      <c r="S992" s="35"/>
      <c r="T992" s="674"/>
      <c r="U992" s="53"/>
      <c r="V992" s="22"/>
      <c r="W992" s="22"/>
      <c r="AG992" s="178"/>
      <c r="AI992" s="21"/>
    </row>
    <row r="993" spans="3:35" hidden="1" x14ac:dyDescent="0.25">
      <c r="C993" s="21"/>
      <c r="D993" s="21"/>
      <c r="G993" s="33"/>
      <c r="P993" s="55"/>
      <c r="Q993" s="54"/>
      <c r="S993" s="35"/>
      <c r="T993" s="674"/>
      <c r="U993" s="53"/>
      <c r="V993" s="22"/>
      <c r="W993" s="22"/>
      <c r="AG993" s="178"/>
      <c r="AI993" s="21"/>
    </row>
    <row r="994" spans="3:35" hidden="1" x14ac:dyDescent="0.25">
      <c r="C994" s="21"/>
      <c r="D994" s="21"/>
      <c r="G994" s="33"/>
      <c r="P994" s="55"/>
      <c r="Q994" s="54"/>
      <c r="S994" s="35"/>
      <c r="T994" s="674"/>
      <c r="U994" s="53"/>
      <c r="V994" s="22"/>
      <c r="W994" s="22"/>
      <c r="AG994" s="178"/>
      <c r="AI994" s="21"/>
    </row>
    <row r="995" spans="3:35" hidden="1" x14ac:dyDescent="0.25">
      <c r="C995" s="21"/>
      <c r="D995" s="21"/>
      <c r="G995" s="33"/>
      <c r="P995" s="55"/>
      <c r="Q995" s="54"/>
      <c r="S995" s="35"/>
      <c r="T995" s="674"/>
      <c r="U995" s="53"/>
      <c r="V995" s="22"/>
      <c r="W995" s="22"/>
      <c r="AG995" s="178"/>
      <c r="AI995" s="21"/>
    </row>
    <row r="996" spans="3:35" hidden="1" x14ac:dyDescent="0.25">
      <c r="C996" s="21"/>
      <c r="D996" s="21"/>
      <c r="G996" s="33"/>
      <c r="P996" s="55"/>
      <c r="Q996" s="54"/>
      <c r="S996" s="35"/>
      <c r="T996" s="674"/>
      <c r="U996" s="53"/>
      <c r="V996" s="22"/>
      <c r="W996" s="22"/>
      <c r="AG996" s="178"/>
      <c r="AI996" s="21"/>
    </row>
    <row r="997" spans="3:35" hidden="1" x14ac:dyDescent="0.25">
      <c r="C997" s="21"/>
      <c r="D997" s="21"/>
      <c r="G997" s="33"/>
      <c r="P997" s="55"/>
      <c r="Q997" s="54"/>
      <c r="S997" s="35"/>
      <c r="T997" s="674"/>
      <c r="U997" s="53"/>
      <c r="V997" s="22"/>
      <c r="W997" s="22"/>
      <c r="AG997" s="178"/>
      <c r="AI997" s="21"/>
    </row>
    <row r="998" spans="3:35" hidden="1" x14ac:dyDescent="0.25">
      <c r="C998" s="21"/>
      <c r="D998" s="21"/>
      <c r="G998" s="33"/>
      <c r="P998" s="55"/>
      <c r="Q998" s="54"/>
      <c r="S998" s="35"/>
      <c r="T998" s="674"/>
      <c r="U998" s="53"/>
      <c r="V998" s="22"/>
      <c r="W998" s="22"/>
      <c r="AG998" s="178"/>
      <c r="AI998" s="21"/>
    </row>
    <row r="999" spans="3:35" hidden="1" x14ac:dyDescent="0.25">
      <c r="C999" s="21"/>
      <c r="D999" s="21"/>
      <c r="G999" s="33"/>
      <c r="P999" s="55"/>
      <c r="Q999" s="54"/>
      <c r="S999" s="35"/>
      <c r="T999" s="674"/>
      <c r="U999" s="53"/>
      <c r="V999" s="22"/>
      <c r="W999" s="22"/>
      <c r="AG999" s="178"/>
      <c r="AI999" s="21"/>
    </row>
    <row r="1000" spans="3:35" hidden="1" x14ac:dyDescent="0.25">
      <c r="C1000" s="21"/>
      <c r="D1000" s="21"/>
      <c r="G1000" s="33"/>
      <c r="P1000" s="55"/>
      <c r="Q1000" s="54"/>
      <c r="S1000" s="35"/>
      <c r="T1000" s="674"/>
      <c r="U1000" s="53"/>
      <c r="V1000" s="22"/>
      <c r="W1000" s="22"/>
      <c r="AG1000" s="178"/>
      <c r="AI1000" s="21"/>
    </row>
    <row r="1001" spans="3:35" hidden="1" x14ac:dyDescent="0.25">
      <c r="C1001" s="21"/>
      <c r="D1001" s="21"/>
      <c r="G1001" s="33"/>
      <c r="P1001" s="55"/>
      <c r="Q1001" s="54"/>
      <c r="S1001" s="35"/>
      <c r="T1001" s="674"/>
      <c r="U1001" s="53"/>
      <c r="V1001" s="22"/>
      <c r="W1001" s="22"/>
      <c r="AG1001" s="178"/>
      <c r="AI1001" s="21"/>
    </row>
    <row r="1002" spans="3:35" hidden="1" x14ac:dyDescent="0.25">
      <c r="C1002" s="21"/>
      <c r="D1002" s="21"/>
      <c r="G1002" s="33"/>
      <c r="P1002" s="55"/>
      <c r="Q1002" s="54"/>
      <c r="S1002" s="35"/>
      <c r="T1002" s="674"/>
      <c r="U1002" s="53"/>
      <c r="V1002" s="22"/>
      <c r="W1002" s="22"/>
      <c r="AG1002" s="178"/>
      <c r="AI1002" s="21"/>
    </row>
    <row r="1003" spans="3:35" hidden="1" x14ac:dyDescent="0.25">
      <c r="C1003" s="21"/>
      <c r="D1003" s="21"/>
      <c r="G1003" s="33"/>
      <c r="P1003" s="55"/>
      <c r="Q1003" s="54"/>
      <c r="S1003" s="35"/>
      <c r="T1003" s="674"/>
      <c r="U1003" s="53"/>
      <c r="V1003" s="22"/>
      <c r="W1003" s="22"/>
      <c r="AG1003" s="178"/>
      <c r="AI1003" s="21"/>
    </row>
    <row r="1004" spans="3:35" hidden="1" x14ac:dyDescent="0.25">
      <c r="C1004" s="21"/>
      <c r="D1004" s="21"/>
      <c r="G1004" s="33"/>
      <c r="P1004" s="55"/>
      <c r="Q1004" s="54"/>
      <c r="S1004" s="35"/>
      <c r="T1004" s="674"/>
      <c r="U1004" s="53"/>
      <c r="V1004" s="22"/>
      <c r="W1004" s="22"/>
      <c r="AG1004" s="178"/>
      <c r="AI1004" s="21"/>
    </row>
    <row r="1005" spans="3:35" hidden="1" x14ac:dyDescent="0.25">
      <c r="C1005" s="21"/>
      <c r="D1005" s="21"/>
      <c r="G1005" s="33"/>
      <c r="P1005" s="55"/>
      <c r="Q1005" s="54"/>
      <c r="S1005" s="35"/>
      <c r="T1005" s="674"/>
      <c r="U1005" s="53"/>
      <c r="V1005" s="22"/>
      <c r="W1005" s="22"/>
      <c r="AG1005" s="178"/>
      <c r="AI1005" s="21"/>
    </row>
    <row r="1006" spans="3:35" hidden="1" x14ac:dyDescent="0.25">
      <c r="C1006" s="21"/>
      <c r="D1006" s="21"/>
      <c r="G1006" s="33"/>
      <c r="P1006" s="55"/>
      <c r="Q1006" s="54"/>
      <c r="S1006" s="35"/>
      <c r="T1006" s="674"/>
      <c r="U1006" s="53"/>
      <c r="V1006" s="22"/>
      <c r="W1006" s="22"/>
      <c r="AG1006" s="178"/>
      <c r="AI1006" s="21"/>
    </row>
    <row r="1007" spans="3:35" hidden="1" x14ac:dyDescent="0.25">
      <c r="C1007" s="21"/>
      <c r="D1007" s="21"/>
      <c r="G1007" s="33"/>
      <c r="P1007" s="55"/>
      <c r="Q1007" s="54"/>
      <c r="S1007" s="35"/>
      <c r="T1007" s="674"/>
      <c r="U1007" s="53"/>
      <c r="V1007" s="22"/>
      <c r="W1007" s="22"/>
      <c r="AG1007" s="178"/>
      <c r="AI1007" s="21"/>
    </row>
    <row r="1008" spans="3:35" hidden="1" x14ac:dyDescent="0.25">
      <c r="C1008" s="21"/>
      <c r="D1008" s="21"/>
      <c r="G1008" s="33"/>
      <c r="P1008" s="55"/>
      <c r="Q1008" s="54"/>
      <c r="S1008" s="35"/>
      <c r="T1008" s="674"/>
      <c r="U1008" s="53"/>
      <c r="V1008" s="22"/>
      <c r="W1008" s="22"/>
      <c r="AG1008" s="178"/>
      <c r="AI1008" s="21"/>
    </row>
    <row r="1009" spans="3:35" hidden="1" x14ac:dyDescent="0.25">
      <c r="C1009" s="21"/>
      <c r="D1009" s="21"/>
      <c r="G1009" s="33"/>
      <c r="P1009" s="55"/>
      <c r="Q1009" s="54"/>
      <c r="S1009" s="35"/>
      <c r="T1009" s="674"/>
      <c r="U1009" s="53"/>
      <c r="V1009" s="22"/>
      <c r="W1009" s="22"/>
      <c r="AG1009" s="178"/>
      <c r="AI1009" s="21"/>
    </row>
    <row r="1010" spans="3:35" hidden="1" x14ac:dyDescent="0.25">
      <c r="C1010" s="21"/>
      <c r="D1010" s="21"/>
      <c r="G1010" s="33"/>
      <c r="P1010" s="55"/>
      <c r="Q1010" s="54"/>
      <c r="S1010" s="35"/>
      <c r="T1010" s="674"/>
      <c r="U1010" s="53"/>
      <c r="V1010" s="22"/>
      <c r="W1010" s="22"/>
      <c r="AG1010" s="178"/>
      <c r="AI1010" s="21"/>
    </row>
    <row r="1011" spans="3:35" hidden="1" x14ac:dyDescent="0.25">
      <c r="C1011" s="21"/>
      <c r="D1011" s="21"/>
      <c r="G1011" s="33"/>
      <c r="P1011" s="55"/>
      <c r="Q1011" s="54"/>
      <c r="S1011" s="35"/>
      <c r="T1011" s="674"/>
      <c r="U1011" s="53"/>
      <c r="V1011" s="22"/>
      <c r="W1011" s="22"/>
      <c r="AG1011" s="178"/>
      <c r="AI1011" s="21"/>
    </row>
    <row r="1012" spans="3:35" hidden="1" x14ac:dyDescent="0.25">
      <c r="C1012" s="21"/>
      <c r="D1012" s="21"/>
      <c r="G1012" s="33"/>
      <c r="P1012" s="55"/>
      <c r="Q1012" s="54"/>
      <c r="S1012" s="35"/>
      <c r="T1012" s="674"/>
      <c r="U1012" s="53"/>
      <c r="V1012" s="22"/>
      <c r="W1012" s="22"/>
      <c r="AG1012" s="178"/>
      <c r="AI1012" s="21"/>
    </row>
    <row r="1013" spans="3:35" hidden="1" x14ac:dyDescent="0.25">
      <c r="C1013" s="21"/>
      <c r="D1013" s="21"/>
      <c r="G1013" s="33"/>
      <c r="P1013" s="55"/>
      <c r="Q1013" s="54"/>
      <c r="S1013" s="35"/>
      <c r="T1013" s="674"/>
      <c r="U1013" s="53"/>
      <c r="V1013" s="22"/>
      <c r="W1013" s="22"/>
      <c r="AG1013" s="178"/>
      <c r="AI1013" s="21"/>
    </row>
    <row r="1014" spans="3:35" hidden="1" x14ac:dyDescent="0.25">
      <c r="C1014" s="21"/>
      <c r="D1014" s="21"/>
      <c r="G1014" s="33"/>
      <c r="P1014" s="55"/>
      <c r="Q1014" s="54"/>
      <c r="S1014" s="35"/>
      <c r="T1014" s="674"/>
      <c r="U1014" s="53"/>
      <c r="V1014" s="22"/>
      <c r="W1014" s="22"/>
      <c r="AG1014" s="178"/>
      <c r="AI1014" s="21"/>
    </row>
    <row r="1015" spans="3:35" hidden="1" x14ac:dyDescent="0.25">
      <c r="C1015" s="21"/>
      <c r="D1015" s="21"/>
      <c r="G1015" s="33"/>
      <c r="P1015" s="55"/>
      <c r="Q1015" s="54"/>
      <c r="S1015" s="35"/>
      <c r="T1015" s="674"/>
      <c r="U1015" s="53"/>
      <c r="V1015" s="22"/>
      <c r="W1015" s="22"/>
      <c r="AG1015" s="178"/>
      <c r="AI1015" s="21"/>
    </row>
    <row r="1016" spans="3:35" hidden="1" x14ac:dyDescent="0.25">
      <c r="C1016" s="21"/>
      <c r="D1016" s="21"/>
      <c r="G1016" s="33"/>
      <c r="P1016" s="55"/>
      <c r="Q1016" s="54"/>
      <c r="S1016" s="35"/>
      <c r="T1016" s="674"/>
      <c r="U1016" s="53"/>
      <c r="V1016" s="22"/>
      <c r="W1016" s="22"/>
      <c r="AG1016" s="178"/>
      <c r="AI1016" s="21"/>
    </row>
    <row r="1017" spans="3:35" hidden="1" x14ac:dyDescent="0.25">
      <c r="C1017" s="21"/>
      <c r="D1017" s="21"/>
      <c r="G1017" s="33"/>
      <c r="P1017" s="55"/>
      <c r="Q1017" s="54"/>
      <c r="S1017" s="35"/>
      <c r="T1017" s="674"/>
      <c r="U1017" s="53"/>
      <c r="V1017" s="22"/>
      <c r="W1017" s="22"/>
      <c r="AG1017" s="178"/>
      <c r="AI1017" s="21"/>
    </row>
    <row r="1018" spans="3:35" hidden="1" x14ac:dyDescent="0.25">
      <c r="C1018" s="21"/>
      <c r="D1018" s="21"/>
      <c r="G1018" s="33"/>
      <c r="P1018" s="55"/>
      <c r="Q1018" s="54"/>
      <c r="S1018" s="35"/>
      <c r="T1018" s="674"/>
      <c r="U1018" s="53"/>
      <c r="V1018" s="22"/>
      <c r="W1018" s="22"/>
      <c r="AG1018" s="178"/>
      <c r="AI1018" s="21"/>
    </row>
    <row r="1019" spans="3:35" hidden="1" x14ac:dyDescent="0.25">
      <c r="C1019" s="21"/>
      <c r="D1019" s="21"/>
      <c r="G1019" s="33"/>
      <c r="P1019" s="55"/>
      <c r="Q1019" s="54"/>
      <c r="S1019" s="35"/>
      <c r="T1019" s="674"/>
      <c r="U1019" s="53"/>
      <c r="V1019" s="22"/>
      <c r="W1019" s="22"/>
      <c r="AG1019" s="178"/>
      <c r="AI1019" s="21"/>
    </row>
    <row r="1020" spans="3:35" hidden="1" x14ac:dyDescent="0.25">
      <c r="C1020" s="21"/>
      <c r="D1020" s="21"/>
      <c r="G1020" s="33"/>
      <c r="P1020" s="55"/>
      <c r="Q1020" s="54"/>
      <c r="S1020" s="35"/>
      <c r="T1020" s="674"/>
      <c r="U1020" s="53"/>
      <c r="V1020" s="22"/>
      <c r="W1020" s="22"/>
      <c r="AG1020" s="178"/>
      <c r="AI1020" s="21"/>
    </row>
    <row r="1021" spans="3:35" hidden="1" x14ac:dyDescent="0.25">
      <c r="C1021" s="21"/>
      <c r="D1021" s="21"/>
      <c r="G1021" s="33"/>
      <c r="P1021" s="55"/>
      <c r="Q1021" s="54"/>
      <c r="S1021" s="35"/>
      <c r="T1021" s="674"/>
      <c r="U1021" s="53"/>
      <c r="V1021" s="22"/>
      <c r="W1021" s="22"/>
      <c r="AG1021" s="178"/>
      <c r="AI1021" s="21"/>
    </row>
    <row r="1022" spans="3:35" hidden="1" x14ac:dyDescent="0.25">
      <c r="C1022" s="21"/>
      <c r="D1022" s="21"/>
      <c r="G1022" s="33"/>
      <c r="P1022" s="55"/>
      <c r="Q1022" s="54"/>
      <c r="S1022" s="35"/>
      <c r="T1022" s="674"/>
      <c r="U1022" s="53"/>
      <c r="V1022" s="22"/>
      <c r="W1022" s="22"/>
      <c r="AG1022" s="178"/>
      <c r="AI1022" s="21"/>
    </row>
    <row r="1023" spans="3:35" hidden="1" x14ac:dyDescent="0.25">
      <c r="C1023" s="21"/>
      <c r="D1023" s="21"/>
      <c r="G1023" s="33"/>
      <c r="P1023" s="55"/>
      <c r="Q1023" s="54"/>
      <c r="S1023" s="35"/>
      <c r="T1023" s="674"/>
      <c r="U1023" s="53"/>
      <c r="V1023" s="22"/>
      <c r="W1023" s="22"/>
      <c r="AG1023" s="178"/>
      <c r="AI1023" s="21"/>
    </row>
    <row r="1024" spans="3:35" hidden="1" x14ac:dyDescent="0.25">
      <c r="C1024" s="21"/>
      <c r="D1024" s="21"/>
      <c r="G1024" s="33"/>
      <c r="P1024" s="55"/>
      <c r="Q1024" s="54"/>
      <c r="S1024" s="35"/>
      <c r="T1024" s="674"/>
      <c r="U1024" s="53"/>
      <c r="V1024" s="22"/>
      <c r="W1024" s="22"/>
      <c r="AG1024" s="178"/>
      <c r="AI1024" s="21"/>
    </row>
    <row r="1025" spans="3:35" hidden="1" x14ac:dyDescent="0.25">
      <c r="C1025" s="21"/>
      <c r="D1025" s="21"/>
      <c r="G1025" s="33"/>
      <c r="P1025" s="55"/>
      <c r="Q1025" s="54"/>
      <c r="S1025" s="35"/>
      <c r="T1025" s="674"/>
      <c r="U1025" s="53"/>
      <c r="V1025" s="22"/>
      <c r="W1025" s="22"/>
      <c r="AG1025" s="178"/>
      <c r="AI1025" s="21"/>
    </row>
    <row r="1026" spans="3:35" hidden="1" x14ac:dyDescent="0.25">
      <c r="C1026" s="21"/>
      <c r="D1026" s="21"/>
      <c r="G1026" s="33"/>
      <c r="P1026" s="55"/>
      <c r="Q1026" s="54"/>
      <c r="S1026" s="35"/>
      <c r="T1026" s="674"/>
      <c r="U1026" s="53"/>
      <c r="V1026" s="22"/>
      <c r="W1026" s="22"/>
      <c r="AG1026" s="178"/>
      <c r="AI1026" s="21"/>
    </row>
    <row r="1027" spans="3:35" hidden="1" x14ac:dyDescent="0.25">
      <c r="C1027" s="21"/>
      <c r="D1027" s="21"/>
      <c r="G1027" s="33"/>
      <c r="P1027" s="55"/>
      <c r="Q1027" s="54"/>
      <c r="S1027" s="35"/>
      <c r="T1027" s="674"/>
      <c r="U1027" s="53"/>
      <c r="V1027" s="22"/>
      <c r="W1027" s="22"/>
      <c r="AG1027" s="178"/>
      <c r="AI1027" s="21"/>
    </row>
    <row r="1028" spans="3:35" hidden="1" x14ac:dyDescent="0.25">
      <c r="C1028" s="21"/>
      <c r="D1028" s="21"/>
      <c r="G1028" s="33"/>
      <c r="P1028" s="55"/>
      <c r="Q1028" s="54"/>
      <c r="S1028" s="35"/>
      <c r="T1028" s="674"/>
      <c r="U1028" s="53"/>
      <c r="V1028" s="22"/>
      <c r="W1028" s="22"/>
      <c r="AG1028" s="178"/>
      <c r="AI1028" s="21"/>
    </row>
    <row r="1029" spans="3:35" hidden="1" x14ac:dyDescent="0.25">
      <c r="C1029" s="21"/>
      <c r="D1029" s="21"/>
      <c r="G1029" s="33"/>
      <c r="P1029" s="55"/>
      <c r="Q1029" s="54"/>
      <c r="S1029" s="35"/>
      <c r="T1029" s="674"/>
      <c r="U1029" s="53"/>
      <c r="V1029" s="22"/>
      <c r="W1029" s="22"/>
      <c r="AG1029" s="178"/>
      <c r="AI1029" s="21"/>
    </row>
    <row r="1030" spans="3:35" hidden="1" x14ac:dyDescent="0.25">
      <c r="C1030" s="21"/>
      <c r="D1030" s="21"/>
      <c r="G1030" s="33"/>
      <c r="P1030" s="55"/>
      <c r="Q1030" s="54"/>
      <c r="S1030" s="35"/>
      <c r="T1030" s="674"/>
      <c r="U1030" s="53"/>
      <c r="V1030" s="22"/>
      <c r="W1030" s="22"/>
      <c r="AG1030" s="178"/>
      <c r="AI1030" s="21"/>
    </row>
    <row r="1031" spans="3:35" hidden="1" x14ac:dyDescent="0.25">
      <c r="C1031" s="21"/>
      <c r="D1031" s="21"/>
      <c r="G1031" s="33"/>
      <c r="P1031" s="55"/>
      <c r="Q1031" s="54"/>
      <c r="S1031" s="35"/>
      <c r="T1031" s="674"/>
      <c r="U1031" s="53"/>
      <c r="V1031" s="22"/>
      <c r="W1031" s="22"/>
      <c r="AG1031" s="178"/>
      <c r="AI1031" s="21"/>
    </row>
    <row r="1032" spans="3:35" hidden="1" x14ac:dyDescent="0.25">
      <c r="C1032" s="21"/>
      <c r="D1032" s="21"/>
      <c r="G1032" s="33"/>
      <c r="P1032" s="55"/>
      <c r="Q1032" s="54"/>
      <c r="S1032" s="35"/>
      <c r="T1032" s="674"/>
      <c r="U1032" s="53"/>
      <c r="V1032" s="22"/>
      <c r="W1032" s="22"/>
      <c r="AG1032" s="178"/>
      <c r="AI1032" s="21"/>
    </row>
    <row r="1033" spans="3:35" hidden="1" x14ac:dyDescent="0.25">
      <c r="C1033" s="21"/>
      <c r="D1033" s="21"/>
      <c r="G1033" s="33"/>
      <c r="P1033" s="55"/>
      <c r="Q1033" s="54"/>
      <c r="S1033" s="35"/>
      <c r="T1033" s="674"/>
      <c r="U1033" s="53"/>
      <c r="V1033" s="22"/>
      <c r="W1033" s="22"/>
      <c r="AG1033" s="178"/>
      <c r="AI1033" s="21"/>
    </row>
    <row r="1034" spans="3:35" hidden="1" x14ac:dyDescent="0.25">
      <c r="C1034" s="21"/>
      <c r="D1034" s="21"/>
      <c r="G1034" s="33"/>
      <c r="P1034" s="55"/>
      <c r="Q1034" s="54"/>
      <c r="S1034" s="35"/>
      <c r="T1034" s="674"/>
      <c r="U1034" s="53"/>
      <c r="V1034" s="22"/>
      <c r="W1034" s="22"/>
      <c r="AG1034" s="178"/>
      <c r="AI1034" s="21"/>
    </row>
    <row r="1035" spans="3:35" hidden="1" x14ac:dyDescent="0.25">
      <c r="C1035" s="21"/>
      <c r="D1035" s="21"/>
      <c r="G1035" s="33"/>
      <c r="P1035" s="55"/>
      <c r="Q1035" s="54"/>
      <c r="S1035" s="35"/>
      <c r="T1035" s="674"/>
      <c r="U1035" s="53"/>
      <c r="V1035" s="22"/>
      <c r="W1035" s="22"/>
      <c r="AG1035" s="178"/>
      <c r="AI1035" s="21"/>
    </row>
    <row r="1036" spans="3:35" hidden="1" x14ac:dyDescent="0.25">
      <c r="C1036" s="21"/>
      <c r="D1036" s="21"/>
      <c r="G1036" s="33"/>
      <c r="P1036" s="55"/>
      <c r="Q1036" s="54"/>
      <c r="S1036" s="35"/>
      <c r="T1036" s="674"/>
      <c r="U1036" s="53"/>
      <c r="V1036" s="22"/>
      <c r="W1036" s="22"/>
      <c r="AG1036" s="178"/>
      <c r="AI1036" s="21"/>
    </row>
    <row r="1037" spans="3:35" hidden="1" x14ac:dyDescent="0.25">
      <c r="C1037" s="21"/>
      <c r="D1037" s="21"/>
      <c r="G1037" s="33"/>
      <c r="P1037" s="55"/>
      <c r="Q1037" s="54"/>
      <c r="S1037" s="35"/>
      <c r="T1037" s="674"/>
      <c r="U1037" s="53"/>
      <c r="V1037" s="22"/>
      <c r="W1037" s="22"/>
      <c r="AG1037" s="178"/>
      <c r="AI1037" s="21"/>
    </row>
    <row r="1038" spans="3:35" hidden="1" x14ac:dyDescent="0.25">
      <c r="C1038" s="21"/>
      <c r="D1038" s="21"/>
      <c r="G1038" s="33"/>
      <c r="P1038" s="55"/>
      <c r="Q1038" s="54"/>
      <c r="S1038" s="35"/>
      <c r="T1038" s="674"/>
      <c r="U1038" s="53"/>
      <c r="V1038" s="22"/>
      <c r="W1038" s="22"/>
      <c r="AG1038" s="178"/>
      <c r="AI1038" s="21"/>
    </row>
    <row r="1039" spans="3:35" hidden="1" x14ac:dyDescent="0.25">
      <c r="C1039" s="21"/>
      <c r="D1039" s="21"/>
      <c r="G1039" s="33"/>
      <c r="P1039" s="55"/>
      <c r="Q1039" s="54"/>
      <c r="S1039" s="35"/>
      <c r="T1039" s="674"/>
      <c r="U1039" s="53"/>
      <c r="V1039" s="22"/>
      <c r="W1039" s="22"/>
      <c r="AG1039" s="178"/>
      <c r="AI1039" s="21"/>
    </row>
    <row r="1040" spans="3:35" hidden="1" x14ac:dyDescent="0.25">
      <c r="C1040" s="21"/>
      <c r="D1040" s="21"/>
      <c r="G1040" s="33"/>
      <c r="P1040" s="55"/>
      <c r="Q1040" s="54"/>
      <c r="S1040" s="35"/>
      <c r="T1040" s="674"/>
      <c r="U1040" s="53"/>
      <c r="V1040" s="22"/>
      <c r="W1040" s="22"/>
      <c r="AG1040" s="178"/>
      <c r="AI1040" s="21"/>
    </row>
    <row r="1041" spans="3:35" hidden="1" x14ac:dyDescent="0.25">
      <c r="C1041" s="21"/>
      <c r="D1041" s="21"/>
      <c r="G1041" s="33"/>
      <c r="P1041" s="55"/>
      <c r="Q1041" s="54"/>
      <c r="S1041" s="35"/>
      <c r="T1041" s="674"/>
      <c r="U1041" s="53"/>
      <c r="V1041" s="22"/>
      <c r="W1041" s="22"/>
      <c r="AG1041" s="178"/>
      <c r="AI1041" s="21"/>
    </row>
    <row r="1042" spans="3:35" hidden="1" x14ac:dyDescent="0.25">
      <c r="C1042" s="21"/>
      <c r="D1042" s="21"/>
      <c r="G1042" s="33"/>
      <c r="P1042" s="55"/>
      <c r="Q1042" s="54"/>
      <c r="S1042" s="35"/>
      <c r="T1042" s="674"/>
      <c r="U1042" s="53"/>
      <c r="V1042" s="22"/>
      <c r="W1042" s="22"/>
      <c r="AG1042" s="178"/>
      <c r="AI1042" s="21"/>
    </row>
    <row r="1043" spans="3:35" hidden="1" x14ac:dyDescent="0.25">
      <c r="C1043" s="21"/>
      <c r="D1043" s="21"/>
      <c r="G1043" s="33"/>
      <c r="P1043" s="55"/>
      <c r="Q1043" s="54"/>
      <c r="S1043" s="35"/>
      <c r="T1043" s="674"/>
      <c r="U1043" s="53"/>
      <c r="V1043" s="22"/>
      <c r="W1043" s="22"/>
      <c r="AG1043" s="178"/>
      <c r="AI1043" s="21"/>
    </row>
    <row r="1044" spans="3:35" hidden="1" x14ac:dyDescent="0.25">
      <c r="C1044" s="21"/>
      <c r="D1044" s="21"/>
      <c r="G1044" s="33"/>
      <c r="P1044" s="55"/>
      <c r="Q1044" s="54"/>
      <c r="S1044" s="35"/>
      <c r="T1044" s="674"/>
      <c r="U1044" s="53"/>
      <c r="V1044" s="22"/>
      <c r="W1044" s="22"/>
      <c r="AG1044" s="178"/>
      <c r="AI1044" s="21"/>
    </row>
    <row r="1045" spans="3:35" hidden="1" x14ac:dyDescent="0.25">
      <c r="C1045" s="21"/>
      <c r="D1045" s="21"/>
      <c r="G1045" s="33"/>
      <c r="P1045" s="55"/>
      <c r="Q1045" s="54"/>
      <c r="S1045" s="35"/>
      <c r="T1045" s="674"/>
      <c r="U1045" s="53"/>
      <c r="V1045" s="22"/>
      <c r="W1045" s="22"/>
      <c r="AG1045" s="178"/>
      <c r="AI1045" s="21"/>
    </row>
    <row r="1046" spans="3:35" hidden="1" x14ac:dyDescent="0.25">
      <c r="C1046" s="21"/>
      <c r="D1046" s="21"/>
      <c r="G1046" s="33"/>
      <c r="P1046" s="55"/>
      <c r="Q1046" s="54"/>
      <c r="S1046" s="35"/>
      <c r="T1046" s="674"/>
      <c r="U1046" s="53"/>
      <c r="V1046" s="22"/>
      <c r="W1046" s="22"/>
      <c r="AG1046" s="178"/>
      <c r="AI1046" s="21"/>
    </row>
    <row r="1047" spans="3:35" hidden="1" x14ac:dyDescent="0.25">
      <c r="C1047" s="21"/>
      <c r="D1047" s="21"/>
      <c r="G1047" s="33"/>
      <c r="P1047" s="55"/>
      <c r="Q1047" s="54"/>
      <c r="S1047" s="35"/>
      <c r="T1047" s="674"/>
      <c r="U1047" s="53"/>
      <c r="V1047" s="22"/>
      <c r="W1047" s="22"/>
      <c r="AG1047" s="178"/>
      <c r="AI1047" s="21"/>
    </row>
    <row r="1048" spans="3:35" hidden="1" x14ac:dyDescent="0.25">
      <c r="C1048" s="21"/>
      <c r="D1048" s="21"/>
      <c r="G1048" s="33"/>
      <c r="P1048" s="55"/>
      <c r="Q1048" s="54"/>
      <c r="S1048" s="35"/>
      <c r="T1048" s="674"/>
      <c r="U1048" s="53"/>
      <c r="V1048" s="22"/>
      <c r="W1048" s="22"/>
      <c r="AG1048" s="178"/>
      <c r="AI1048" s="21"/>
    </row>
    <row r="1049" spans="3:35" hidden="1" x14ac:dyDescent="0.25">
      <c r="C1049" s="21"/>
      <c r="D1049" s="21"/>
      <c r="G1049" s="33"/>
      <c r="P1049" s="55"/>
      <c r="Q1049" s="54"/>
      <c r="S1049" s="35"/>
      <c r="T1049" s="674"/>
      <c r="U1049" s="53"/>
      <c r="V1049" s="22"/>
      <c r="W1049" s="22"/>
      <c r="AG1049" s="178"/>
      <c r="AI1049" s="21"/>
    </row>
    <row r="1050" spans="3:35" hidden="1" x14ac:dyDescent="0.25">
      <c r="C1050" s="21"/>
      <c r="D1050" s="21"/>
      <c r="G1050" s="33"/>
      <c r="P1050" s="55"/>
      <c r="Q1050" s="54"/>
      <c r="S1050" s="35"/>
      <c r="T1050" s="674"/>
      <c r="U1050" s="53"/>
      <c r="V1050" s="22"/>
      <c r="W1050" s="22"/>
      <c r="AG1050" s="178"/>
      <c r="AI1050" s="21"/>
    </row>
    <row r="1051" spans="3:35" hidden="1" x14ac:dyDescent="0.25">
      <c r="C1051" s="21"/>
      <c r="D1051" s="21"/>
      <c r="G1051" s="33"/>
      <c r="P1051" s="55"/>
      <c r="Q1051" s="54"/>
      <c r="S1051" s="35"/>
      <c r="T1051" s="674"/>
      <c r="U1051" s="53"/>
      <c r="V1051" s="22"/>
      <c r="W1051" s="22"/>
      <c r="AG1051" s="178"/>
      <c r="AI1051" s="21"/>
    </row>
    <row r="1052" spans="3:35" hidden="1" x14ac:dyDescent="0.25">
      <c r="C1052" s="21"/>
      <c r="D1052" s="21"/>
      <c r="G1052" s="33"/>
      <c r="P1052" s="55"/>
      <c r="Q1052" s="54"/>
      <c r="S1052" s="35"/>
      <c r="T1052" s="674"/>
      <c r="U1052" s="53"/>
      <c r="V1052" s="22"/>
      <c r="W1052" s="22"/>
      <c r="AG1052" s="178"/>
      <c r="AI1052" s="21"/>
    </row>
    <row r="1053" spans="3:35" hidden="1" x14ac:dyDescent="0.25">
      <c r="C1053" s="21"/>
      <c r="D1053" s="21"/>
      <c r="G1053" s="33"/>
      <c r="P1053" s="55"/>
      <c r="Q1053" s="54"/>
      <c r="S1053" s="35"/>
      <c r="T1053" s="674"/>
      <c r="U1053" s="53"/>
      <c r="V1053" s="22"/>
      <c r="W1053" s="22"/>
      <c r="AG1053" s="178"/>
      <c r="AI1053" s="21"/>
    </row>
    <row r="1054" spans="3:35" hidden="1" x14ac:dyDescent="0.25">
      <c r="C1054" s="21"/>
      <c r="D1054" s="21"/>
      <c r="G1054" s="33"/>
      <c r="P1054" s="55"/>
      <c r="Q1054" s="54"/>
      <c r="S1054" s="35"/>
      <c r="T1054" s="674"/>
      <c r="U1054" s="53"/>
      <c r="V1054" s="22"/>
      <c r="W1054" s="22"/>
      <c r="AG1054" s="178"/>
      <c r="AI1054" s="21"/>
    </row>
    <row r="1055" spans="3:35" hidden="1" x14ac:dyDescent="0.25">
      <c r="C1055" s="21"/>
      <c r="D1055" s="21"/>
      <c r="G1055" s="33"/>
      <c r="P1055" s="55"/>
      <c r="Q1055" s="54"/>
      <c r="S1055" s="35"/>
      <c r="T1055" s="674"/>
      <c r="U1055" s="53"/>
      <c r="V1055" s="22"/>
      <c r="W1055" s="22"/>
      <c r="AG1055" s="178"/>
      <c r="AI1055" s="21"/>
    </row>
    <row r="1056" spans="3:35" hidden="1" x14ac:dyDescent="0.25">
      <c r="C1056" s="21"/>
      <c r="D1056" s="21"/>
      <c r="G1056" s="33"/>
      <c r="P1056" s="55"/>
      <c r="Q1056" s="54"/>
      <c r="S1056" s="35"/>
      <c r="T1056" s="674"/>
      <c r="U1056" s="53"/>
      <c r="V1056" s="22"/>
      <c r="W1056" s="22"/>
      <c r="AG1056" s="178"/>
      <c r="AI1056" s="21"/>
    </row>
    <row r="1057" spans="3:35" hidden="1" x14ac:dyDescent="0.25">
      <c r="C1057" s="21"/>
      <c r="D1057" s="21"/>
      <c r="G1057" s="33"/>
      <c r="P1057" s="55"/>
      <c r="Q1057" s="54"/>
      <c r="S1057" s="35"/>
      <c r="T1057" s="674"/>
      <c r="U1057" s="53"/>
      <c r="V1057" s="22"/>
      <c r="W1057" s="22"/>
      <c r="AG1057" s="178"/>
      <c r="AI1057" s="21"/>
    </row>
    <row r="1058" spans="3:35" hidden="1" x14ac:dyDescent="0.25">
      <c r="C1058" s="21"/>
      <c r="D1058" s="21"/>
      <c r="G1058" s="33"/>
      <c r="P1058" s="55"/>
      <c r="Q1058" s="54"/>
      <c r="S1058" s="35"/>
      <c r="T1058" s="674"/>
      <c r="U1058" s="53"/>
      <c r="V1058" s="22"/>
      <c r="W1058" s="22"/>
      <c r="AG1058" s="178"/>
      <c r="AI1058" s="21"/>
    </row>
    <row r="1059" spans="3:35" hidden="1" x14ac:dyDescent="0.25">
      <c r="C1059" s="21"/>
      <c r="D1059" s="21"/>
      <c r="G1059" s="33"/>
      <c r="P1059" s="55"/>
      <c r="Q1059" s="54"/>
      <c r="S1059" s="35"/>
      <c r="T1059" s="674"/>
      <c r="U1059" s="53"/>
      <c r="V1059" s="22"/>
      <c r="W1059" s="22"/>
      <c r="AG1059" s="178"/>
      <c r="AI1059" s="21"/>
    </row>
    <row r="1060" spans="3:35" hidden="1" x14ac:dyDescent="0.25">
      <c r="C1060" s="21"/>
      <c r="D1060" s="21"/>
      <c r="G1060" s="33"/>
      <c r="P1060" s="55"/>
      <c r="Q1060" s="54"/>
      <c r="S1060" s="35"/>
      <c r="T1060" s="674"/>
      <c r="U1060" s="53"/>
      <c r="V1060" s="22"/>
      <c r="W1060" s="22"/>
      <c r="AG1060" s="178"/>
      <c r="AI1060" s="21"/>
    </row>
    <row r="1061" spans="3:35" hidden="1" x14ac:dyDescent="0.25">
      <c r="C1061" s="21"/>
      <c r="D1061" s="21"/>
      <c r="G1061" s="33"/>
      <c r="P1061" s="55"/>
      <c r="Q1061" s="54"/>
      <c r="S1061" s="35"/>
      <c r="T1061" s="674"/>
      <c r="U1061" s="53"/>
      <c r="V1061" s="22"/>
      <c r="W1061" s="22"/>
      <c r="AG1061" s="178"/>
      <c r="AI1061" s="21"/>
    </row>
    <row r="1062" spans="3:35" hidden="1" x14ac:dyDescent="0.25">
      <c r="C1062" s="21"/>
      <c r="D1062" s="21"/>
      <c r="G1062" s="33"/>
      <c r="P1062" s="55"/>
      <c r="Q1062" s="54"/>
      <c r="S1062" s="35"/>
      <c r="T1062" s="674"/>
      <c r="U1062" s="53"/>
      <c r="V1062" s="22"/>
      <c r="W1062" s="22"/>
      <c r="AG1062" s="178"/>
      <c r="AI1062" s="21"/>
    </row>
    <row r="1063" spans="3:35" hidden="1" x14ac:dyDescent="0.25">
      <c r="C1063" s="21"/>
      <c r="D1063" s="21"/>
      <c r="G1063" s="33"/>
      <c r="P1063" s="55"/>
      <c r="Q1063" s="54"/>
      <c r="S1063" s="35"/>
      <c r="T1063" s="674"/>
      <c r="U1063" s="53"/>
      <c r="V1063" s="22"/>
      <c r="W1063" s="22"/>
      <c r="AG1063" s="178"/>
      <c r="AI1063" s="21"/>
    </row>
    <row r="1064" spans="3:35" hidden="1" x14ac:dyDescent="0.25">
      <c r="C1064" s="21"/>
      <c r="D1064" s="21"/>
      <c r="G1064" s="33"/>
      <c r="P1064" s="55"/>
      <c r="Q1064" s="54"/>
      <c r="S1064" s="35"/>
      <c r="T1064" s="674"/>
      <c r="U1064" s="53"/>
      <c r="V1064" s="22"/>
      <c r="W1064" s="22"/>
      <c r="AG1064" s="178"/>
      <c r="AI1064" s="21"/>
    </row>
    <row r="1065" spans="3:35" hidden="1" x14ac:dyDescent="0.25">
      <c r="C1065" s="21"/>
      <c r="D1065" s="21"/>
      <c r="G1065" s="33"/>
      <c r="P1065" s="55"/>
      <c r="Q1065" s="54"/>
      <c r="S1065" s="35"/>
      <c r="T1065" s="674"/>
      <c r="U1065" s="53"/>
      <c r="V1065" s="22"/>
      <c r="W1065" s="22"/>
      <c r="AG1065" s="178"/>
      <c r="AI1065" s="21"/>
    </row>
    <row r="1066" spans="3:35" hidden="1" x14ac:dyDescent="0.25">
      <c r="C1066" s="21"/>
      <c r="D1066" s="21"/>
      <c r="G1066" s="33"/>
      <c r="P1066" s="55"/>
      <c r="Q1066" s="54"/>
      <c r="S1066" s="35"/>
      <c r="T1066" s="674"/>
      <c r="U1066" s="53"/>
      <c r="V1066" s="22"/>
      <c r="W1066" s="22"/>
      <c r="AG1066" s="178"/>
      <c r="AI1066" s="21"/>
    </row>
    <row r="1067" spans="3:35" hidden="1" x14ac:dyDescent="0.25">
      <c r="C1067" s="21"/>
      <c r="D1067" s="21"/>
      <c r="G1067" s="33"/>
      <c r="P1067" s="55"/>
      <c r="Q1067" s="54"/>
      <c r="S1067" s="35"/>
      <c r="T1067" s="674"/>
      <c r="U1067" s="53"/>
      <c r="V1067" s="22"/>
      <c r="W1067" s="22"/>
      <c r="AG1067" s="178"/>
      <c r="AI1067" s="21"/>
    </row>
    <row r="1068" spans="3:35" hidden="1" x14ac:dyDescent="0.25">
      <c r="C1068" s="21"/>
      <c r="D1068" s="21"/>
      <c r="G1068" s="33"/>
      <c r="P1068" s="55"/>
      <c r="Q1068" s="54"/>
      <c r="S1068" s="35"/>
      <c r="T1068" s="674"/>
      <c r="U1068" s="53"/>
      <c r="V1068" s="22"/>
      <c r="W1068" s="22"/>
      <c r="AG1068" s="178"/>
      <c r="AI1068" s="21"/>
    </row>
    <row r="1069" spans="3:35" hidden="1" x14ac:dyDescent="0.25">
      <c r="C1069" s="21"/>
      <c r="D1069" s="21"/>
      <c r="G1069" s="33"/>
      <c r="P1069" s="55"/>
      <c r="Q1069" s="54"/>
      <c r="S1069" s="35"/>
      <c r="T1069" s="674"/>
      <c r="U1069" s="53"/>
      <c r="V1069" s="22"/>
      <c r="W1069" s="22"/>
      <c r="AG1069" s="178"/>
      <c r="AI1069" s="21"/>
    </row>
    <row r="1070" spans="3:35" hidden="1" x14ac:dyDescent="0.25">
      <c r="C1070" s="21"/>
      <c r="D1070" s="21"/>
      <c r="G1070" s="33"/>
      <c r="P1070" s="55"/>
      <c r="Q1070" s="54"/>
      <c r="S1070" s="35"/>
      <c r="T1070" s="674"/>
      <c r="U1070" s="53"/>
      <c r="V1070" s="22"/>
      <c r="W1070" s="22"/>
      <c r="AG1070" s="178"/>
      <c r="AI1070" s="21"/>
    </row>
    <row r="1071" spans="3:35" hidden="1" x14ac:dyDescent="0.25">
      <c r="C1071" s="21"/>
      <c r="D1071" s="21"/>
      <c r="G1071" s="33"/>
      <c r="P1071" s="55"/>
      <c r="Q1071" s="54"/>
      <c r="S1071" s="35"/>
      <c r="T1071" s="674"/>
      <c r="U1071" s="53"/>
      <c r="V1071" s="22"/>
      <c r="W1071" s="22"/>
      <c r="AG1071" s="178"/>
      <c r="AI1071" s="21"/>
    </row>
    <row r="1072" spans="3:35" hidden="1" x14ac:dyDescent="0.25">
      <c r="C1072" s="21"/>
      <c r="D1072" s="21"/>
      <c r="G1072" s="33"/>
      <c r="P1072" s="55"/>
      <c r="Q1072" s="54"/>
      <c r="S1072" s="35"/>
      <c r="T1072" s="674"/>
      <c r="U1072" s="53"/>
      <c r="V1072" s="22"/>
      <c r="W1072" s="22"/>
      <c r="AG1072" s="178"/>
      <c r="AI1072" s="21"/>
    </row>
    <row r="1073" spans="3:35" hidden="1" x14ac:dyDescent="0.25">
      <c r="C1073" s="21"/>
      <c r="D1073" s="21"/>
      <c r="G1073" s="33"/>
      <c r="P1073" s="55"/>
      <c r="Q1073" s="54"/>
      <c r="S1073" s="35"/>
      <c r="T1073" s="674"/>
      <c r="U1073" s="53"/>
      <c r="V1073" s="22"/>
      <c r="W1073" s="22"/>
      <c r="AG1073" s="178"/>
      <c r="AI1073" s="21"/>
    </row>
    <row r="1074" spans="3:35" hidden="1" x14ac:dyDescent="0.25">
      <c r="C1074" s="21"/>
      <c r="D1074" s="21"/>
      <c r="G1074" s="33"/>
      <c r="P1074" s="55"/>
      <c r="Q1074" s="54"/>
      <c r="S1074" s="35"/>
      <c r="T1074" s="674"/>
      <c r="U1074" s="53"/>
      <c r="V1074" s="22"/>
      <c r="W1074" s="22"/>
      <c r="AG1074" s="178"/>
      <c r="AI1074" s="21"/>
    </row>
    <row r="1075" spans="3:35" hidden="1" x14ac:dyDescent="0.25">
      <c r="C1075" s="21"/>
      <c r="D1075" s="21"/>
      <c r="G1075" s="33"/>
      <c r="P1075" s="55"/>
      <c r="Q1075" s="54"/>
      <c r="S1075" s="35"/>
      <c r="T1075" s="674"/>
      <c r="U1075" s="53"/>
      <c r="V1075" s="22"/>
      <c r="W1075" s="22"/>
      <c r="AG1075" s="178"/>
      <c r="AI1075" s="21"/>
    </row>
    <row r="1076" spans="3:35" hidden="1" x14ac:dyDescent="0.25">
      <c r="C1076" s="21"/>
      <c r="D1076" s="21"/>
      <c r="G1076" s="33"/>
      <c r="P1076" s="55"/>
      <c r="Q1076" s="54"/>
      <c r="S1076" s="35"/>
      <c r="T1076" s="674"/>
      <c r="U1076" s="53"/>
      <c r="V1076" s="22"/>
      <c r="W1076" s="22"/>
      <c r="AG1076" s="178"/>
      <c r="AI1076" s="21"/>
    </row>
    <row r="1077" spans="3:35" hidden="1" x14ac:dyDescent="0.25">
      <c r="C1077" s="21"/>
      <c r="D1077" s="21"/>
      <c r="G1077" s="33"/>
      <c r="P1077" s="55"/>
      <c r="Q1077" s="54"/>
      <c r="S1077" s="35"/>
      <c r="T1077" s="674"/>
      <c r="U1077" s="53"/>
      <c r="V1077" s="22"/>
      <c r="W1077" s="22"/>
      <c r="AG1077" s="178"/>
      <c r="AI1077" s="21"/>
    </row>
    <row r="1078" spans="3:35" hidden="1" x14ac:dyDescent="0.25">
      <c r="C1078" s="21"/>
      <c r="D1078" s="21"/>
      <c r="G1078" s="33"/>
      <c r="P1078" s="55"/>
      <c r="Q1078" s="54"/>
      <c r="S1078" s="35"/>
      <c r="T1078" s="674"/>
      <c r="U1078" s="53"/>
      <c r="V1078" s="22"/>
      <c r="W1078" s="22"/>
      <c r="AG1078" s="178"/>
      <c r="AI1078" s="21"/>
    </row>
    <row r="1079" spans="3:35" hidden="1" x14ac:dyDescent="0.25">
      <c r="C1079" s="21"/>
      <c r="D1079" s="21"/>
      <c r="G1079" s="33"/>
      <c r="P1079" s="55"/>
      <c r="Q1079" s="54"/>
      <c r="S1079" s="35"/>
      <c r="T1079" s="674"/>
      <c r="U1079" s="53"/>
      <c r="V1079" s="22"/>
      <c r="W1079" s="22"/>
      <c r="AG1079" s="178"/>
      <c r="AI1079" s="21"/>
    </row>
    <row r="1080" spans="3:35" hidden="1" x14ac:dyDescent="0.25">
      <c r="C1080" s="21"/>
      <c r="D1080" s="21"/>
      <c r="G1080" s="33"/>
      <c r="P1080" s="55"/>
      <c r="Q1080" s="54"/>
      <c r="S1080" s="35"/>
      <c r="T1080" s="674"/>
      <c r="U1080" s="53"/>
      <c r="V1080" s="22"/>
      <c r="W1080" s="22"/>
      <c r="AG1080" s="178"/>
      <c r="AI1080" s="21"/>
    </row>
    <row r="1081" spans="3:35" hidden="1" x14ac:dyDescent="0.25">
      <c r="C1081" s="21"/>
      <c r="D1081" s="21"/>
      <c r="G1081" s="33"/>
      <c r="P1081" s="55"/>
      <c r="Q1081" s="54"/>
      <c r="S1081" s="35"/>
      <c r="T1081" s="674"/>
      <c r="U1081" s="53"/>
      <c r="V1081" s="22"/>
      <c r="W1081" s="22"/>
      <c r="AG1081" s="178"/>
      <c r="AI1081" s="21"/>
    </row>
    <row r="1082" spans="3:35" hidden="1" x14ac:dyDescent="0.25">
      <c r="C1082" s="21"/>
      <c r="D1082" s="21"/>
      <c r="G1082" s="33"/>
      <c r="P1082" s="55"/>
      <c r="Q1082" s="54"/>
      <c r="S1082" s="35"/>
      <c r="T1082" s="674"/>
      <c r="U1082" s="53"/>
      <c r="V1082" s="22"/>
      <c r="W1082" s="22"/>
      <c r="AG1082" s="178"/>
      <c r="AI1082" s="21"/>
    </row>
    <row r="1083" spans="3:35" hidden="1" x14ac:dyDescent="0.25">
      <c r="C1083" s="21"/>
      <c r="D1083" s="21"/>
      <c r="G1083" s="33"/>
      <c r="P1083" s="55"/>
      <c r="Q1083" s="54"/>
      <c r="S1083" s="35"/>
      <c r="T1083" s="674"/>
      <c r="U1083" s="53"/>
      <c r="V1083" s="22"/>
      <c r="W1083" s="22"/>
      <c r="AG1083" s="178"/>
      <c r="AI1083" s="21"/>
    </row>
    <row r="1084" spans="3:35" hidden="1" x14ac:dyDescent="0.25">
      <c r="C1084" s="21"/>
      <c r="D1084" s="21"/>
      <c r="G1084" s="33"/>
      <c r="P1084" s="55"/>
      <c r="Q1084" s="54"/>
      <c r="S1084" s="35"/>
      <c r="T1084" s="674"/>
      <c r="U1084" s="53"/>
      <c r="V1084" s="22"/>
      <c r="W1084" s="22"/>
      <c r="AG1084" s="178"/>
      <c r="AI1084" s="21"/>
    </row>
    <row r="1085" spans="3:35" hidden="1" x14ac:dyDescent="0.25">
      <c r="C1085" s="21"/>
      <c r="D1085" s="21"/>
      <c r="G1085" s="33"/>
      <c r="P1085" s="55"/>
      <c r="Q1085" s="54"/>
      <c r="S1085" s="35"/>
      <c r="T1085" s="674"/>
      <c r="U1085" s="53"/>
      <c r="V1085" s="22"/>
      <c r="W1085" s="22"/>
      <c r="AG1085" s="178"/>
      <c r="AI1085" s="21"/>
    </row>
    <row r="1086" spans="3:35" hidden="1" x14ac:dyDescent="0.25">
      <c r="C1086" s="21"/>
      <c r="D1086" s="21"/>
      <c r="G1086" s="33"/>
      <c r="P1086" s="55"/>
      <c r="Q1086" s="54"/>
      <c r="S1086" s="35"/>
      <c r="T1086" s="674"/>
      <c r="U1086" s="53"/>
      <c r="V1086" s="22"/>
      <c r="W1086" s="22"/>
      <c r="AG1086" s="178"/>
      <c r="AI1086" s="21"/>
    </row>
    <row r="1087" spans="3:35" hidden="1" x14ac:dyDescent="0.25">
      <c r="C1087" s="21"/>
      <c r="D1087" s="21"/>
      <c r="G1087" s="33"/>
      <c r="P1087" s="55"/>
      <c r="Q1087" s="54"/>
      <c r="S1087" s="35"/>
      <c r="T1087" s="674"/>
      <c r="U1087" s="53"/>
      <c r="V1087" s="22"/>
      <c r="W1087" s="22"/>
      <c r="AG1087" s="178"/>
      <c r="AI1087" s="21"/>
    </row>
    <row r="1088" spans="3:35" hidden="1" x14ac:dyDescent="0.25">
      <c r="C1088" s="21"/>
      <c r="D1088" s="21"/>
      <c r="G1088" s="33"/>
      <c r="P1088" s="55"/>
      <c r="Q1088" s="54"/>
      <c r="S1088" s="35"/>
      <c r="T1088" s="674"/>
      <c r="U1088" s="53"/>
      <c r="V1088" s="22"/>
      <c r="W1088" s="22"/>
      <c r="AG1088" s="178"/>
      <c r="AI1088" s="21"/>
    </row>
    <row r="1089" spans="3:35" hidden="1" x14ac:dyDescent="0.25">
      <c r="C1089" s="21"/>
      <c r="D1089" s="21"/>
      <c r="G1089" s="33"/>
      <c r="P1089" s="55"/>
      <c r="Q1089" s="54"/>
      <c r="S1089" s="35"/>
      <c r="T1089" s="674"/>
      <c r="U1089" s="53"/>
      <c r="V1089" s="22"/>
      <c r="W1089" s="22"/>
      <c r="AG1089" s="178"/>
      <c r="AI1089" s="21"/>
    </row>
    <row r="1090" spans="3:35" hidden="1" x14ac:dyDescent="0.25">
      <c r="C1090" s="21"/>
      <c r="D1090" s="21"/>
      <c r="G1090" s="33"/>
      <c r="P1090" s="55"/>
      <c r="Q1090" s="54"/>
      <c r="S1090" s="35"/>
      <c r="T1090" s="674"/>
      <c r="U1090" s="53"/>
      <c r="V1090" s="22"/>
      <c r="W1090" s="22"/>
      <c r="AG1090" s="178"/>
      <c r="AI1090" s="21"/>
    </row>
    <row r="1091" spans="3:35" hidden="1" x14ac:dyDescent="0.25">
      <c r="C1091" s="21"/>
      <c r="D1091" s="21"/>
      <c r="G1091" s="33"/>
      <c r="P1091" s="55"/>
      <c r="Q1091" s="54"/>
      <c r="S1091" s="35"/>
      <c r="T1091" s="674"/>
      <c r="U1091" s="53"/>
      <c r="V1091" s="22"/>
      <c r="W1091" s="22"/>
      <c r="AG1091" s="178"/>
      <c r="AI1091" s="21"/>
    </row>
    <row r="1092" spans="3:35" hidden="1" x14ac:dyDescent="0.25">
      <c r="C1092" s="21"/>
      <c r="D1092" s="21"/>
      <c r="G1092" s="33"/>
      <c r="P1092" s="55"/>
      <c r="Q1092" s="54"/>
      <c r="S1092" s="35"/>
      <c r="T1092" s="674"/>
      <c r="U1092" s="53"/>
      <c r="V1092" s="22"/>
      <c r="W1092" s="22"/>
      <c r="AG1092" s="178"/>
      <c r="AI1092" s="21"/>
    </row>
    <row r="1093" spans="3:35" hidden="1" x14ac:dyDescent="0.25">
      <c r="C1093" s="21"/>
      <c r="D1093" s="21"/>
      <c r="G1093" s="33"/>
      <c r="P1093" s="55"/>
      <c r="Q1093" s="54"/>
      <c r="S1093" s="35"/>
      <c r="T1093" s="674"/>
      <c r="U1093" s="53"/>
      <c r="V1093" s="22"/>
      <c r="W1093" s="22"/>
      <c r="AG1093" s="178"/>
      <c r="AI1093" s="21"/>
    </row>
    <row r="1094" spans="3:35" hidden="1" x14ac:dyDescent="0.25">
      <c r="C1094" s="21"/>
      <c r="D1094" s="21"/>
      <c r="G1094" s="33"/>
      <c r="P1094" s="55"/>
      <c r="Q1094" s="54"/>
      <c r="S1094" s="35"/>
      <c r="T1094" s="674"/>
      <c r="U1094" s="53"/>
      <c r="V1094" s="22"/>
      <c r="W1094" s="22"/>
      <c r="AG1094" s="178"/>
      <c r="AI1094" s="21"/>
    </row>
    <row r="1095" spans="3:35" hidden="1" x14ac:dyDescent="0.25">
      <c r="C1095" s="21"/>
      <c r="D1095" s="21"/>
      <c r="G1095" s="33"/>
      <c r="P1095" s="55"/>
      <c r="Q1095" s="54"/>
      <c r="S1095" s="35"/>
      <c r="T1095" s="674"/>
      <c r="U1095" s="53"/>
      <c r="V1095" s="22"/>
      <c r="W1095" s="22"/>
      <c r="AG1095" s="178"/>
      <c r="AI1095" s="21"/>
    </row>
    <row r="1096" spans="3:35" hidden="1" x14ac:dyDescent="0.25">
      <c r="C1096" s="21"/>
      <c r="D1096" s="21"/>
      <c r="G1096" s="33"/>
      <c r="P1096" s="55"/>
      <c r="Q1096" s="54"/>
      <c r="S1096" s="35"/>
      <c r="T1096" s="674"/>
      <c r="U1096" s="53"/>
      <c r="V1096" s="22"/>
      <c r="W1096" s="22"/>
      <c r="AG1096" s="178"/>
      <c r="AI1096" s="21"/>
    </row>
    <row r="1097" spans="3:35" hidden="1" x14ac:dyDescent="0.25">
      <c r="C1097" s="21"/>
      <c r="D1097" s="21"/>
      <c r="G1097" s="33"/>
      <c r="P1097" s="55"/>
      <c r="Q1097" s="54"/>
      <c r="S1097" s="35"/>
      <c r="T1097" s="674"/>
      <c r="U1097" s="53"/>
      <c r="V1097" s="22"/>
      <c r="W1097" s="22"/>
      <c r="AG1097" s="178"/>
      <c r="AI1097" s="21"/>
    </row>
    <row r="1098" spans="3:35" hidden="1" x14ac:dyDescent="0.25">
      <c r="C1098" s="21"/>
      <c r="D1098" s="21"/>
      <c r="G1098" s="33"/>
      <c r="P1098" s="55"/>
      <c r="Q1098" s="54"/>
      <c r="S1098" s="35"/>
      <c r="T1098" s="674"/>
      <c r="U1098" s="53"/>
      <c r="V1098" s="22"/>
      <c r="W1098" s="22"/>
      <c r="AG1098" s="178"/>
      <c r="AI1098" s="21"/>
    </row>
    <row r="1099" spans="3:35" hidden="1" x14ac:dyDescent="0.25">
      <c r="C1099" s="21"/>
      <c r="D1099" s="21"/>
      <c r="G1099" s="33"/>
      <c r="P1099" s="55"/>
      <c r="Q1099" s="54"/>
      <c r="S1099" s="35"/>
      <c r="T1099" s="674"/>
      <c r="U1099" s="53"/>
      <c r="V1099" s="22"/>
      <c r="W1099" s="22"/>
      <c r="AG1099" s="178"/>
      <c r="AI1099" s="21"/>
    </row>
    <row r="1100" spans="3:35" hidden="1" x14ac:dyDescent="0.25">
      <c r="C1100" s="21"/>
      <c r="D1100" s="21"/>
      <c r="G1100" s="33"/>
      <c r="P1100" s="55"/>
      <c r="Q1100" s="54"/>
      <c r="S1100" s="35"/>
      <c r="T1100" s="674"/>
      <c r="U1100" s="53"/>
      <c r="V1100" s="22"/>
      <c r="W1100" s="22"/>
      <c r="AG1100" s="178"/>
      <c r="AI1100" s="21"/>
    </row>
    <row r="1101" spans="3:35" hidden="1" x14ac:dyDescent="0.25">
      <c r="C1101" s="21"/>
      <c r="D1101" s="21"/>
      <c r="G1101" s="33"/>
      <c r="P1101" s="55"/>
      <c r="Q1101" s="54"/>
      <c r="S1101" s="35"/>
      <c r="T1101" s="674"/>
      <c r="U1101" s="53"/>
      <c r="V1101" s="22"/>
      <c r="W1101" s="22"/>
      <c r="AG1101" s="178"/>
      <c r="AI1101" s="21"/>
    </row>
    <row r="1102" spans="3:35" hidden="1" x14ac:dyDescent="0.25">
      <c r="C1102" s="21"/>
      <c r="D1102" s="21"/>
      <c r="G1102" s="33"/>
      <c r="P1102" s="55"/>
      <c r="Q1102" s="54"/>
      <c r="S1102" s="35"/>
      <c r="T1102" s="674"/>
      <c r="U1102" s="53"/>
      <c r="V1102" s="22"/>
      <c r="W1102" s="22"/>
      <c r="AG1102" s="178"/>
      <c r="AI1102" s="21"/>
    </row>
    <row r="1103" spans="3:35" hidden="1" x14ac:dyDescent="0.25">
      <c r="C1103" s="21"/>
      <c r="D1103" s="21"/>
      <c r="G1103" s="33"/>
      <c r="P1103" s="55"/>
      <c r="Q1103" s="54"/>
      <c r="S1103" s="35"/>
      <c r="T1103" s="674"/>
      <c r="U1103" s="53"/>
      <c r="V1103" s="22"/>
      <c r="W1103" s="22"/>
      <c r="AG1103" s="178"/>
      <c r="AI1103" s="21"/>
    </row>
    <row r="1104" spans="3:35" hidden="1" x14ac:dyDescent="0.25">
      <c r="C1104" s="21"/>
      <c r="D1104" s="21"/>
      <c r="G1104" s="33"/>
      <c r="P1104" s="55"/>
      <c r="Q1104" s="54"/>
      <c r="S1104" s="35"/>
      <c r="T1104" s="674"/>
      <c r="U1104" s="53"/>
      <c r="V1104" s="22"/>
      <c r="W1104" s="22"/>
      <c r="AG1104" s="178"/>
      <c r="AI1104" s="21"/>
    </row>
    <row r="1105" spans="3:35" hidden="1" x14ac:dyDescent="0.25">
      <c r="C1105" s="21"/>
      <c r="D1105" s="21"/>
      <c r="G1105" s="33"/>
      <c r="P1105" s="55"/>
      <c r="Q1105" s="54"/>
      <c r="S1105" s="35"/>
      <c r="T1105" s="674"/>
      <c r="U1105" s="53"/>
      <c r="V1105" s="22"/>
      <c r="W1105" s="22"/>
      <c r="AG1105" s="178"/>
      <c r="AI1105" s="21"/>
    </row>
    <row r="1106" spans="3:35" hidden="1" x14ac:dyDescent="0.25">
      <c r="C1106" s="21"/>
      <c r="D1106" s="21"/>
      <c r="G1106" s="33"/>
      <c r="P1106" s="55"/>
      <c r="Q1106" s="54"/>
      <c r="S1106" s="35"/>
      <c r="T1106" s="674"/>
      <c r="U1106" s="53"/>
      <c r="V1106" s="22"/>
      <c r="W1106" s="22"/>
      <c r="AG1106" s="178"/>
      <c r="AI1106" s="21"/>
    </row>
    <row r="1107" spans="3:35" hidden="1" x14ac:dyDescent="0.25">
      <c r="C1107" s="21"/>
      <c r="D1107" s="21"/>
      <c r="G1107" s="33"/>
      <c r="P1107" s="55"/>
      <c r="Q1107" s="54"/>
      <c r="S1107" s="35"/>
      <c r="T1107" s="674"/>
      <c r="U1107" s="53"/>
      <c r="V1107" s="22"/>
      <c r="W1107" s="22"/>
      <c r="AG1107" s="178"/>
      <c r="AI1107" s="21"/>
    </row>
    <row r="1108" spans="3:35" hidden="1" x14ac:dyDescent="0.25">
      <c r="C1108" s="21"/>
      <c r="D1108" s="21"/>
      <c r="G1108" s="33"/>
      <c r="P1108" s="55"/>
      <c r="Q1108" s="54"/>
      <c r="S1108" s="35"/>
      <c r="T1108" s="674"/>
      <c r="U1108" s="53"/>
      <c r="V1108" s="22"/>
      <c r="W1108" s="22"/>
      <c r="AG1108" s="178"/>
      <c r="AI1108" s="21"/>
    </row>
    <row r="1109" spans="3:35" hidden="1" x14ac:dyDescent="0.25">
      <c r="C1109" s="21"/>
      <c r="D1109" s="21"/>
      <c r="G1109" s="33"/>
      <c r="P1109" s="55"/>
      <c r="Q1109" s="54"/>
      <c r="S1109" s="35"/>
      <c r="T1109" s="674"/>
      <c r="U1109" s="53"/>
      <c r="V1109" s="22"/>
      <c r="W1109" s="22"/>
      <c r="AG1109" s="178"/>
      <c r="AI1109" s="21"/>
    </row>
    <row r="1110" spans="3:35" hidden="1" x14ac:dyDescent="0.25">
      <c r="C1110" s="21"/>
      <c r="D1110" s="21"/>
      <c r="G1110" s="33"/>
      <c r="P1110" s="55"/>
      <c r="Q1110" s="54"/>
      <c r="S1110" s="35"/>
      <c r="T1110" s="674"/>
      <c r="U1110" s="53"/>
      <c r="V1110" s="22"/>
      <c r="W1110" s="22"/>
      <c r="AG1110" s="178"/>
      <c r="AI1110" s="21"/>
    </row>
    <row r="1111" spans="3:35" hidden="1" x14ac:dyDescent="0.25">
      <c r="C1111" s="21"/>
      <c r="D1111" s="21"/>
      <c r="G1111" s="33"/>
      <c r="P1111" s="55"/>
      <c r="Q1111" s="54"/>
      <c r="S1111" s="35"/>
      <c r="T1111" s="674"/>
      <c r="U1111" s="53"/>
      <c r="V1111" s="22"/>
      <c r="W1111" s="22"/>
      <c r="AG1111" s="178"/>
      <c r="AI1111" s="21"/>
    </row>
    <row r="1112" spans="3:35" hidden="1" x14ac:dyDescent="0.25">
      <c r="C1112" s="21"/>
      <c r="D1112" s="21"/>
      <c r="G1112" s="33"/>
      <c r="P1112" s="55"/>
      <c r="Q1112" s="54"/>
      <c r="S1112" s="35"/>
      <c r="T1112" s="674"/>
      <c r="U1112" s="53"/>
      <c r="V1112" s="22"/>
      <c r="W1112" s="22"/>
      <c r="AG1112" s="178"/>
      <c r="AI1112" s="21"/>
    </row>
    <row r="1113" spans="3:35" hidden="1" x14ac:dyDescent="0.25">
      <c r="C1113" s="21"/>
      <c r="D1113" s="21"/>
      <c r="G1113" s="33"/>
      <c r="P1113" s="55"/>
      <c r="Q1113" s="54"/>
      <c r="S1113" s="35"/>
      <c r="T1113" s="674"/>
      <c r="U1113" s="53"/>
      <c r="V1113" s="22"/>
      <c r="W1113" s="22"/>
      <c r="AG1113" s="178"/>
      <c r="AI1113" s="21"/>
    </row>
    <row r="1114" spans="3:35" hidden="1" x14ac:dyDescent="0.25">
      <c r="C1114" s="21"/>
      <c r="D1114" s="21"/>
      <c r="G1114" s="33"/>
      <c r="P1114" s="55"/>
      <c r="Q1114" s="54"/>
      <c r="S1114" s="35"/>
      <c r="T1114" s="674"/>
      <c r="U1114" s="53"/>
      <c r="V1114" s="22"/>
      <c r="W1114" s="22"/>
      <c r="AG1114" s="178"/>
      <c r="AI1114" s="21"/>
    </row>
    <row r="1115" spans="3:35" hidden="1" x14ac:dyDescent="0.25">
      <c r="C1115" s="21"/>
      <c r="D1115" s="21"/>
      <c r="G1115" s="33"/>
      <c r="P1115" s="55"/>
      <c r="Q1115" s="54"/>
      <c r="S1115" s="35"/>
      <c r="T1115" s="674"/>
      <c r="U1115" s="53"/>
      <c r="V1115" s="22"/>
      <c r="W1115" s="22"/>
      <c r="AG1115" s="178"/>
      <c r="AI1115" s="21"/>
    </row>
    <row r="1116" spans="3:35" hidden="1" x14ac:dyDescent="0.25">
      <c r="C1116" s="21"/>
      <c r="D1116" s="21"/>
      <c r="G1116" s="33"/>
      <c r="P1116" s="55"/>
      <c r="Q1116" s="54"/>
      <c r="S1116" s="35"/>
      <c r="T1116" s="674"/>
      <c r="U1116" s="53"/>
      <c r="V1116" s="22"/>
      <c r="W1116" s="22"/>
      <c r="AG1116" s="178"/>
      <c r="AI1116" s="21"/>
    </row>
    <row r="1117" spans="3:35" hidden="1" x14ac:dyDescent="0.25">
      <c r="C1117" s="21"/>
      <c r="D1117" s="21"/>
      <c r="G1117" s="33"/>
      <c r="P1117" s="55"/>
      <c r="Q1117" s="54"/>
      <c r="S1117" s="35"/>
      <c r="T1117" s="674"/>
      <c r="U1117" s="53"/>
      <c r="V1117" s="22"/>
      <c r="W1117" s="22"/>
      <c r="AG1117" s="178"/>
      <c r="AI1117" s="21"/>
    </row>
    <row r="1118" spans="3:35" hidden="1" x14ac:dyDescent="0.25">
      <c r="C1118" s="21"/>
      <c r="D1118" s="21"/>
      <c r="G1118" s="33"/>
      <c r="P1118" s="55"/>
      <c r="Q1118" s="54"/>
      <c r="S1118" s="35"/>
      <c r="T1118" s="674"/>
      <c r="U1118" s="53"/>
      <c r="V1118" s="22"/>
      <c r="W1118" s="22"/>
      <c r="AG1118" s="178"/>
      <c r="AI1118" s="21"/>
    </row>
    <row r="1119" spans="3:35" hidden="1" x14ac:dyDescent="0.25">
      <c r="C1119" s="21"/>
      <c r="D1119" s="21"/>
      <c r="G1119" s="33"/>
      <c r="P1119" s="55"/>
      <c r="Q1119" s="54"/>
      <c r="S1119" s="35"/>
      <c r="T1119" s="674"/>
      <c r="U1119" s="53"/>
      <c r="V1119" s="22"/>
      <c r="W1119" s="22"/>
      <c r="AG1119" s="178"/>
      <c r="AI1119" s="21"/>
    </row>
    <row r="1120" spans="3:35" hidden="1" x14ac:dyDescent="0.25">
      <c r="C1120" s="21"/>
      <c r="D1120" s="21"/>
      <c r="G1120" s="33"/>
      <c r="P1120" s="55"/>
      <c r="Q1120" s="54"/>
      <c r="S1120" s="35"/>
      <c r="T1120" s="674"/>
      <c r="U1120" s="53"/>
      <c r="V1120" s="22"/>
      <c r="W1120" s="22"/>
      <c r="AG1120" s="178"/>
      <c r="AI1120" s="21"/>
    </row>
    <row r="1121" spans="3:35" hidden="1" x14ac:dyDescent="0.25">
      <c r="C1121" s="21"/>
      <c r="D1121" s="21"/>
      <c r="G1121" s="33"/>
      <c r="P1121" s="55"/>
      <c r="Q1121" s="54"/>
      <c r="S1121" s="35"/>
      <c r="T1121" s="674"/>
      <c r="U1121" s="53"/>
      <c r="V1121" s="22"/>
      <c r="W1121" s="22"/>
      <c r="AG1121" s="178"/>
      <c r="AI1121" s="21"/>
    </row>
    <row r="1122" spans="3:35" hidden="1" x14ac:dyDescent="0.25">
      <c r="C1122" s="21"/>
      <c r="D1122" s="21"/>
      <c r="G1122" s="33"/>
      <c r="P1122" s="55"/>
      <c r="Q1122" s="54"/>
      <c r="S1122" s="35"/>
      <c r="T1122" s="674"/>
      <c r="U1122" s="53"/>
      <c r="V1122" s="22"/>
      <c r="W1122" s="22"/>
      <c r="AG1122" s="178"/>
      <c r="AI1122" s="21"/>
    </row>
    <row r="1123" spans="3:35" hidden="1" x14ac:dyDescent="0.25">
      <c r="C1123" s="21"/>
      <c r="D1123" s="21"/>
      <c r="G1123" s="33"/>
      <c r="P1123" s="55"/>
      <c r="Q1123" s="54"/>
      <c r="S1123" s="35"/>
      <c r="T1123" s="674"/>
      <c r="U1123" s="53"/>
      <c r="V1123" s="22"/>
      <c r="W1123" s="22"/>
      <c r="AG1123" s="178"/>
      <c r="AI1123" s="21"/>
    </row>
    <row r="1124" spans="3:35" hidden="1" x14ac:dyDescent="0.25">
      <c r="C1124" s="21"/>
      <c r="D1124" s="21"/>
      <c r="G1124" s="33"/>
      <c r="P1124" s="55"/>
      <c r="Q1124" s="54"/>
      <c r="S1124" s="35"/>
      <c r="T1124" s="674"/>
      <c r="U1124" s="53"/>
      <c r="V1124" s="22"/>
      <c r="W1124" s="22"/>
      <c r="AG1124" s="178"/>
      <c r="AI1124" s="21"/>
    </row>
    <row r="1125" spans="3:35" hidden="1" x14ac:dyDescent="0.25">
      <c r="C1125" s="21"/>
      <c r="D1125" s="21"/>
      <c r="G1125" s="33"/>
      <c r="P1125" s="55"/>
      <c r="Q1125" s="54"/>
      <c r="S1125" s="35"/>
      <c r="T1125" s="674"/>
      <c r="U1125" s="53"/>
      <c r="V1125" s="22"/>
      <c r="W1125" s="22"/>
      <c r="AG1125" s="178"/>
      <c r="AI1125" s="21"/>
    </row>
    <row r="1126" spans="3:35" hidden="1" x14ac:dyDescent="0.25">
      <c r="C1126" s="21"/>
      <c r="D1126" s="21"/>
      <c r="G1126" s="33"/>
      <c r="P1126" s="55"/>
      <c r="Q1126" s="54"/>
      <c r="S1126" s="35"/>
      <c r="T1126" s="674"/>
      <c r="U1126" s="53"/>
      <c r="V1126" s="22"/>
      <c r="W1126" s="22"/>
      <c r="AG1126" s="178"/>
      <c r="AI1126" s="21"/>
    </row>
    <row r="1127" spans="3:35" hidden="1" x14ac:dyDescent="0.25">
      <c r="C1127" s="21"/>
      <c r="D1127" s="21"/>
      <c r="G1127" s="33"/>
      <c r="P1127" s="55"/>
      <c r="Q1127" s="54"/>
      <c r="S1127" s="35"/>
      <c r="T1127" s="674"/>
      <c r="U1127" s="53"/>
      <c r="V1127" s="22"/>
      <c r="W1127" s="22"/>
      <c r="AG1127" s="178"/>
      <c r="AI1127" s="21"/>
    </row>
    <row r="1128" spans="3:35" hidden="1" x14ac:dyDescent="0.25">
      <c r="C1128" s="21"/>
      <c r="D1128" s="21"/>
      <c r="G1128" s="33"/>
      <c r="P1128" s="55"/>
      <c r="Q1128" s="54"/>
      <c r="S1128" s="35"/>
      <c r="T1128" s="674"/>
      <c r="U1128" s="53"/>
      <c r="V1128" s="22"/>
      <c r="W1128" s="22"/>
      <c r="AG1128" s="178"/>
      <c r="AI1128" s="21"/>
    </row>
    <row r="1129" spans="3:35" hidden="1" x14ac:dyDescent="0.25">
      <c r="C1129" s="21"/>
      <c r="D1129" s="21"/>
      <c r="G1129" s="33"/>
      <c r="P1129" s="55"/>
      <c r="Q1129" s="54"/>
      <c r="S1129" s="35"/>
      <c r="T1129" s="674"/>
      <c r="U1129" s="53"/>
      <c r="V1129" s="22"/>
      <c r="W1129" s="22"/>
      <c r="AG1129" s="178"/>
      <c r="AI1129" s="21"/>
    </row>
    <row r="1130" spans="3:35" hidden="1" x14ac:dyDescent="0.25">
      <c r="C1130" s="21"/>
      <c r="D1130" s="21"/>
      <c r="G1130" s="33"/>
      <c r="P1130" s="55"/>
      <c r="Q1130" s="54"/>
      <c r="S1130" s="35"/>
      <c r="T1130" s="674"/>
      <c r="U1130" s="53"/>
      <c r="V1130" s="22"/>
      <c r="W1130" s="22"/>
      <c r="AG1130" s="178"/>
      <c r="AI1130" s="21"/>
    </row>
    <row r="1131" spans="3:35" hidden="1" x14ac:dyDescent="0.25">
      <c r="C1131" s="21"/>
      <c r="D1131" s="21"/>
      <c r="G1131" s="33"/>
      <c r="P1131" s="55"/>
      <c r="Q1131" s="54"/>
      <c r="S1131" s="35"/>
      <c r="T1131" s="674"/>
      <c r="U1131" s="53"/>
      <c r="V1131" s="22"/>
      <c r="W1131" s="22"/>
      <c r="AG1131" s="178"/>
      <c r="AI1131" s="21"/>
    </row>
    <row r="1132" spans="3:35" hidden="1" x14ac:dyDescent="0.25">
      <c r="C1132" s="21"/>
      <c r="D1132" s="21"/>
      <c r="G1132" s="33"/>
      <c r="P1132" s="55"/>
      <c r="Q1132" s="54"/>
      <c r="S1132" s="35"/>
      <c r="T1132" s="674"/>
      <c r="U1132" s="53"/>
      <c r="V1132" s="22"/>
      <c r="W1132" s="22"/>
      <c r="AG1132" s="178"/>
      <c r="AI1132" s="21"/>
    </row>
    <row r="1133" spans="3:35" hidden="1" x14ac:dyDescent="0.25">
      <c r="C1133" s="21"/>
      <c r="D1133" s="21"/>
      <c r="G1133" s="33"/>
      <c r="P1133" s="55"/>
      <c r="Q1133" s="54"/>
      <c r="S1133" s="35"/>
      <c r="T1133" s="674"/>
      <c r="U1133" s="53"/>
      <c r="V1133" s="22"/>
      <c r="W1133" s="22"/>
      <c r="AG1133" s="178"/>
      <c r="AI1133" s="21"/>
    </row>
    <row r="1134" spans="3:35" hidden="1" x14ac:dyDescent="0.25">
      <c r="C1134" s="21"/>
      <c r="D1134" s="21"/>
      <c r="G1134" s="33"/>
      <c r="P1134" s="55"/>
      <c r="Q1134" s="54"/>
      <c r="S1134" s="35"/>
      <c r="T1134" s="674"/>
      <c r="U1134" s="53"/>
      <c r="V1134" s="22"/>
      <c r="W1134" s="22"/>
      <c r="AG1134" s="178"/>
      <c r="AI1134" s="21"/>
    </row>
    <row r="1135" spans="3:35" hidden="1" x14ac:dyDescent="0.25">
      <c r="C1135" s="21"/>
      <c r="D1135" s="21"/>
      <c r="G1135" s="33"/>
      <c r="P1135" s="55"/>
      <c r="Q1135" s="54"/>
      <c r="S1135" s="35"/>
      <c r="T1135" s="674"/>
      <c r="U1135" s="53"/>
      <c r="V1135" s="22"/>
      <c r="W1135" s="22"/>
      <c r="AG1135" s="178"/>
      <c r="AI1135" s="21"/>
    </row>
    <row r="1136" spans="3:35" hidden="1" x14ac:dyDescent="0.25">
      <c r="C1136" s="21"/>
      <c r="D1136" s="21"/>
      <c r="G1136" s="33"/>
      <c r="P1136" s="55"/>
      <c r="Q1136" s="54"/>
      <c r="S1136" s="35"/>
      <c r="T1136" s="674"/>
      <c r="U1136" s="53"/>
      <c r="V1136" s="22"/>
      <c r="W1136" s="22"/>
      <c r="AG1136" s="178"/>
      <c r="AI1136" s="21"/>
    </row>
    <row r="1137" spans="3:35" hidden="1" x14ac:dyDescent="0.25">
      <c r="C1137" s="21"/>
      <c r="D1137" s="21"/>
      <c r="G1137" s="33"/>
      <c r="P1137" s="55"/>
      <c r="Q1137" s="54"/>
      <c r="S1137" s="35"/>
      <c r="T1137" s="674"/>
      <c r="U1137" s="53"/>
      <c r="V1137" s="22"/>
      <c r="W1137" s="22"/>
      <c r="AG1137" s="178"/>
      <c r="AI1137" s="21"/>
    </row>
    <row r="1138" spans="3:35" hidden="1" x14ac:dyDescent="0.25">
      <c r="C1138" s="21"/>
      <c r="D1138" s="21"/>
      <c r="G1138" s="33"/>
      <c r="P1138" s="55"/>
      <c r="Q1138" s="54"/>
      <c r="S1138" s="35"/>
      <c r="T1138" s="674"/>
      <c r="U1138" s="53"/>
      <c r="V1138" s="22"/>
      <c r="W1138" s="22"/>
      <c r="AG1138" s="178"/>
      <c r="AI1138" s="21"/>
    </row>
    <row r="1139" spans="3:35" hidden="1" x14ac:dyDescent="0.25">
      <c r="C1139" s="21"/>
      <c r="D1139" s="21"/>
      <c r="G1139" s="33"/>
      <c r="P1139" s="55"/>
      <c r="Q1139" s="54"/>
      <c r="S1139" s="35"/>
      <c r="T1139" s="674"/>
      <c r="U1139" s="53"/>
      <c r="V1139" s="22"/>
      <c r="W1139" s="22"/>
      <c r="AG1139" s="178"/>
      <c r="AI1139" s="21"/>
    </row>
    <row r="1140" spans="3:35" hidden="1" x14ac:dyDescent="0.25">
      <c r="C1140" s="21"/>
      <c r="D1140" s="21"/>
      <c r="G1140" s="33"/>
      <c r="P1140" s="55"/>
      <c r="Q1140" s="54"/>
      <c r="S1140" s="35"/>
      <c r="T1140" s="674"/>
      <c r="U1140" s="53"/>
      <c r="V1140" s="22"/>
      <c r="W1140" s="22"/>
      <c r="AG1140" s="178"/>
      <c r="AI1140" s="21"/>
    </row>
    <row r="1141" spans="3:35" hidden="1" x14ac:dyDescent="0.25">
      <c r="C1141" s="21"/>
      <c r="D1141" s="21"/>
      <c r="G1141" s="33"/>
      <c r="P1141" s="55"/>
      <c r="Q1141" s="54"/>
      <c r="S1141" s="35"/>
      <c r="T1141" s="674"/>
      <c r="U1141" s="53"/>
      <c r="V1141" s="22"/>
      <c r="W1141" s="22"/>
      <c r="AG1141" s="178"/>
      <c r="AI1141" s="21"/>
    </row>
    <row r="1142" spans="3:35" hidden="1" x14ac:dyDescent="0.25">
      <c r="C1142" s="21"/>
      <c r="D1142" s="21"/>
      <c r="G1142" s="33"/>
      <c r="P1142" s="55"/>
      <c r="Q1142" s="54"/>
      <c r="S1142" s="35"/>
      <c r="T1142" s="674"/>
      <c r="U1142" s="53"/>
      <c r="V1142" s="22"/>
      <c r="W1142" s="22"/>
      <c r="AG1142" s="178"/>
      <c r="AI1142" s="21"/>
    </row>
    <row r="1143" spans="3:35" hidden="1" x14ac:dyDescent="0.25">
      <c r="C1143" s="21"/>
      <c r="D1143" s="21"/>
      <c r="G1143" s="33"/>
      <c r="P1143" s="55"/>
      <c r="Q1143" s="54"/>
      <c r="S1143" s="35"/>
      <c r="T1143" s="674"/>
      <c r="U1143" s="53"/>
      <c r="V1143" s="22"/>
      <c r="W1143" s="22"/>
      <c r="AG1143" s="178"/>
      <c r="AI1143" s="21"/>
    </row>
    <row r="1144" spans="3:35" hidden="1" x14ac:dyDescent="0.25">
      <c r="C1144" s="21"/>
      <c r="D1144" s="21"/>
      <c r="G1144" s="33"/>
      <c r="P1144" s="55"/>
      <c r="Q1144" s="54"/>
      <c r="S1144" s="35"/>
      <c r="T1144" s="674"/>
      <c r="U1144" s="53"/>
      <c r="V1144" s="22"/>
      <c r="W1144" s="22"/>
      <c r="AG1144" s="178"/>
      <c r="AI1144" s="21"/>
    </row>
    <row r="1145" spans="3:35" hidden="1" x14ac:dyDescent="0.25">
      <c r="C1145" s="21"/>
      <c r="D1145" s="21"/>
      <c r="G1145" s="33"/>
      <c r="P1145" s="55"/>
      <c r="Q1145" s="54"/>
      <c r="S1145" s="35"/>
      <c r="T1145" s="674"/>
      <c r="U1145" s="53"/>
      <c r="V1145" s="22"/>
      <c r="W1145" s="22"/>
      <c r="AG1145" s="178"/>
      <c r="AI1145" s="21"/>
    </row>
    <row r="1146" spans="3:35" hidden="1" x14ac:dyDescent="0.25">
      <c r="C1146" s="21"/>
      <c r="D1146" s="21"/>
      <c r="G1146" s="33"/>
      <c r="P1146" s="55"/>
      <c r="Q1146" s="54"/>
      <c r="S1146" s="35"/>
      <c r="T1146" s="674"/>
      <c r="U1146" s="53"/>
      <c r="V1146" s="22"/>
      <c r="W1146" s="22"/>
      <c r="AG1146" s="178"/>
      <c r="AI1146" s="21"/>
    </row>
    <row r="1147" spans="3:35" hidden="1" x14ac:dyDescent="0.25">
      <c r="C1147" s="21"/>
      <c r="D1147" s="21"/>
      <c r="G1147" s="33"/>
      <c r="P1147" s="55"/>
      <c r="Q1147" s="54"/>
      <c r="S1147" s="35"/>
      <c r="T1147" s="674"/>
      <c r="U1147" s="53"/>
      <c r="V1147" s="22"/>
      <c r="W1147" s="22"/>
      <c r="AG1147" s="178"/>
      <c r="AI1147" s="21"/>
    </row>
    <row r="1148" spans="3:35" hidden="1" x14ac:dyDescent="0.25">
      <c r="C1148" s="21"/>
      <c r="D1148" s="21"/>
      <c r="G1148" s="33"/>
      <c r="P1148" s="55"/>
      <c r="Q1148" s="54"/>
      <c r="S1148" s="35"/>
      <c r="T1148" s="674"/>
      <c r="U1148" s="53"/>
      <c r="V1148" s="22"/>
      <c r="W1148" s="22"/>
      <c r="AG1148" s="178"/>
      <c r="AI1148" s="21"/>
    </row>
    <row r="1149" spans="3:35" hidden="1" x14ac:dyDescent="0.25">
      <c r="C1149" s="21"/>
      <c r="D1149" s="21"/>
      <c r="G1149" s="33"/>
      <c r="P1149" s="55"/>
      <c r="Q1149" s="54"/>
      <c r="S1149" s="35"/>
      <c r="T1149" s="674"/>
      <c r="U1149" s="53"/>
      <c r="V1149" s="22"/>
      <c r="W1149" s="22"/>
      <c r="AG1149" s="178"/>
      <c r="AI1149" s="21"/>
    </row>
    <row r="1150" spans="3:35" hidden="1" x14ac:dyDescent="0.25">
      <c r="C1150" s="21"/>
      <c r="D1150" s="21"/>
      <c r="G1150" s="33"/>
      <c r="P1150" s="55"/>
      <c r="Q1150" s="54"/>
      <c r="S1150" s="35"/>
      <c r="T1150" s="674"/>
      <c r="U1150" s="53"/>
      <c r="V1150" s="22"/>
      <c r="W1150" s="22"/>
      <c r="AG1150" s="178"/>
      <c r="AI1150" s="21"/>
    </row>
    <row r="1151" spans="3:35" hidden="1" x14ac:dyDescent="0.25">
      <c r="C1151" s="21"/>
      <c r="D1151" s="21"/>
      <c r="G1151" s="33"/>
      <c r="P1151" s="55"/>
      <c r="Q1151" s="54"/>
      <c r="S1151" s="35"/>
      <c r="T1151" s="674"/>
      <c r="U1151" s="53"/>
      <c r="V1151" s="22"/>
      <c r="W1151" s="22"/>
      <c r="AG1151" s="178"/>
      <c r="AI1151" s="21"/>
    </row>
    <row r="1152" spans="3:35" hidden="1" x14ac:dyDescent="0.25">
      <c r="C1152" s="21"/>
      <c r="D1152" s="21"/>
      <c r="G1152" s="33"/>
      <c r="P1152" s="55"/>
      <c r="Q1152" s="54"/>
      <c r="S1152" s="35"/>
      <c r="T1152" s="674"/>
      <c r="U1152" s="53"/>
      <c r="V1152" s="22"/>
      <c r="W1152" s="22"/>
      <c r="AG1152" s="178"/>
      <c r="AI1152" s="21"/>
    </row>
    <row r="1153" spans="3:35" hidden="1" x14ac:dyDescent="0.25">
      <c r="C1153" s="21"/>
      <c r="D1153" s="21"/>
      <c r="G1153" s="33"/>
      <c r="P1153" s="55"/>
      <c r="Q1153" s="54"/>
      <c r="S1153" s="35"/>
      <c r="T1153" s="674"/>
      <c r="U1153" s="53"/>
      <c r="V1153" s="22"/>
      <c r="W1153" s="22"/>
      <c r="AG1153" s="178"/>
      <c r="AI1153" s="21"/>
    </row>
    <row r="1154" spans="3:35" hidden="1" x14ac:dyDescent="0.25">
      <c r="C1154" s="21"/>
      <c r="D1154" s="21"/>
      <c r="G1154" s="33"/>
      <c r="P1154" s="55"/>
      <c r="Q1154" s="54"/>
      <c r="S1154" s="35"/>
      <c r="T1154" s="674"/>
      <c r="U1154" s="53"/>
      <c r="V1154" s="22"/>
      <c r="W1154" s="22"/>
      <c r="AG1154" s="178"/>
      <c r="AI1154" s="21"/>
    </row>
    <row r="1155" spans="3:35" hidden="1" x14ac:dyDescent="0.25">
      <c r="C1155" s="21"/>
      <c r="D1155" s="21"/>
      <c r="G1155" s="33"/>
      <c r="P1155" s="55"/>
      <c r="Q1155" s="54"/>
      <c r="S1155" s="35"/>
      <c r="T1155" s="674"/>
      <c r="U1155" s="53"/>
      <c r="V1155" s="22"/>
      <c r="W1155" s="22"/>
      <c r="AG1155" s="178"/>
      <c r="AI1155" s="21"/>
    </row>
    <row r="1156" spans="3:35" hidden="1" x14ac:dyDescent="0.25">
      <c r="C1156" s="21"/>
      <c r="D1156" s="21"/>
      <c r="G1156" s="33"/>
      <c r="P1156" s="55"/>
      <c r="Q1156" s="54"/>
      <c r="S1156" s="35"/>
      <c r="T1156" s="674"/>
      <c r="U1156" s="53"/>
      <c r="V1156" s="22"/>
      <c r="W1156" s="22"/>
      <c r="AG1156" s="178"/>
      <c r="AI1156" s="21"/>
    </row>
    <row r="1157" spans="3:35" hidden="1" x14ac:dyDescent="0.25">
      <c r="C1157" s="21"/>
      <c r="D1157" s="21"/>
      <c r="G1157" s="33"/>
      <c r="P1157" s="55"/>
      <c r="Q1157" s="54"/>
      <c r="S1157" s="35"/>
      <c r="T1157" s="674"/>
      <c r="U1157" s="53"/>
      <c r="V1157" s="22"/>
      <c r="W1157" s="22"/>
      <c r="AG1157" s="178"/>
      <c r="AI1157" s="21"/>
    </row>
    <row r="1158" spans="3:35" hidden="1" x14ac:dyDescent="0.25">
      <c r="C1158" s="21"/>
      <c r="D1158" s="21"/>
      <c r="G1158" s="33"/>
      <c r="P1158" s="55"/>
      <c r="Q1158" s="54"/>
      <c r="S1158" s="35"/>
      <c r="T1158" s="674"/>
      <c r="U1158" s="53"/>
      <c r="V1158" s="22"/>
      <c r="W1158" s="22"/>
      <c r="AG1158" s="178"/>
      <c r="AI1158" s="21"/>
    </row>
    <row r="1159" spans="3:35" hidden="1" x14ac:dyDescent="0.25">
      <c r="C1159" s="21"/>
      <c r="D1159" s="21"/>
      <c r="G1159" s="33"/>
      <c r="P1159" s="55"/>
      <c r="Q1159" s="54"/>
      <c r="S1159" s="35"/>
      <c r="T1159" s="674"/>
      <c r="U1159" s="53"/>
      <c r="V1159" s="22"/>
      <c r="W1159" s="22"/>
      <c r="AG1159" s="178"/>
      <c r="AI1159" s="21"/>
    </row>
    <row r="1160" spans="3:35" hidden="1" x14ac:dyDescent="0.25">
      <c r="C1160" s="21"/>
      <c r="D1160" s="21"/>
      <c r="G1160" s="33"/>
      <c r="P1160" s="55"/>
      <c r="Q1160" s="54"/>
      <c r="S1160" s="35"/>
      <c r="T1160" s="674"/>
      <c r="U1160" s="53"/>
      <c r="V1160" s="22"/>
      <c r="W1160" s="22"/>
      <c r="AG1160" s="178"/>
      <c r="AI1160" s="21"/>
    </row>
    <row r="1161" spans="3:35" hidden="1" x14ac:dyDescent="0.25">
      <c r="C1161" s="21"/>
      <c r="D1161" s="21"/>
      <c r="G1161" s="33"/>
      <c r="P1161" s="55"/>
      <c r="Q1161" s="54"/>
      <c r="S1161" s="35"/>
      <c r="T1161" s="674"/>
      <c r="U1161" s="53"/>
      <c r="V1161" s="22"/>
      <c r="W1161" s="22"/>
      <c r="AG1161" s="178"/>
      <c r="AI1161" s="21"/>
    </row>
    <row r="1162" spans="3:35" hidden="1" x14ac:dyDescent="0.25">
      <c r="C1162" s="21"/>
      <c r="D1162" s="21"/>
      <c r="G1162" s="33"/>
      <c r="P1162" s="55"/>
      <c r="Q1162" s="54"/>
      <c r="S1162" s="35"/>
      <c r="T1162" s="674"/>
      <c r="U1162" s="53"/>
      <c r="V1162" s="22"/>
      <c r="W1162" s="22"/>
      <c r="AG1162" s="178"/>
      <c r="AI1162" s="21"/>
    </row>
    <row r="1163" spans="3:35" hidden="1" x14ac:dyDescent="0.25">
      <c r="C1163" s="21"/>
      <c r="D1163" s="21"/>
      <c r="G1163" s="33"/>
      <c r="P1163" s="55"/>
      <c r="Q1163" s="54"/>
      <c r="S1163" s="35"/>
      <c r="T1163" s="674"/>
      <c r="U1163" s="53"/>
      <c r="V1163" s="22"/>
      <c r="W1163" s="22"/>
      <c r="AG1163" s="178"/>
      <c r="AI1163" s="21"/>
    </row>
    <row r="1164" spans="3:35" hidden="1" x14ac:dyDescent="0.25">
      <c r="C1164" s="21"/>
      <c r="D1164" s="21"/>
      <c r="G1164" s="33"/>
      <c r="P1164" s="55"/>
      <c r="Q1164" s="54"/>
      <c r="S1164" s="35"/>
      <c r="T1164" s="674"/>
      <c r="U1164" s="53"/>
      <c r="V1164" s="22"/>
      <c r="W1164" s="22"/>
      <c r="AG1164" s="178"/>
      <c r="AI1164" s="21"/>
    </row>
    <row r="1165" spans="3:35" hidden="1" x14ac:dyDescent="0.25">
      <c r="C1165" s="21"/>
      <c r="D1165" s="21"/>
      <c r="G1165" s="33"/>
      <c r="P1165" s="55"/>
      <c r="Q1165" s="54"/>
      <c r="S1165" s="35"/>
      <c r="T1165" s="674"/>
      <c r="U1165" s="53"/>
      <c r="V1165" s="22"/>
      <c r="W1165" s="22"/>
      <c r="AG1165" s="178"/>
      <c r="AI1165" s="21"/>
    </row>
    <row r="1166" spans="3:35" hidden="1" x14ac:dyDescent="0.25">
      <c r="C1166" s="21"/>
      <c r="D1166" s="21"/>
      <c r="G1166" s="33"/>
      <c r="P1166" s="55"/>
      <c r="Q1166" s="54"/>
      <c r="S1166" s="35"/>
      <c r="T1166" s="674"/>
      <c r="U1166" s="53"/>
      <c r="V1166" s="22"/>
      <c r="W1166" s="22"/>
      <c r="AG1166" s="178"/>
      <c r="AI1166" s="21"/>
    </row>
    <row r="1167" spans="3:35" hidden="1" x14ac:dyDescent="0.25">
      <c r="C1167" s="21"/>
      <c r="D1167" s="21"/>
      <c r="G1167" s="33"/>
      <c r="P1167" s="55"/>
      <c r="Q1167" s="54"/>
      <c r="S1167" s="35"/>
      <c r="T1167" s="674"/>
      <c r="U1167" s="53"/>
      <c r="V1167" s="22"/>
      <c r="W1167" s="22"/>
      <c r="AG1167" s="178"/>
      <c r="AI1167" s="21"/>
    </row>
    <row r="1168" spans="3:35" hidden="1" x14ac:dyDescent="0.25">
      <c r="C1168" s="21"/>
      <c r="D1168" s="21"/>
      <c r="G1168" s="33"/>
      <c r="P1168" s="55"/>
      <c r="Q1168" s="54"/>
      <c r="S1168" s="35"/>
      <c r="T1168" s="674"/>
      <c r="U1168" s="53"/>
      <c r="V1168" s="22"/>
      <c r="W1168" s="22"/>
      <c r="AG1168" s="178"/>
      <c r="AI1168" s="21"/>
    </row>
    <row r="1169" spans="3:35" hidden="1" x14ac:dyDescent="0.25">
      <c r="C1169" s="21"/>
      <c r="D1169" s="21"/>
      <c r="G1169" s="33"/>
      <c r="P1169" s="55"/>
      <c r="Q1169" s="54"/>
      <c r="S1169" s="35"/>
      <c r="T1169" s="674"/>
      <c r="U1169" s="53"/>
      <c r="V1169" s="22"/>
      <c r="W1169" s="22"/>
      <c r="AG1169" s="178"/>
      <c r="AI1169" s="21"/>
    </row>
    <row r="1170" spans="3:35" hidden="1" x14ac:dyDescent="0.25">
      <c r="C1170" s="21"/>
      <c r="D1170" s="21"/>
      <c r="G1170" s="33"/>
      <c r="P1170" s="55"/>
      <c r="Q1170" s="54"/>
      <c r="S1170" s="35"/>
      <c r="T1170" s="674"/>
      <c r="U1170" s="53"/>
      <c r="V1170" s="22"/>
      <c r="W1170" s="22"/>
      <c r="AG1170" s="178"/>
      <c r="AI1170" s="21"/>
    </row>
    <row r="1171" spans="3:35" hidden="1" x14ac:dyDescent="0.25">
      <c r="C1171" s="21"/>
      <c r="D1171" s="21"/>
      <c r="G1171" s="33"/>
      <c r="P1171" s="55"/>
      <c r="Q1171" s="54"/>
      <c r="S1171" s="35"/>
      <c r="T1171" s="674"/>
      <c r="U1171" s="53"/>
      <c r="V1171" s="22"/>
      <c r="W1171" s="22"/>
      <c r="AG1171" s="178"/>
      <c r="AI1171" s="21"/>
    </row>
    <row r="1172" spans="3:35" hidden="1" x14ac:dyDescent="0.25">
      <c r="C1172" s="21"/>
      <c r="D1172" s="21"/>
      <c r="G1172" s="33"/>
      <c r="P1172" s="55"/>
      <c r="Q1172" s="54"/>
      <c r="S1172" s="35"/>
      <c r="T1172" s="674"/>
      <c r="U1172" s="53"/>
      <c r="V1172" s="22"/>
      <c r="W1172" s="22"/>
      <c r="AG1172" s="178"/>
      <c r="AI1172" s="21"/>
    </row>
    <row r="1173" spans="3:35" hidden="1" x14ac:dyDescent="0.25">
      <c r="C1173" s="21"/>
      <c r="D1173" s="21"/>
      <c r="G1173" s="33"/>
      <c r="P1173" s="55"/>
      <c r="Q1173" s="54"/>
      <c r="S1173" s="35"/>
      <c r="T1173" s="674"/>
      <c r="U1173" s="53"/>
      <c r="V1173" s="22"/>
      <c r="W1173" s="22"/>
      <c r="AG1173" s="178"/>
      <c r="AI1173" s="21"/>
    </row>
    <row r="1174" spans="3:35" hidden="1" x14ac:dyDescent="0.25">
      <c r="C1174" s="21"/>
      <c r="D1174" s="21"/>
      <c r="G1174" s="33"/>
      <c r="P1174" s="55"/>
      <c r="Q1174" s="54"/>
      <c r="S1174" s="35"/>
      <c r="T1174" s="674"/>
      <c r="U1174" s="53"/>
      <c r="V1174" s="22"/>
      <c r="W1174" s="22"/>
      <c r="AG1174" s="178"/>
      <c r="AI1174" s="21"/>
    </row>
    <row r="1175" spans="3:35" hidden="1" x14ac:dyDescent="0.25">
      <c r="C1175" s="21"/>
      <c r="D1175" s="21"/>
      <c r="G1175" s="33"/>
      <c r="P1175" s="55"/>
      <c r="Q1175" s="54"/>
      <c r="S1175" s="35"/>
      <c r="T1175" s="674"/>
      <c r="U1175" s="53"/>
      <c r="V1175" s="22"/>
      <c r="W1175" s="22"/>
      <c r="AG1175" s="178"/>
      <c r="AI1175" s="21"/>
    </row>
    <row r="1176" spans="3:35" hidden="1" x14ac:dyDescent="0.25">
      <c r="C1176" s="21"/>
      <c r="D1176" s="21"/>
      <c r="G1176" s="33"/>
      <c r="P1176" s="55"/>
      <c r="Q1176" s="54"/>
      <c r="S1176" s="35"/>
      <c r="T1176" s="674"/>
      <c r="U1176" s="53"/>
      <c r="V1176" s="22"/>
      <c r="W1176" s="22"/>
      <c r="AG1176" s="178"/>
      <c r="AI1176" s="21"/>
    </row>
    <row r="1177" spans="3:35" hidden="1" x14ac:dyDescent="0.25">
      <c r="C1177" s="21"/>
      <c r="D1177" s="21"/>
      <c r="G1177" s="33"/>
      <c r="P1177" s="55"/>
      <c r="Q1177" s="54"/>
      <c r="S1177" s="35"/>
      <c r="T1177" s="674"/>
      <c r="U1177" s="53"/>
      <c r="V1177" s="22"/>
      <c r="W1177" s="22"/>
      <c r="AG1177" s="178"/>
      <c r="AI1177" s="21"/>
    </row>
    <row r="1178" spans="3:35" hidden="1" x14ac:dyDescent="0.25">
      <c r="C1178" s="21"/>
      <c r="D1178" s="21"/>
      <c r="G1178" s="33"/>
      <c r="P1178" s="55"/>
      <c r="Q1178" s="54"/>
      <c r="S1178" s="35"/>
      <c r="T1178" s="674"/>
      <c r="U1178" s="53"/>
      <c r="V1178" s="22"/>
      <c r="W1178" s="22"/>
      <c r="AG1178" s="178"/>
      <c r="AI1178" s="21"/>
    </row>
    <row r="1179" spans="3:35" hidden="1" x14ac:dyDescent="0.25">
      <c r="C1179" s="21"/>
      <c r="D1179" s="21"/>
      <c r="G1179" s="33"/>
      <c r="P1179" s="55"/>
      <c r="Q1179" s="54"/>
      <c r="S1179" s="35"/>
      <c r="T1179" s="674"/>
      <c r="U1179" s="53"/>
      <c r="V1179" s="22"/>
      <c r="W1179" s="22"/>
      <c r="AG1179" s="178"/>
      <c r="AI1179" s="21"/>
    </row>
    <row r="1180" spans="3:35" hidden="1" x14ac:dyDescent="0.25">
      <c r="C1180" s="21"/>
      <c r="D1180" s="21"/>
      <c r="G1180" s="33"/>
      <c r="P1180" s="55"/>
      <c r="Q1180" s="54"/>
      <c r="S1180" s="35"/>
      <c r="T1180" s="674"/>
      <c r="U1180" s="53"/>
      <c r="V1180" s="22"/>
      <c r="W1180" s="22"/>
      <c r="AG1180" s="178"/>
      <c r="AI1180" s="21"/>
    </row>
    <row r="1181" spans="3:35" hidden="1" x14ac:dyDescent="0.25">
      <c r="C1181" s="21"/>
      <c r="D1181" s="21"/>
      <c r="G1181" s="33"/>
      <c r="P1181" s="55"/>
      <c r="Q1181" s="54"/>
      <c r="S1181" s="35"/>
      <c r="T1181" s="674"/>
      <c r="U1181" s="53"/>
      <c r="V1181" s="22"/>
      <c r="W1181" s="22"/>
      <c r="AG1181" s="178"/>
      <c r="AI1181" s="21"/>
    </row>
    <row r="1182" spans="3:35" hidden="1" x14ac:dyDescent="0.25">
      <c r="C1182" s="21"/>
      <c r="D1182" s="21"/>
      <c r="G1182" s="33"/>
      <c r="P1182" s="55"/>
      <c r="Q1182" s="460"/>
      <c r="S1182" s="35"/>
      <c r="T1182" s="674"/>
      <c r="U1182" s="53"/>
      <c r="V1182" s="22"/>
      <c r="W1182" s="22"/>
      <c r="AG1182" s="178"/>
      <c r="AI1182" s="21"/>
    </row>
    <row r="1183" spans="3:35" hidden="1" x14ac:dyDescent="0.25">
      <c r="C1183" s="21"/>
      <c r="D1183" s="21"/>
      <c r="G1183" s="33"/>
      <c r="P1183" s="55"/>
      <c r="Q1183" s="460"/>
      <c r="S1183" s="35"/>
      <c r="T1183" s="674"/>
      <c r="U1183" s="53"/>
      <c r="V1183" s="22"/>
      <c r="W1183" s="22"/>
      <c r="AG1183" s="178"/>
      <c r="AI1183" s="21"/>
    </row>
    <row r="1184" spans="3:35" hidden="1" x14ac:dyDescent="0.25">
      <c r="C1184" s="21"/>
      <c r="D1184" s="21"/>
      <c r="G1184" s="33"/>
      <c r="P1184" s="55"/>
      <c r="Q1184" s="460"/>
      <c r="S1184" s="35"/>
      <c r="T1184" s="674"/>
      <c r="U1184" s="53"/>
      <c r="V1184" s="22"/>
      <c r="W1184" s="22"/>
      <c r="AG1184" s="178"/>
      <c r="AI1184" s="21"/>
    </row>
    <row r="1185" spans="3:35" hidden="1" x14ac:dyDescent="0.25">
      <c r="C1185" s="21"/>
      <c r="D1185" s="21"/>
      <c r="G1185" s="33"/>
      <c r="P1185" s="55"/>
      <c r="Q1185" s="54"/>
      <c r="S1185" s="35"/>
      <c r="T1185" s="674"/>
      <c r="U1185" s="53"/>
      <c r="V1185" s="22"/>
      <c r="W1185" s="22"/>
      <c r="AG1185" s="178"/>
      <c r="AI1185" s="21"/>
    </row>
    <row r="1186" spans="3:35" hidden="1" x14ac:dyDescent="0.25">
      <c r="C1186" s="21"/>
      <c r="D1186" s="21"/>
      <c r="G1186" s="33"/>
      <c r="P1186" s="55"/>
      <c r="Q1186" s="54"/>
      <c r="S1186" s="35"/>
      <c r="T1186" s="674"/>
      <c r="U1186" s="53"/>
      <c r="V1186" s="22"/>
      <c r="W1186" s="22"/>
      <c r="AG1186" s="178"/>
      <c r="AI1186" s="21"/>
    </row>
    <row r="1187" spans="3:35" hidden="1" x14ac:dyDescent="0.25">
      <c r="C1187" s="21"/>
      <c r="D1187" s="21"/>
      <c r="G1187" s="33"/>
      <c r="P1187" s="55"/>
      <c r="Q1187" s="54"/>
      <c r="S1187" s="35"/>
      <c r="T1187" s="674"/>
      <c r="U1187" s="53"/>
      <c r="V1187" s="22"/>
      <c r="W1187" s="22"/>
      <c r="AG1187" s="178"/>
      <c r="AI1187" s="21"/>
    </row>
    <row r="1188" spans="3:35" hidden="1" x14ac:dyDescent="0.25">
      <c r="C1188" s="21"/>
      <c r="D1188" s="21"/>
      <c r="G1188" s="33"/>
      <c r="P1188" s="55"/>
      <c r="Q1188" s="54"/>
      <c r="S1188" s="35"/>
      <c r="T1188" s="674"/>
      <c r="U1188" s="53"/>
      <c r="V1188" s="22"/>
      <c r="W1188" s="22"/>
      <c r="AG1188" s="178"/>
      <c r="AI1188" s="21"/>
    </row>
    <row r="1189" spans="3:35" hidden="1" x14ac:dyDescent="0.25">
      <c r="C1189" s="21"/>
      <c r="D1189" s="21"/>
      <c r="G1189" s="33"/>
      <c r="P1189" s="55"/>
      <c r="Q1189" s="54"/>
      <c r="S1189" s="35"/>
      <c r="T1189" s="674"/>
      <c r="U1189" s="53"/>
      <c r="V1189" s="22"/>
      <c r="W1189" s="22"/>
      <c r="AG1189" s="178"/>
      <c r="AI1189" s="21"/>
    </row>
    <row r="1190" spans="3:35" hidden="1" x14ac:dyDescent="0.25">
      <c r="C1190" s="21"/>
      <c r="D1190" s="21"/>
      <c r="G1190" s="33"/>
      <c r="P1190" s="55"/>
      <c r="Q1190" s="54"/>
      <c r="S1190" s="35"/>
      <c r="T1190" s="674"/>
      <c r="U1190" s="53"/>
      <c r="V1190" s="22"/>
      <c r="W1190" s="22"/>
      <c r="AG1190" s="178"/>
      <c r="AI1190" s="21"/>
    </row>
    <row r="1191" spans="3:35" hidden="1" x14ac:dyDescent="0.25">
      <c r="C1191" s="21"/>
      <c r="D1191" s="21"/>
      <c r="G1191" s="33"/>
      <c r="P1191" s="55"/>
      <c r="Q1191" s="54"/>
      <c r="S1191" s="35"/>
      <c r="T1191" s="674"/>
      <c r="U1191" s="53"/>
      <c r="V1191" s="22"/>
      <c r="W1191" s="22"/>
      <c r="AG1191" s="178"/>
      <c r="AI1191" s="21"/>
    </row>
    <row r="1192" spans="3:35" hidden="1" x14ac:dyDescent="0.25">
      <c r="C1192" s="21"/>
      <c r="D1192" s="21"/>
      <c r="G1192" s="33"/>
      <c r="P1192" s="55"/>
      <c r="Q1192" s="54"/>
      <c r="S1192" s="35"/>
      <c r="T1192" s="674"/>
      <c r="U1192" s="53"/>
      <c r="V1192" s="22"/>
      <c r="W1192" s="22"/>
      <c r="AG1192" s="178"/>
      <c r="AI1192" s="21"/>
    </row>
    <row r="1193" spans="3:35" hidden="1" x14ac:dyDescent="0.25">
      <c r="C1193" s="21"/>
      <c r="D1193" s="21"/>
      <c r="G1193" s="33"/>
      <c r="P1193" s="55"/>
      <c r="Q1193" s="54"/>
      <c r="S1193" s="35"/>
      <c r="T1193" s="674"/>
      <c r="U1193" s="53"/>
      <c r="V1193" s="22"/>
      <c r="W1193" s="22"/>
      <c r="AG1193" s="178"/>
      <c r="AI1193" s="21"/>
    </row>
    <row r="1194" spans="3:35" hidden="1" x14ac:dyDescent="0.25">
      <c r="C1194" s="21"/>
      <c r="D1194" s="21"/>
      <c r="G1194" s="33"/>
      <c r="P1194" s="55"/>
      <c r="Q1194" s="54"/>
      <c r="S1194" s="35"/>
      <c r="T1194" s="674"/>
      <c r="U1194" s="53"/>
      <c r="V1194" s="22"/>
      <c r="W1194" s="22"/>
      <c r="AG1194" s="178"/>
      <c r="AI1194" s="21"/>
    </row>
    <row r="1195" spans="3:35" hidden="1" x14ac:dyDescent="0.25">
      <c r="C1195" s="21"/>
      <c r="D1195" s="21"/>
      <c r="G1195" s="33"/>
      <c r="P1195" s="55"/>
      <c r="Q1195" s="54"/>
      <c r="S1195" s="35"/>
      <c r="T1195" s="674"/>
      <c r="U1195" s="53"/>
      <c r="V1195" s="22"/>
      <c r="W1195" s="22"/>
      <c r="AG1195" s="178"/>
      <c r="AI1195" s="21"/>
    </row>
    <row r="1196" spans="3:35" hidden="1" x14ac:dyDescent="0.25">
      <c r="C1196" s="21"/>
      <c r="D1196" s="21"/>
      <c r="G1196" s="33"/>
      <c r="P1196" s="55"/>
      <c r="Q1196" s="54"/>
      <c r="S1196" s="35"/>
      <c r="T1196" s="674"/>
      <c r="U1196" s="53"/>
      <c r="V1196" s="22"/>
      <c r="W1196" s="22"/>
      <c r="AG1196" s="178"/>
      <c r="AI1196" s="21"/>
    </row>
    <row r="1197" spans="3:35" hidden="1" x14ac:dyDescent="0.25">
      <c r="C1197" s="21"/>
      <c r="D1197" s="21"/>
      <c r="G1197" s="33"/>
      <c r="P1197" s="55"/>
      <c r="Q1197" s="54"/>
      <c r="S1197" s="35"/>
      <c r="T1197" s="674"/>
      <c r="U1197" s="53"/>
      <c r="V1197" s="22"/>
      <c r="W1197" s="22"/>
      <c r="AG1197" s="178"/>
      <c r="AI1197" s="21"/>
    </row>
    <row r="1198" spans="3:35" hidden="1" x14ac:dyDescent="0.25">
      <c r="C1198" s="21"/>
      <c r="D1198" s="21"/>
      <c r="G1198" s="33"/>
      <c r="P1198" s="55"/>
      <c r="Q1198" s="54"/>
      <c r="S1198" s="35"/>
      <c r="T1198" s="674"/>
      <c r="U1198" s="53"/>
      <c r="V1198" s="22"/>
      <c r="W1198" s="22"/>
      <c r="AG1198" s="178"/>
      <c r="AI1198" s="21"/>
    </row>
    <row r="1199" spans="3:35" hidden="1" x14ac:dyDescent="0.25">
      <c r="C1199" s="21"/>
      <c r="D1199" s="21"/>
      <c r="G1199" s="33"/>
      <c r="P1199" s="55"/>
      <c r="Q1199" s="54"/>
      <c r="S1199" s="35"/>
      <c r="T1199" s="674"/>
      <c r="U1199" s="53"/>
      <c r="V1199" s="22"/>
      <c r="W1199" s="22"/>
      <c r="AG1199" s="178"/>
      <c r="AI1199" s="21"/>
    </row>
    <row r="1200" spans="3:35" hidden="1" x14ac:dyDescent="0.25">
      <c r="C1200" s="21"/>
      <c r="D1200" s="21"/>
      <c r="G1200" s="33"/>
      <c r="P1200" s="55"/>
      <c r="Q1200" s="54"/>
      <c r="S1200" s="35"/>
      <c r="T1200" s="674"/>
      <c r="U1200" s="53"/>
      <c r="V1200" s="22"/>
      <c r="W1200" s="22"/>
      <c r="AG1200" s="178"/>
      <c r="AI1200" s="21"/>
    </row>
    <row r="1201" spans="3:35" hidden="1" x14ac:dyDescent="0.25">
      <c r="C1201" s="21"/>
      <c r="D1201" s="21"/>
      <c r="G1201" s="33"/>
      <c r="P1201" s="55"/>
      <c r="Q1201" s="54"/>
      <c r="S1201" s="35"/>
      <c r="T1201" s="674"/>
      <c r="U1201" s="53"/>
      <c r="V1201" s="22"/>
      <c r="W1201" s="22"/>
      <c r="AG1201" s="178"/>
      <c r="AI1201" s="21"/>
    </row>
    <row r="1202" spans="3:35" hidden="1" x14ac:dyDescent="0.25">
      <c r="C1202" s="21"/>
      <c r="D1202" s="21"/>
      <c r="G1202" s="33"/>
      <c r="P1202" s="55"/>
      <c r="Q1202" s="54"/>
      <c r="S1202" s="35"/>
      <c r="T1202" s="674"/>
      <c r="U1202" s="53"/>
      <c r="V1202" s="22"/>
      <c r="W1202" s="22"/>
      <c r="AG1202" s="178"/>
      <c r="AI1202" s="21"/>
    </row>
    <row r="1203" spans="3:35" hidden="1" x14ac:dyDescent="0.25">
      <c r="C1203" s="21"/>
      <c r="D1203" s="21"/>
      <c r="G1203" s="33"/>
      <c r="P1203" s="55"/>
      <c r="Q1203" s="54"/>
      <c r="S1203" s="35"/>
      <c r="T1203" s="674"/>
      <c r="U1203" s="53"/>
      <c r="V1203" s="22"/>
      <c r="W1203" s="22"/>
      <c r="AG1203" s="178"/>
      <c r="AI1203" s="21"/>
    </row>
    <row r="1204" spans="3:35" hidden="1" x14ac:dyDescent="0.25">
      <c r="C1204" s="21"/>
      <c r="D1204" s="21"/>
      <c r="G1204" s="33"/>
      <c r="P1204" s="55"/>
      <c r="Q1204" s="54"/>
      <c r="S1204" s="35"/>
      <c r="T1204" s="674"/>
      <c r="U1204" s="53"/>
      <c r="V1204" s="22"/>
      <c r="W1204" s="22"/>
      <c r="AG1204" s="178"/>
      <c r="AI1204" s="21"/>
    </row>
    <row r="1205" spans="3:35" hidden="1" x14ac:dyDescent="0.25">
      <c r="C1205" s="21"/>
      <c r="D1205" s="21"/>
      <c r="G1205" s="33"/>
      <c r="P1205" s="55"/>
      <c r="Q1205" s="54"/>
      <c r="S1205" s="35"/>
      <c r="T1205" s="674"/>
      <c r="U1205" s="53"/>
      <c r="V1205" s="22"/>
      <c r="W1205" s="22"/>
      <c r="AG1205" s="178"/>
      <c r="AI1205" s="21"/>
    </row>
    <row r="1206" spans="3:35" hidden="1" x14ac:dyDescent="0.25">
      <c r="C1206" s="21"/>
      <c r="D1206" s="21"/>
      <c r="G1206" s="33"/>
      <c r="P1206" s="55"/>
      <c r="Q1206" s="54"/>
      <c r="S1206" s="35"/>
      <c r="T1206" s="674"/>
      <c r="U1206" s="53"/>
      <c r="V1206" s="22"/>
      <c r="W1206" s="22"/>
      <c r="AG1206" s="178"/>
      <c r="AI1206" s="21"/>
    </row>
    <row r="1207" spans="3:35" hidden="1" x14ac:dyDescent="0.25">
      <c r="C1207" s="21"/>
      <c r="D1207" s="21"/>
      <c r="G1207" s="33"/>
      <c r="P1207" s="55"/>
      <c r="Q1207" s="54"/>
      <c r="S1207" s="35"/>
      <c r="T1207" s="674"/>
      <c r="U1207" s="53"/>
      <c r="V1207" s="22"/>
      <c r="W1207" s="22"/>
      <c r="AG1207" s="178"/>
      <c r="AI1207" s="21"/>
    </row>
    <row r="1208" spans="3:35" hidden="1" x14ac:dyDescent="0.25">
      <c r="C1208" s="21"/>
      <c r="D1208" s="21"/>
      <c r="G1208" s="33"/>
      <c r="P1208" s="55"/>
      <c r="Q1208" s="54"/>
      <c r="S1208" s="35"/>
      <c r="T1208" s="674"/>
      <c r="U1208" s="53"/>
      <c r="V1208" s="22"/>
      <c r="W1208" s="22"/>
      <c r="AG1208" s="178"/>
      <c r="AI1208" s="21"/>
    </row>
    <row r="1209" spans="3:35" hidden="1" x14ac:dyDescent="0.25">
      <c r="C1209" s="21"/>
      <c r="D1209" s="21"/>
      <c r="G1209" s="33"/>
      <c r="P1209" s="55"/>
      <c r="Q1209" s="54"/>
      <c r="S1209" s="35"/>
      <c r="T1209" s="674"/>
      <c r="U1209" s="53"/>
      <c r="V1209" s="22"/>
      <c r="W1209" s="22"/>
      <c r="AG1209" s="178"/>
      <c r="AI1209" s="21"/>
    </row>
    <row r="1210" spans="3:35" hidden="1" x14ac:dyDescent="0.25">
      <c r="C1210" s="21"/>
      <c r="D1210" s="21"/>
      <c r="G1210" s="33"/>
      <c r="P1210" s="55"/>
      <c r="Q1210" s="54"/>
      <c r="S1210" s="35"/>
      <c r="T1210" s="674"/>
      <c r="U1210" s="53"/>
      <c r="V1210" s="22"/>
      <c r="W1210" s="22"/>
      <c r="AG1210" s="178"/>
      <c r="AI1210" s="21"/>
    </row>
    <row r="1211" spans="3:35" hidden="1" x14ac:dyDescent="0.25">
      <c r="C1211" s="21"/>
      <c r="D1211" s="21"/>
      <c r="G1211" s="33"/>
      <c r="P1211" s="55"/>
      <c r="Q1211" s="54"/>
      <c r="S1211" s="35"/>
      <c r="T1211" s="674"/>
      <c r="U1211" s="53"/>
      <c r="V1211" s="22"/>
      <c r="W1211" s="22"/>
      <c r="AG1211" s="178"/>
      <c r="AI1211" s="21"/>
    </row>
    <row r="1212" spans="3:35" hidden="1" x14ac:dyDescent="0.25">
      <c r="C1212" s="21"/>
      <c r="D1212" s="21"/>
      <c r="G1212" s="33"/>
      <c r="P1212" s="55"/>
      <c r="Q1212" s="54"/>
      <c r="S1212" s="35"/>
      <c r="T1212" s="674"/>
      <c r="U1212" s="53"/>
      <c r="V1212" s="22"/>
      <c r="W1212" s="22"/>
      <c r="AG1212" s="178"/>
      <c r="AI1212" s="21"/>
    </row>
    <row r="1213" spans="3:35" hidden="1" x14ac:dyDescent="0.25">
      <c r="C1213" s="21"/>
      <c r="D1213" s="21"/>
      <c r="G1213" s="33"/>
      <c r="P1213" s="55"/>
      <c r="Q1213" s="54"/>
      <c r="S1213" s="35"/>
      <c r="T1213" s="674"/>
      <c r="U1213" s="53"/>
      <c r="V1213" s="22"/>
      <c r="W1213" s="22"/>
      <c r="AG1213" s="178"/>
      <c r="AI1213" s="21"/>
    </row>
    <row r="1214" spans="3:35" hidden="1" x14ac:dyDescent="0.25">
      <c r="C1214" s="21"/>
      <c r="D1214" s="21"/>
      <c r="G1214" s="33"/>
      <c r="P1214" s="55"/>
      <c r="Q1214" s="54"/>
      <c r="S1214" s="35"/>
      <c r="T1214" s="674"/>
      <c r="U1214" s="53"/>
      <c r="V1214" s="22"/>
      <c r="W1214" s="22"/>
      <c r="AG1214" s="178"/>
      <c r="AI1214" s="21"/>
    </row>
    <row r="1215" spans="3:35" hidden="1" x14ac:dyDescent="0.25">
      <c r="C1215" s="21"/>
      <c r="D1215" s="21"/>
      <c r="G1215" s="33"/>
      <c r="P1215" s="55"/>
      <c r="Q1215" s="54"/>
      <c r="S1215" s="35"/>
      <c r="T1215" s="674"/>
      <c r="U1215" s="53"/>
      <c r="V1215" s="22"/>
      <c r="W1215" s="22"/>
      <c r="AG1215" s="178"/>
      <c r="AI1215" s="21"/>
    </row>
    <row r="1216" spans="3:35" hidden="1" x14ac:dyDescent="0.25">
      <c r="C1216" s="21"/>
      <c r="D1216" s="21"/>
      <c r="G1216" s="33"/>
      <c r="P1216" s="55"/>
      <c r="Q1216" s="54"/>
      <c r="S1216" s="35"/>
      <c r="T1216" s="674"/>
      <c r="U1216" s="53"/>
      <c r="V1216" s="22"/>
      <c r="W1216" s="22"/>
      <c r="AG1216" s="178"/>
      <c r="AI1216" s="21"/>
    </row>
    <row r="1217" spans="3:40" hidden="1" x14ac:dyDescent="0.25">
      <c r="C1217" s="21"/>
      <c r="D1217" s="21"/>
      <c r="G1217" s="33"/>
      <c r="P1217" s="55"/>
      <c r="Q1217" s="54"/>
      <c r="S1217" s="35"/>
      <c r="T1217" s="674"/>
      <c r="U1217" s="53"/>
      <c r="V1217" s="22"/>
      <c r="W1217" s="22"/>
      <c r="AG1217" s="178"/>
      <c r="AI1217" s="21"/>
    </row>
    <row r="1218" spans="3:40" hidden="1" x14ac:dyDescent="0.25">
      <c r="C1218" s="21"/>
      <c r="D1218" s="21"/>
      <c r="G1218" s="33"/>
      <c r="P1218" s="55"/>
      <c r="Q1218" s="54"/>
      <c r="S1218" s="35"/>
      <c r="T1218" s="674"/>
      <c r="U1218" s="53"/>
      <c r="V1218" s="22"/>
      <c r="W1218" s="22"/>
      <c r="AG1218" s="178"/>
      <c r="AI1218" s="21"/>
    </row>
    <row r="1219" spans="3:40" hidden="1" x14ac:dyDescent="0.25">
      <c r="C1219" s="21"/>
      <c r="D1219" s="21"/>
      <c r="G1219" s="33"/>
      <c r="P1219" s="55"/>
      <c r="Q1219" s="54"/>
      <c r="S1219" s="35"/>
      <c r="T1219" s="674"/>
      <c r="U1219" s="53"/>
      <c r="V1219" s="22"/>
      <c r="W1219" s="22"/>
      <c r="AG1219" s="178"/>
      <c r="AI1219" s="21"/>
    </row>
    <row r="1220" spans="3:40" hidden="1" x14ac:dyDescent="0.25">
      <c r="C1220" s="21"/>
      <c r="D1220" s="21"/>
      <c r="G1220" s="33"/>
      <c r="P1220" s="55"/>
      <c r="Q1220" s="54"/>
      <c r="S1220" s="35"/>
      <c r="T1220" s="674"/>
      <c r="U1220" s="53"/>
      <c r="V1220" s="22"/>
      <c r="W1220" s="22"/>
      <c r="AG1220" s="178"/>
      <c r="AI1220" s="21"/>
    </row>
    <row r="1221" spans="3:40" hidden="1" x14ac:dyDescent="0.25">
      <c r="C1221" s="21"/>
      <c r="D1221" s="21"/>
      <c r="G1221" s="33"/>
      <c r="P1221" s="55"/>
      <c r="Q1221" s="54"/>
      <c r="S1221" s="35"/>
      <c r="T1221" s="674"/>
      <c r="U1221" s="53"/>
      <c r="V1221" s="22"/>
      <c r="W1221" s="22"/>
      <c r="AG1221" s="178"/>
      <c r="AI1221" s="21"/>
    </row>
    <row r="1222" spans="3:40" hidden="1" x14ac:dyDescent="0.25">
      <c r="C1222" s="21"/>
      <c r="D1222" s="21"/>
      <c r="G1222" s="33"/>
      <c r="P1222" s="55"/>
      <c r="Q1222" s="54"/>
      <c r="S1222" s="35"/>
      <c r="T1222" s="674"/>
      <c r="U1222" s="53"/>
      <c r="V1222" s="22"/>
      <c r="W1222" s="22"/>
      <c r="AG1222" s="178"/>
      <c r="AI1222" s="21"/>
    </row>
    <row r="1223" spans="3:40" hidden="1" x14ac:dyDescent="0.25">
      <c r="C1223" s="21"/>
      <c r="D1223" s="21"/>
      <c r="G1223" s="33"/>
      <c r="P1223" s="55"/>
      <c r="Q1223" s="54"/>
      <c r="S1223" s="35"/>
      <c r="T1223" s="674"/>
      <c r="U1223" s="53"/>
      <c r="V1223" s="22"/>
      <c r="W1223" s="22"/>
      <c r="AG1223" s="178"/>
      <c r="AI1223" s="21"/>
    </row>
    <row r="1224" spans="3:40" hidden="1" x14ac:dyDescent="0.25">
      <c r="C1224" s="21"/>
      <c r="D1224" s="21"/>
      <c r="G1224" s="33"/>
      <c r="P1224" s="55"/>
      <c r="Q1224" s="54"/>
      <c r="S1224" s="35"/>
      <c r="T1224" s="674"/>
      <c r="U1224" s="53"/>
      <c r="V1224" s="22"/>
      <c r="W1224" s="22"/>
      <c r="AG1224" s="178"/>
      <c r="AI1224" s="21"/>
    </row>
    <row r="1225" spans="3:40" hidden="1" x14ac:dyDescent="0.25">
      <c r="C1225" s="21"/>
      <c r="D1225" s="21"/>
      <c r="G1225" s="33"/>
      <c r="P1225" s="55"/>
      <c r="Q1225" s="54"/>
      <c r="S1225" s="35"/>
      <c r="T1225" s="674"/>
      <c r="U1225" s="53"/>
      <c r="V1225" s="22"/>
      <c r="W1225" s="22"/>
      <c r="AG1225" s="178"/>
      <c r="AI1225" s="21"/>
    </row>
    <row r="1226" spans="3:40" hidden="1" x14ac:dyDescent="0.25">
      <c r="C1226" s="21"/>
      <c r="D1226" s="21"/>
      <c r="G1226" s="33"/>
      <c r="P1226" s="55"/>
      <c r="Q1226" s="54"/>
      <c r="S1226" s="35"/>
      <c r="T1226" s="674"/>
      <c r="U1226" s="53"/>
      <c r="V1226" s="22"/>
      <c r="W1226" s="22"/>
      <c r="AG1226" s="178"/>
      <c r="AI1226" s="21"/>
    </row>
    <row r="1227" spans="3:40" hidden="1" x14ac:dyDescent="0.25">
      <c r="C1227" s="21"/>
      <c r="D1227" s="21"/>
      <c r="G1227" s="33"/>
      <c r="P1227" s="55"/>
      <c r="Q1227" s="54"/>
      <c r="S1227" s="35"/>
      <c r="T1227" s="674"/>
      <c r="U1227" s="53"/>
      <c r="V1227" s="22"/>
      <c r="W1227" s="22"/>
      <c r="AG1227" s="178"/>
      <c r="AI1227" s="21"/>
      <c r="AJ1227" s="536">
        <f>SUM(AJ454:AJ512)</f>
        <v>0</v>
      </c>
      <c r="AK1227" s="536">
        <f>SUM(AK454:AK512)</f>
        <v>0</v>
      </c>
      <c r="AL1227" s="179">
        <f>SUM(AJ1227:AK1227)</f>
        <v>0</v>
      </c>
    </row>
    <row r="1228" spans="3:40" hidden="1" x14ac:dyDescent="0.25">
      <c r="C1228" s="21"/>
      <c r="D1228" s="21"/>
      <c r="G1228" s="33"/>
      <c r="P1228" s="55"/>
      <c r="Q1228" s="54"/>
      <c r="S1228" s="35"/>
      <c r="T1228" s="674"/>
      <c r="U1228" s="53"/>
      <c r="V1228" s="22"/>
      <c r="W1228" s="22"/>
      <c r="AG1228" s="178"/>
      <c r="AI1228" s="21"/>
      <c r="AJ1228" s="536">
        <f>SUM(AJ513:AJ550)</f>
        <v>0</v>
      </c>
      <c r="AK1228" s="536">
        <f>SUM(AK513:AK550)</f>
        <v>0</v>
      </c>
      <c r="AL1228" s="179">
        <f>SUM(AJ1228:AK1228)</f>
        <v>0</v>
      </c>
    </row>
    <row r="1229" spans="3:40" hidden="1" x14ac:dyDescent="0.25">
      <c r="C1229" s="21"/>
      <c r="D1229" s="21"/>
      <c r="G1229" s="33"/>
      <c r="P1229" s="55"/>
      <c r="Q1229" s="54"/>
      <c r="S1229" s="35"/>
      <c r="T1229" s="674"/>
      <c r="U1229" s="53"/>
      <c r="V1229" s="22"/>
      <c r="W1229" s="22"/>
      <c r="AG1229" s="178"/>
      <c r="AI1229" s="21"/>
      <c r="AJ1229" s="536"/>
      <c r="AK1229" s="536"/>
      <c r="AL1229" s="179">
        <f>SUM(AJ1229:AK1229)</f>
        <v>0</v>
      </c>
    </row>
    <row r="1230" spans="3:40" hidden="1" x14ac:dyDescent="0.25">
      <c r="C1230" s="21"/>
      <c r="D1230" s="21"/>
      <c r="G1230" s="33"/>
      <c r="P1230" s="55"/>
      <c r="Q1230" s="54"/>
      <c r="S1230" s="35"/>
      <c r="T1230" s="674"/>
      <c r="U1230" s="53"/>
      <c r="V1230" s="22"/>
      <c r="W1230" s="22"/>
      <c r="AG1230" s="178"/>
      <c r="AI1230" s="21"/>
      <c r="AJ1230" s="537">
        <f t="shared" ref="AJ1230:AL1230" si="70">SUM(AJ1227:AJ1229)</f>
        <v>0</v>
      </c>
      <c r="AK1230" s="537">
        <f t="shared" si="70"/>
        <v>0</v>
      </c>
      <c r="AL1230" s="461">
        <f t="shared" si="70"/>
        <v>0</v>
      </c>
      <c r="AM1230" s="461">
        <f>SUM(AJ1230:AK1230)</f>
        <v>0</v>
      </c>
      <c r="AN1230" s="461">
        <f>AL1230-AM1230</f>
        <v>0</v>
      </c>
    </row>
    <row r="1231" spans="3:40" ht="26.4" hidden="1" x14ac:dyDescent="0.25">
      <c r="C1231" s="21"/>
      <c r="D1231" s="21"/>
      <c r="G1231" s="33"/>
      <c r="P1231" s="55"/>
      <c r="Q1231" s="54"/>
      <c r="S1231" s="35"/>
      <c r="T1231" s="674"/>
      <c r="U1231" s="53"/>
      <c r="V1231" s="22"/>
      <c r="W1231" s="22"/>
      <c r="AG1231" s="178"/>
      <c r="AI1231" s="21"/>
      <c r="AJ1231" s="538" t="s">
        <v>77</v>
      </c>
      <c r="AK1231" s="538" t="s">
        <v>78</v>
      </c>
    </row>
    <row r="1232" spans="3:40" hidden="1" x14ac:dyDescent="0.25">
      <c r="C1232" s="21"/>
      <c r="D1232" s="21"/>
      <c r="G1232" s="33"/>
      <c r="P1232" s="55"/>
      <c r="Q1232" s="54"/>
      <c r="S1232" s="35"/>
      <c r="T1232" s="674"/>
      <c r="U1232" s="53"/>
      <c r="V1232" s="22"/>
      <c r="W1232" s="22"/>
      <c r="AG1232" s="178"/>
      <c r="AI1232" s="21"/>
    </row>
    <row r="1233" spans="1:44" hidden="1" x14ac:dyDescent="0.25">
      <c r="C1233" s="21"/>
      <c r="D1233" s="21"/>
      <c r="G1233" s="33"/>
      <c r="P1233" s="55"/>
      <c r="Q1233" s="54"/>
      <c r="S1233" s="35"/>
      <c r="T1233" s="674"/>
      <c r="U1233" s="53"/>
      <c r="V1233" s="22"/>
      <c r="W1233" s="22"/>
      <c r="AG1233" s="178"/>
      <c r="AI1233" s="21"/>
    </row>
    <row r="1234" spans="1:44" hidden="1" x14ac:dyDescent="0.25">
      <c r="C1234" s="21"/>
      <c r="D1234" s="21"/>
      <c r="G1234" s="33"/>
      <c r="P1234" s="55"/>
      <c r="Q1234" s="54"/>
      <c r="S1234" s="35"/>
      <c r="T1234" s="674"/>
      <c r="U1234" s="53"/>
      <c r="V1234" s="22"/>
      <c r="W1234" s="22"/>
      <c r="AG1234" s="178"/>
      <c r="AI1234" s="21"/>
    </row>
    <row r="1235" spans="1:44" hidden="1" x14ac:dyDescent="0.25">
      <c r="C1235" s="21"/>
      <c r="D1235" s="21"/>
      <c r="G1235" s="33"/>
      <c r="P1235" s="55"/>
      <c r="Q1235" s="54"/>
      <c r="S1235" s="35"/>
      <c r="T1235" s="674"/>
      <c r="U1235" s="53"/>
      <c r="V1235" s="22"/>
      <c r="W1235" s="22"/>
      <c r="AG1235" s="178"/>
      <c r="AI1235" s="21"/>
    </row>
    <row r="1236" spans="1:44" hidden="1" x14ac:dyDescent="0.25">
      <c r="C1236" s="21"/>
      <c r="D1236" s="21"/>
      <c r="G1236" s="33"/>
      <c r="P1236" s="55"/>
      <c r="Q1236" s="54"/>
      <c r="S1236" s="35"/>
      <c r="T1236" s="674"/>
      <c r="U1236" s="53"/>
      <c r="V1236" s="22"/>
      <c r="W1236" s="22"/>
      <c r="AG1236" s="178"/>
      <c r="AI1236" s="21"/>
    </row>
    <row r="1237" spans="1:44" hidden="1" x14ac:dyDescent="0.25">
      <c r="C1237" s="21"/>
      <c r="D1237" s="21"/>
      <c r="G1237" s="33"/>
      <c r="P1237" s="55"/>
      <c r="Q1237" s="54"/>
      <c r="S1237" s="35"/>
      <c r="T1237" s="674"/>
      <c r="U1237" s="53"/>
      <c r="V1237" s="22"/>
      <c r="W1237" s="22"/>
      <c r="AG1237" s="178"/>
      <c r="AI1237" s="21"/>
    </row>
    <row r="1238" spans="1:44" ht="26.4" x14ac:dyDescent="0.25">
      <c r="A1238" s="22"/>
      <c r="B1238" s="352" t="s">
        <v>1939</v>
      </c>
      <c r="C1238" s="166">
        <v>3</v>
      </c>
      <c r="D1238" s="166" t="s">
        <v>1936</v>
      </c>
      <c r="E1238" s="65"/>
      <c r="F1238" s="22"/>
      <c r="G1238" s="33" t="s">
        <v>1228</v>
      </c>
      <c r="H1238" s="22"/>
      <c r="K1238" s="25"/>
      <c r="L1238" s="25"/>
      <c r="N1238" s="22"/>
      <c r="P1238" s="273"/>
      <c r="Q1238" s="273"/>
      <c r="S1238" s="35">
        <v>1097.6400000000001</v>
      </c>
      <c r="T1238" s="35"/>
      <c r="U1238" s="273">
        <f t="shared" ref="U1238:U1290" si="71">Q1238-S1238</f>
        <v>-1097.6400000000001</v>
      </c>
      <c r="V1238" s="22" t="s">
        <v>1230</v>
      </c>
      <c r="W1238" s="22" t="s">
        <v>1231</v>
      </c>
      <c r="Z1238" s="29">
        <v>43504</v>
      </c>
      <c r="AB1238" s="29">
        <v>43511</v>
      </c>
      <c r="AC1238" s="29"/>
      <c r="AH1238" s="143"/>
      <c r="AI1238" s="21"/>
      <c r="AJ1238" s="143"/>
      <c r="AK1238" s="143"/>
      <c r="AL1238" s="143"/>
      <c r="AM1238" s="143"/>
      <c r="AN1238" s="143"/>
      <c r="AO1238" s="143"/>
      <c r="AP1238" s="143"/>
      <c r="AQ1238" s="143"/>
      <c r="AR1238" s="143"/>
    </row>
    <row r="1239" spans="1:44" ht="26.4" x14ac:dyDescent="0.25">
      <c r="A1239" s="22"/>
      <c r="B1239" s="352" t="s">
        <v>1939</v>
      </c>
      <c r="C1239" s="166">
        <v>3</v>
      </c>
      <c r="D1239" s="166" t="s">
        <v>1936</v>
      </c>
      <c r="E1239" s="65"/>
      <c r="F1239" s="22"/>
      <c r="G1239" s="33" t="s">
        <v>1856</v>
      </c>
      <c r="H1239" s="22"/>
      <c r="K1239" s="25"/>
      <c r="L1239" s="25"/>
      <c r="N1239" s="22"/>
      <c r="P1239" s="273"/>
      <c r="Q1239" s="273"/>
      <c r="S1239" s="35">
        <v>2750</v>
      </c>
      <c r="T1239" s="35"/>
      <c r="U1239" s="273">
        <f t="shared" si="71"/>
        <v>-2750</v>
      </c>
      <c r="V1239" s="22" t="s">
        <v>1236</v>
      </c>
      <c r="W1239" s="22" t="s">
        <v>1237</v>
      </c>
      <c r="Z1239" s="29">
        <v>43494</v>
      </c>
      <c r="AB1239" s="29">
        <v>43518</v>
      </c>
      <c r="AC1239" s="29"/>
      <c r="AH1239" s="143"/>
      <c r="AI1239" s="21"/>
      <c r="AJ1239" s="143"/>
      <c r="AK1239" s="143"/>
      <c r="AL1239" s="143"/>
      <c r="AM1239" s="143"/>
      <c r="AN1239" s="143"/>
      <c r="AO1239" s="143"/>
      <c r="AP1239" s="143"/>
      <c r="AQ1239" s="143"/>
      <c r="AR1239" s="143"/>
    </row>
    <row r="1240" spans="1:44" ht="26.4" x14ac:dyDescent="0.25">
      <c r="A1240" s="22"/>
      <c r="B1240" s="352" t="s">
        <v>1939</v>
      </c>
      <c r="C1240" s="166">
        <v>3</v>
      </c>
      <c r="D1240" s="166" t="s">
        <v>1936</v>
      </c>
      <c r="E1240" s="65"/>
      <c r="F1240" s="22"/>
      <c r="G1240" s="33" t="s">
        <v>1857</v>
      </c>
      <c r="H1240" s="22"/>
      <c r="K1240" s="25"/>
      <c r="L1240" s="25"/>
      <c r="N1240" s="22"/>
      <c r="P1240" s="273"/>
      <c r="Q1240" s="273"/>
      <c r="S1240" s="35">
        <v>83.08</v>
      </c>
      <c r="T1240" s="35"/>
      <c r="U1240" s="273">
        <f t="shared" si="71"/>
        <v>-83.08</v>
      </c>
      <c r="V1240" s="22" t="s">
        <v>1214</v>
      </c>
      <c r="W1240" s="22" t="s">
        <v>1215</v>
      </c>
      <c r="Z1240" s="29">
        <v>43496</v>
      </c>
      <c r="AB1240" s="29">
        <v>43496</v>
      </c>
      <c r="AC1240" s="29"/>
      <c r="AH1240" s="143"/>
      <c r="AI1240" s="21"/>
      <c r="AJ1240" s="143"/>
      <c r="AK1240" s="143"/>
      <c r="AL1240" s="143"/>
      <c r="AM1240" s="143"/>
      <c r="AN1240" s="143"/>
      <c r="AO1240" s="143"/>
      <c r="AP1240" s="143"/>
      <c r="AQ1240" s="143"/>
      <c r="AR1240" s="143"/>
    </row>
    <row r="1241" spans="1:44" ht="26.4" x14ac:dyDescent="0.25">
      <c r="A1241" s="22"/>
      <c r="B1241" s="352" t="s">
        <v>1939</v>
      </c>
      <c r="C1241" s="166">
        <v>3</v>
      </c>
      <c r="D1241" s="166" t="s">
        <v>1936</v>
      </c>
      <c r="E1241" s="65"/>
      <c r="F1241" s="22"/>
      <c r="G1241" s="33" t="s">
        <v>1858</v>
      </c>
      <c r="H1241" s="22"/>
      <c r="K1241" s="25"/>
      <c r="L1241" s="25"/>
      <c r="N1241" s="22"/>
      <c r="P1241" s="273"/>
      <c r="Q1241" s="273"/>
      <c r="S1241" s="35">
        <v>1311.96</v>
      </c>
      <c r="T1241" s="35"/>
      <c r="U1241" s="273">
        <f t="shared" si="71"/>
        <v>-1311.96</v>
      </c>
      <c r="V1241" s="22" t="s">
        <v>1200</v>
      </c>
      <c r="W1241" s="22" t="s">
        <v>1201</v>
      </c>
      <c r="Z1241" s="36">
        <v>43482</v>
      </c>
      <c r="AB1241" s="29">
        <v>43490</v>
      </c>
      <c r="AC1241" s="29"/>
      <c r="AH1241" s="143"/>
      <c r="AI1241" s="21"/>
      <c r="AJ1241" s="143"/>
      <c r="AK1241" s="143"/>
      <c r="AL1241" s="143"/>
      <c r="AM1241" s="143"/>
      <c r="AN1241" s="143"/>
      <c r="AO1241" s="143"/>
      <c r="AP1241" s="143"/>
      <c r="AQ1241" s="143"/>
      <c r="AR1241" s="143"/>
    </row>
    <row r="1242" spans="1:44" ht="26.4" x14ac:dyDescent="0.25">
      <c r="A1242" s="22"/>
      <c r="B1242" s="352" t="s">
        <v>1939</v>
      </c>
      <c r="C1242" s="166">
        <v>3</v>
      </c>
      <c r="D1242" s="166" t="s">
        <v>1936</v>
      </c>
      <c r="E1242" s="65"/>
      <c r="F1242" s="22"/>
      <c r="G1242" s="33" t="s">
        <v>1547</v>
      </c>
      <c r="H1242" s="22"/>
      <c r="K1242" s="25"/>
      <c r="L1242" s="25"/>
      <c r="N1242" s="22"/>
      <c r="P1242" s="273"/>
      <c r="Q1242" s="273"/>
      <c r="S1242" s="35">
        <v>2988.2</v>
      </c>
      <c r="T1242" s="35"/>
      <c r="U1242" s="273">
        <f t="shared" si="71"/>
        <v>-2988.2</v>
      </c>
      <c r="V1242" s="22" t="s">
        <v>1220</v>
      </c>
      <c r="W1242" s="22" t="s">
        <v>1221</v>
      </c>
      <c r="Z1242" s="29">
        <v>43483</v>
      </c>
      <c r="AB1242" s="29">
        <v>43495</v>
      </c>
      <c r="AC1242" s="29"/>
      <c r="AH1242" s="143"/>
      <c r="AI1242" s="21"/>
      <c r="AJ1242" s="143"/>
      <c r="AK1242" s="143"/>
      <c r="AL1242" s="143"/>
      <c r="AM1242" s="143"/>
      <c r="AN1242" s="143"/>
      <c r="AO1242" s="143"/>
      <c r="AP1242" s="143"/>
      <c r="AQ1242" s="143"/>
      <c r="AR1242" s="143"/>
    </row>
    <row r="1243" spans="1:44" ht="26.4" x14ac:dyDescent="0.25">
      <c r="A1243" s="22"/>
      <c r="B1243" s="352" t="s">
        <v>1939</v>
      </c>
      <c r="C1243" s="166">
        <v>3</v>
      </c>
      <c r="D1243" s="166" t="s">
        <v>1936</v>
      </c>
      <c r="E1243" s="65"/>
      <c r="F1243" s="22"/>
      <c r="G1243" s="33" t="s">
        <v>1859</v>
      </c>
      <c r="H1243" s="166"/>
      <c r="I1243" s="166"/>
      <c r="J1243" s="166"/>
      <c r="K1243" s="166"/>
      <c r="L1243" s="166"/>
      <c r="M1243" s="166"/>
      <c r="N1243" s="166"/>
      <c r="O1243" s="166"/>
      <c r="P1243" s="166"/>
      <c r="Q1243" s="166"/>
      <c r="R1243" s="166"/>
      <c r="S1243" s="35">
        <v>812</v>
      </c>
      <c r="T1243" s="35"/>
      <c r="U1243" s="273">
        <f t="shared" si="71"/>
        <v>-812</v>
      </c>
      <c r="V1243" s="22" t="s">
        <v>1197</v>
      </c>
      <c r="W1243" s="22" t="s">
        <v>1198</v>
      </c>
      <c r="Z1243" s="29">
        <v>43493</v>
      </c>
      <c r="AB1243" s="29">
        <v>43502</v>
      </c>
      <c r="AC1243" s="29"/>
      <c r="AH1243" s="143"/>
      <c r="AI1243" s="21"/>
      <c r="AJ1243" s="143"/>
      <c r="AK1243" s="143"/>
      <c r="AL1243" s="143"/>
      <c r="AM1243" s="143"/>
      <c r="AN1243" s="143"/>
      <c r="AO1243" s="143"/>
      <c r="AP1243" s="143"/>
      <c r="AQ1243" s="143"/>
      <c r="AR1243" s="143"/>
    </row>
    <row r="1244" spans="1:44" ht="26.4" x14ac:dyDescent="0.25">
      <c r="A1244" s="22"/>
      <c r="B1244" s="352" t="s">
        <v>1939</v>
      </c>
      <c r="C1244" s="166">
        <v>3</v>
      </c>
      <c r="D1244" s="166" t="s">
        <v>1936</v>
      </c>
      <c r="E1244" s="65"/>
      <c r="F1244" s="22"/>
      <c r="G1244" s="33" t="s">
        <v>1860</v>
      </c>
      <c r="H1244" s="166"/>
      <c r="I1244" s="166"/>
      <c r="J1244" s="166"/>
      <c r="K1244" s="166"/>
      <c r="L1244" s="166"/>
      <c r="M1244" s="166"/>
      <c r="N1244" s="166"/>
      <c r="O1244" s="166"/>
      <c r="P1244" s="166"/>
      <c r="Q1244" s="166"/>
      <c r="R1244" s="166"/>
      <c r="S1244" s="35">
        <v>2026.57</v>
      </c>
      <c r="T1244" s="35"/>
      <c r="U1244" s="273">
        <f t="shared" si="71"/>
        <v>-2026.57</v>
      </c>
      <c r="V1244" s="22" t="s">
        <v>1861</v>
      </c>
      <c r="W1244" s="22" t="s">
        <v>1194</v>
      </c>
      <c r="Z1244" s="29">
        <v>43493</v>
      </c>
      <c r="AB1244" s="29">
        <v>43546</v>
      </c>
      <c r="AC1244" s="29"/>
      <c r="AH1244" s="143"/>
      <c r="AI1244" s="21"/>
      <c r="AJ1244" s="143"/>
      <c r="AK1244" s="143"/>
      <c r="AL1244" s="143"/>
      <c r="AM1244" s="143"/>
      <c r="AN1244" s="143"/>
      <c r="AO1244" s="143"/>
      <c r="AP1244" s="143"/>
      <c r="AQ1244" s="143"/>
      <c r="AR1244" s="143"/>
    </row>
    <row r="1245" spans="1:44" ht="26.4" x14ac:dyDescent="0.25">
      <c r="A1245" s="22"/>
      <c r="B1245" s="352" t="s">
        <v>1939</v>
      </c>
      <c r="C1245" s="166">
        <v>3</v>
      </c>
      <c r="D1245" s="166" t="s">
        <v>1936</v>
      </c>
      <c r="E1245" s="65"/>
      <c r="F1245" s="22"/>
      <c r="G1245" s="33" t="s">
        <v>1862</v>
      </c>
      <c r="H1245" s="166"/>
      <c r="I1245" s="166"/>
      <c r="J1245" s="166"/>
      <c r="K1245" s="166"/>
      <c r="L1245" s="166"/>
      <c r="M1245" s="166"/>
      <c r="N1245" s="166"/>
      <c r="O1245" s="166"/>
      <c r="P1245" s="166"/>
      <c r="Q1245" s="166"/>
      <c r="R1245" s="166"/>
      <c r="S1245" s="35">
        <v>961.22</v>
      </c>
      <c r="T1245" s="35"/>
      <c r="U1245" s="273">
        <f t="shared" si="71"/>
        <v>-961.22</v>
      </c>
      <c r="V1245" s="22" t="s">
        <v>1863</v>
      </c>
      <c r="W1245" s="22" t="s">
        <v>1864</v>
      </c>
      <c r="Z1245" s="29">
        <v>43441</v>
      </c>
      <c r="AB1245" s="29">
        <v>43451</v>
      </c>
      <c r="AC1245" s="29"/>
      <c r="AH1245" s="143"/>
      <c r="AI1245" s="21"/>
      <c r="AJ1245" s="143"/>
      <c r="AK1245" s="143"/>
      <c r="AL1245" s="143"/>
      <c r="AM1245" s="143"/>
      <c r="AN1245" s="143"/>
      <c r="AO1245" s="143"/>
      <c r="AP1245" s="143"/>
      <c r="AQ1245" s="143"/>
      <c r="AR1245" s="143"/>
    </row>
    <row r="1246" spans="1:44" ht="26.4" x14ac:dyDescent="0.25">
      <c r="A1246" s="22"/>
      <c r="B1246" s="352" t="s">
        <v>1939</v>
      </c>
      <c r="C1246" s="166">
        <v>3</v>
      </c>
      <c r="D1246" s="166" t="s">
        <v>1936</v>
      </c>
      <c r="E1246" s="65"/>
      <c r="F1246" s="22"/>
      <c r="G1246" s="33" t="s">
        <v>1865</v>
      </c>
      <c r="H1246" s="166"/>
      <c r="I1246" s="166"/>
      <c r="J1246" s="166"/>
      <c r="K1246" s="166"/>
      <c r="L1246" s="166"/>
      <c r="M1246" s="166"/>
      <c r="N1246" s="166"/>
      <c r="O1246" s="166"/>
      <c r="P1246" s="166"/>
      <c r="Q1246" s="166"/>
      <c r="R1246" s="166"/>
      <c r="S1246" s="35">
        <v>152.28</v>
      </c>
      <c r="T1246" s="35"/>
      <c r="U1246" s="273">
        <f t="shared" si="71"/>
        <v>-152.28</v>
      </c>
      <c r="V1246" s="22" t="s">
        <v>1866</v>
      </c>
      <c r="W1246" s="22" t="s">
        <v>1184</v>
      </c>
      <c r="Z1246" s="29">
        <v>43423</v>
      </c>
      <c r="AB1246" s="29">
        <v>43451</v>
      </c>
      <c r="AC1246" s="29"/>
      <c r="AH1246" s="143"/>
      <c r="AI1246" s="21"/>
      <c r="AJ1246" s="143"/>
      <c r="AK1246" s="143"/>
      <c r="AL1246" s="143"/>
      <c r="AM1246" s="143"/>
      <c r="AN1246" s="143"/>
      <c r="AO1246" s="143"/>
      <c r="AP1246" s="143"/>
      <c r="AQ1246" s="143"/>
      <c r="AR1246" s="143"/>
    </row>
    <row r="1247" spans="1:44" ht="26.4" x14ac:dyDescent="0.25">
      <c r="A1247" s="22"/>
      <c r="B1247" s="352" t="s">
        <v>1939</v>
      </c>
      <c r="C1247" s="166">
        <v>3</v>
      </c>
      <c r="D1247" s="166" t="s">
        <v>1936</v>
      </c>
      <c r="E1247" s="65"/>
      <c r="F1247" s="22"/>
      <c r="G1247" s="33" t="s">
        <v>1867</v>
      </c>
      <c r="H1247" s="22"/>
      <c r="K1247" s="25"/>
      <c r="L1247" s="25"/>
      <c r="N1247" s="22"/>
      <c r="P1247" s="273"/>
      <c r="Q1247" s="273"/>
      <c r="S1247" s="35">
        <v>139.1</v>
      </c>
      <c r="T1247" s="35"/>
      <c r="U1247" s="273">
        <f t="shared" si="71"/>
        <v>-139.1</v>
      </c>
      <c r="V1247" s="22" t="s">
        <v>1869</v>
      </c>
      <c r="W1247" s="22" t="s">
        <v>1868</v>
      </c>
      <c r="Z1247" s="29">
        <v>43577</v>
      </c>
      <c r="AB1247" s="29">
        <v>43602</v>
      </c>
      <c r="AC1247" s="29"/>
      <c r="AH1247" s="143"/>
      <c r="AI1247" s="21"/>
      <c r="AJ1247" s="143"/>
      <c r="AK1247" s="143"/>
      <c r="AL1247" s="143"/>
      <c r="AM1247" s="143"/>
      <c r="AN1247" s="143"/>
      <c r="AO1247" s="143"/>
      <c r="AP1247" s="143"/>
      <c r="AQ1247" s="143"/>
      <c r="AR1247" s="143"/>
    </row>
    <row r="1248" spans="1:44" ht="26.4" x14ac:dyDescent="0.25">
      <c r="A1248" s="22"/>
      <c r="B1248" s="352" t="s">
        <v>1939</v>
      </c>
      <c r="C1248" s="166">
        <v>3</v>
      </c>
      <c r="D1248" s="166" t="s">
        <v>1936</v>
      </c>
      <c r="E1248" s="65"/>
      <c r="F1248" s="22"/>
      <c r="G1248" s="33" t="s">
        <v>1858</v>
      </c>
      <c r="H1248" s="22"/>
      <c r="K1248" s="25"/>
      <c r="L1248" s="25"/>
      <c r="N1248" s="22"/>
      <c r="P1248" s="273"/>
      <c r="Q1248" s="273"/>
      <c r="S1248" s="35">
        <v>250.32</v>
      </c>
      <c r="T1248" s="35"/>
      <c r="U1248" s="273">
        <f t="shared" si="71"/>
        <v>-250.32</v>
      </c>
      <c r="V1248" s="22" t="s">
        <v>1870</v>
      </c>
      <c r="W1248" s="22" t="s">
        <v>1868</v>
      </c>
      <c r="Z1248" s="29">
        <v>43577</v>
      </c>
      <c r="AB1248" s="29">
        <v>43602</v>
      </c>
      <c r="AC1248" s="29"/>
      <c r="AH1248" s="143"/>
      <c r="AI1248" s="21"/>
      <c r="AJ1248" s="143"/>
      <c r="AK1248" s="143"/>
      <c r="AL1248" s="143"/>
      <c r="AM1248" s="143"/>
      <c r="AN1248" s="143"/>
      <c r="AO1248" s="143"/>
      <c r="AP1248" s="143"/>
      <c r="AQ1248" s="143"/>
      <c r="AR1248" s="143"/>
    </row>
    <row r="1249" spans="1:44" ht="26.4" x14ac:dyDescent="0.25">
      <c r="A1249" s="22"/>
      <c r="B1249" s="352" t="s">
        <v>1939</v>
      </c>
      <c r="C1249" s="166">
        <v>3</v>
      </c>
      <c r="D1249" s="166" t="s">
        <v>1936</v>
      </c>
      <c r="E1249" s="65"/>
      <c r="F1249" s="22"/>
      <c r="G1249" s="33" t="s">
        <v>1871</v>
      </c>
      <c r="H1249" s="22"/>
      <c r="K1249" s="25"/>
      <c r="L1249" s="25"/>
      <c r="N1249" s="22"/>
      <c r="P1249" s="273"/>
      <c r="Q1249" s="273"/>
      <c r="S1249" s="35">
        <v>488.5</v>
      </c>
      <c r="T1249" s="35"/>
      <c r="U1249" s="273">
        <f t="shared" si="71"/>
        <v>-488.5</v>
      </c>
      <c r="V1249" s="22" t="s">
        <v>1872</v>
      </c>
      <c r="W1249" s="22" t="s">
        <v>1949</v>
      </c>
      <c r="Z1249" s="29"/>
      <c r="AB1249" s="29"/>
      <c r="AC1249" s="29"/>
      <c r="AH1249" s="143"/>
      <c r="AI1249" s="21"/>
      <c r="AJ1249" s="143"/>
      <c r="AK1249" s="143"/>
      <c r="AL1249" s="143"/>
      <c r="AM1249" s="143"/>
      <c r="AN1249" s="143"/>
      <c r="AO1249" s="143"/>
      <c r="AP1249" s="143"/>
      <c r="AQ1249" s="143"/>
      <c r="AR1249" s="143"/>
    </row>
    <row r="1250" spans="1:44" ht="26.4" x14ac:dyDescent="0.25">
      <c r="B1250" s="352" t="s">
        <v>1939</v>
      </c>
      <c r="C1250" s="166">
        <v>4</v>
      </c>
      <c r="D1250" s="166" t="s">
        <v>1936</v>
      </c>
      <c r="E1250" s="65"/>
      <c r="F1250" s="22"/>
      <c r="G1250" s="33" t="s">
        <v>1873</v>
      </c>
      <c r="H1250" s="22"/>
      <c r="K1250" s="25"/>
      <c r="L1250" s="25"/>
      <c r="N1250" s="22"/>
      <c r="P1250" s="273"/>
      <c r="Q1250" s="273"/>
      <c r="S1250" s="35">
        <v>2459.88</v>
      </c>
      <c r="T1250" s="35"/>
      <c r="U1250" s="273">
        <f t="shared" si="71"/>
        <v>-2459.88</v>
      </c>
      <c r="V1250" s="22" t="s">
        <v>1884</v>
      </c>
      <c r="W1250" s="22" t="s">
        <v>1314</v>
      </c>
      <c r="Z1250" s="29">
        <v>43452</v>
      </c>
      <c r="AB1250" s="29">
        <v>43465</v>
      </c>
      <c r="AC1250" s="29"/>
      <c r="AH1250" s="143"/>
      <c r="AI1250" s="21"/>
      <c r="AJ1250" s="143"/>
      <c r="AK1250" s="143"/>
      <c r="AL1250" s="143"/>
      <c r="AM1250" s="143"/>
      <c r="AN1250" s="143"/>
      <c r="AO1250" s="143"/>
      <c r="AP1250" s="143"/>
      <c r="AQ1250" s="143"/>
      <c r="AR1250" s="143"/>
    </row>
    <row r="1251" spans="1:44" ht="26.4" x14ac:dyDescent="0.25">
      <c r="B1251" s="352" t="s">
        <v>1939</v>
      </c>
      <c r="C1251" s="166">
        <v>4</v>
      </c>
      <c r="D1251" s="166" t="s">
        <v>1936</v>
      </c>
      <c r="E1251" s="65"/>
      <c r="F1251" s="22"/>
      <c r="G1251" s="33" t="s">
        <v>1874</v>
      </c>
      <c r="H1251" s="22"/>
      <c r="K1251" s="25"/>
      <c r="L1251" s="25"/>
      <c r="N1251" s="22"/>
      <c r="P1251" s="273"/>
      <c r="Q1251" s="273"/>
      <c r="S1251" s="35">
        <v>756</v>
      </c>
      <c r="T1251" s="35"/>
      <c r="U1251" s="273">
        <f t="shared" si="71"/>
        <v>-756</v>
      </c>
      <c r="V1251" s="22" t="s">
        <v>1277</v>
      </c>
      <c r="W1251" s="22" t="s">
        <v>1278</v>
      </c>
      <c r="Z1251" s="29">
        <v>43508</v>
      </c>
      <c r="AB1251" s="29">
        <v>43508</v>
      </c>
      <c r="AC1251" s="29"/>
      <c r="AH1251" s="143"/>
      <c r="AI1251" s="21"/>
      <c r="AJ1251" s="143"/>
      <c r="AK1251" s="143"/>
      <c r="AL1251" s="143"/>
      <c r="AM1251" s="143"/>
      <c r="AN1251" s="143"/>
      <c r="AO1251" s="143"/>
      <c r="AP1251" s="143"/>
      <c r="AQ1251" s="143"/>
      <c r="AR1251" s="143"/>
    </row>
    <row r="1252" spans="1:44" ht="26.4" x14ac:dyDescent="0.25">
      <c r="B1252" s="352" t="s">
        <v>1939</v>
      </c>
      <c r="C1252" s="166">
        <v>4</v>
      </c>
      <c r="D1252" s="166" t="s">
        <v>1937</v>
      </c>
      <c r="E1252" s="65"/>
      <c r="F1252" s="22"/>
      <c r="G1252" s="33" t="s">
        <v>1875</v>
      </c>
      <c r="H1252" s="22"/>
      <c r="K1252" s="25"/>
      <c r="L1252" s="25"/>
      <c r="N1252" s="22"/>
      <c r="P1252" s="273"/>
      <c r="Q1252" s="273"/>
      <c r="S1252" s="35">
        <v>283.44</v>
      </c>
      <c r="T1252" s="35"/>
      <c r="U1252" s="273">
        <f t="shared" si="71"/>
        <v>-283.44</v>
      </c>
      <c r="V1252" s="22" t="s">
        <v>1296</v>
      </c>
      <c r="W1252" s="22" t="s">
        <v>1297</v>
      </c>
      <c r="Z1252" s="29">
        <v>43475</v>
      </c>
      <c r="AB1252" s="29">
        <v>43481</v>
      </c>
      <c r="AC1252" s="29"/>
      <c r="AH1252" s="143"/>
      <c r="AI1252" s="21"/>
      <c r="AJ1252" s="143"/>
      <c r="AK1252" s="143"/>
      <c r="AL1252" s="143"/>
      <c r="AM1252" s="143"/>
      <c r="AN1252" s="143"/>
      <c r="AO1252" s="143"/>
      <c r="AP1252" s="143"/>
      <c r="AQ1252" s="143"/>
      <c r="AR1252" s="143"/>
    </row>
    <row r="1253" spans="1:44" ht="26.4" x14ac:dyDescent="0.25">
      <c r="B1253" s="352" t="s">
        <v>1939</v>
      </c>
      <c r="C1253" s="166">
        <v>4</v>
      </c>
      <c r="D1253" s="166" t="s">
        <v>1937</v>
      </c>
      <c r="E1253" s="65"/>
      <c r="F1253" s="22"/>
      <c r="G1253" s="33" t="s">
        <v>1876</v>
      </c>
      <c r="H1253" s="22"/>
      <c r="K1253" s="25"/>
      <c r="L1253" s="25"/>
      <c r="N1253" s="22"/>
      <c r="P1253" s="273"/>
      <c r="Q1253" s="273"/>
      <c r="S1253" s="35">
        <v>25540</v>
      </c>
      <c r="T1253" s="35"/>
      <c r="U1253" s="273">
        <f t="shared" si="71"/>
        <v>-25540</v>
      </c>
      <c r="V1253" s="22" t="s">
        <v>1285</v>
      </c>
      <c r="W1253" s="22" t="s">
        <v>1885</v>
      </c>
      <c r="Z1253" s="29">
        <v>43552</v>
      </c>
      <c r="AB1253" s="29">
        <v>43554</v>
      </c>
      <c r="AC1253" s="29"/>
      <c r="AH1253" s="143"/>
      <c r="AI1253" s="21"/>
      <c r="AJ1253" s="143"/>
      <c r="AK1253" s="143"/>
      <c r="AL1253" s="143"/>
      <c r="AM1253" s="143"/>
      <c r="AN1253" s="143"/>
      <c r="AO1253" s="143"/>
      <c r="AP1253" s="143"/>
      <c r="AQ1253" s="143"/>
      <c r="AR1253" s="143"/>
    </row>
    <row r="1254" spans="1:44" ht="26.4" x14ac:dyDescent="0.25">
      <c r="B1254" s="352" t="s">
        <v>1939</v>
      </c>
      <c r="C1254" s="166">
        <v>4</v>
      </c>
      <c r="D1254" s="166" t="s">
        <v>1937</v>
      </c>
      <c r="E1254" s="65"/>
      <c r="F1254" s="22"/>
      <c r="G1254" s="33" t="s">
        <v>1877</v>
      </c>
      <c r="H1254" s="22"/>
      <c r="K1254" s="25"/>
      <c r="L1254" s="25"/>
      <c r="N1254" s="22"/>
      <c r="P1254" s="273"/>
      <c r="Q1254" s="273"/>
      <c r="S1254" s="35">
        <v>11400.48</v>
      </c>
      <c r="T1254" s="35"/>
      <c r="U1254" s="273">
        <f t="shared" si="71"/>
        <v>-11400.48</v>
      </c>
      <c r="V1254" s="22" t="s">
        <v>1886</v>
      </c>
      <c r="W1254" s="22" t="s">
        <v>1887</v>
      </c>
      <c r="Z1254" s="29">
        <v>43588</v>
      </c>
      <c r="AB1254" s="29">
        <v>43591</v>
      </c>
      <c r="AC1254" s="29"/>
      <c r="AH1254" s="143"/>
      <c r="AI1254" s="21"/>
      <c r="AJ1254" s="143"/>
      <c r="AK1254" s="143"/>
      <c r="AL1254" s="143"/>
      <c r="AM1254" s="143"/>
      <c r="AN1254" s="143"/>
      <c r="AO1254" s="143"/>
      <c r="AP1254" s="143"/>
      <c r="AQ1254" s="143"/>
      <c r="AR1254" s="143"/>
    </row>
    <row r="1255" spans="1:44" ht="26.4" x14ac:dyDescent="0.25">
      <c r="B1255" s="352" t="s">
        <v>1939</v>
      </c>
      <c r="C1255" s="166">
        <v>4</v>
      </c>
      <c r="D1255" s="166" t="s">
        <v>1937</v>
      </c>
      <c r="E1255" s="65"/>
      <c r="F1255" s="22"/>
      <c r="G1255" s="33" t="s">
        <v>1878</v>
      </c>
      <c r="H1255" s="22"/>
      <c r="K1255" s="25"/>
      <c r="L1255" s="25"/>
      <c r="N1255" s="22"/>
      <c r="P1255" s="273"/>
      <c r="Q1255" s="273"/>
      <c r="S1255" s="35">
        <v>574.99</v>
      </c>
      <c r="T1255" s="35"/>
      <c r="U1255" s="273">
        <f t="shared" si="71"/>
        <v>-574.99</v>
      </c>
      <c r="V1255" s="22" t="s">
        <v>1300</v>
      </c>
      <c r="W1255" s="22" t="s">
        <v>1301</v>
      </c>
      <c r="Z1255" s="29">
        <v>43494</v>
      </c>
      <c r="AB1255" s="29">
        <v>43494</v>
      </c>
      <c r="AC1255" s="29"/>
      <c r="AH1255" s="143"/>
      <c r="AI1255" s="21"/>
      <c r="AJ1255" s="143"/>
      <c r="AK1255" s="143"/>
      <c r="AL1255" s="143"/>
      <c r="AM1255" s="143"/>
      <c r="AN1255" s="143"/>
      <c r="AO1255" s="143"/>
      <c r="AP1255" s="143"/>
      <c r="AQ1255" s="143"/>
      <c r="AR1255" s="143"/>
    </row>
    <row r="1256" spans="1:44" ht="26.4" x14ac:dyDescent="0.25">
      <c r="B1256" s="352" t="s">
        <v>1939</v>
      </c>
      <c r="C1256" s="166">
        <v>4</v>
      </c>
      <c r="D1256" s="166" t="s">
        <v>1937</v>
      </c>
      <c r="E1256" s="65"/>
      <c r="F1256" s="22"/>
      <c r="G1256" s="33" t="s">
        <v>1879</v>
      </c>
      <c r="H1256" s="22"/>
      <c r="K1256" s="25"/>
      <c r="L1256" s="25"/>
      <c r="N1256" s="22"/>
      <c r="P1256" s="273"/>
      <c r="Q1256" s="273"/>
      <c r="S1256" s="35">
        <v>98.84</v>
      </c>
      <c r="T1256" s="35"/>
      <c r="U1256" s="273">
        <f t="shared" si="71"/>
        <v>-98.84</v>
      </c>
      <c r="V1256" s="22" t="s">
        <v>1272</v>
      </c>
      <c r="W1256" s="22" t="s">
        <v>1273</v>
      </c>
      <c r="Z1256" s="29">
        <v>43531</v>
      </c>
      <c r="AB1256" s="29">
        <v>43539</v>
      </c>
      <c r="AC1256" s="29"/>
      <c r="AH1256" s="143"/>
      <c r="AI1256" s="21"/>
      <c r="AJ1256" s="143"/>
      <c r="AK1256" s="143"/>
      <c r="AL1256" s="143"/>
      <c r="AM1256" s="143"/>
      <c r="AN1256" s="143"/>
      <c r="AO1256" s="143"/>
      <c r="AP1256" s="143"/>
      <c r="AQ1256" s="143"/>
      <c r="AR1256" s="143"/>
    </row>
    <row r="1257" spans="1:44" ht="26.4" x14ac:dyDescent="0.25">
      <c r="B1257" s="352" t="s">
        <v>1939</v>
      </c>
      <c r="C1257" s="166">
        <v>4</v>
      </c>
      <c r="D1257" s="166" t="s">
        <v>1937</v>
      </c>
      <c r="E1257" s="65"/>
      <c r="F1257" s="22"/>
      <c r="G1257" s="33" t="s">
        <v>1880</v>
      </c>
      <c r="H1257" s="22"/>
      <c r="K1257" s="25"/>
      <c r="L1257" s="25"/>
      <c r="N1257" s="22"/>
      <c r="P1257" s="273"/>
      <c r="Q1257" s="273"/>
      <c r="S1257" s="35">
        <v>109.99</v>
      </c>
      <c r="T1257" s="35"/>
      <c r="U1257" s="273">
        <f t="shared" si="71"/>
        <v>-109.99</v>
      </c>
      <c r="V1257" s="22" t="s">
        <v>1268</v>
      </c>
      <c r="W1257" s="22" t="s">
        <v>1269</v>
      </c>
      <c r="Z1257" s="29">
        <v>43531</v>
      </c>
      <c r="AB1257" s="29">
        <v>43531</v>
      </c>
      <c r="AC1257" s="29"/>
      <c r="AH1257" s="143"/>
      <c r="AI1257" s="21"/>
      <c r="AJ1257" s="143"/>
      <c r="AK1257" s="143"/>
      <c r="AL1257" s="143"/>
      <c r="AM1257" s="143"/>
      <c r="AN1257" s="143"/>
      <c r="AO1257" s="143"/>
      <c r="AP1257" s="143"/>
      <c r="AQ1257" s="143"/>
      <c r="AR1257" s="143"/>
    </row>
    <row r="1258" spans="1:44" ht="26.4" x14ac:dyDescent="0.25">
      <c r="B1258" s="352" t="s">
        <v>1939</v>
      </c>
      <c r="C1258" s="166">
        <v>4</v>
      </c>
      <c r="D1258" s="166" t="s">
        <v>1937</v>
      </c>
      <c r="E1258" s="65"/>
      <c r="F1258" s="22"/>
      <c r="G1258" s="33" t="s">
        <v>475</v>
      </c>
      <c r="H1258" s="22"/>
      <c r="K1258" s="25"/>
      <c r="L1258" s="25"/>
      <c r="N1258" s="22"/>
      <c r="P1258" s="273"/>
      <c r="Q1258" s="273"/>
      <c r="S1258" s="35">
        <v>274.56</v>
      </c>
      <c r="T1258" s="35"/>
      <c r="U1258" s="273">
        <f t="shared" si="71"/>
        <v>-274.56</v>
      </c>
      <c r="V1258" s="22" t="s">
        <v>1889</v>
      </c>
      <c r="W1258" s="22" t="s">
        <v>1888</v>
      </c>
      <c r="Z1258" s="29">
        <v>43423</v>
      </c>
      <c r="AB1258" s="29">
        <v>43431</v>
      </c>
      <c r="AC1258" s="29"/>
      <c r="AH1258" s="143"/>
      <c r="AI1258" s="21"/>
      <c r="AJ1258" s="143"/>
      <c r="AK1258" s="143"/>
      <c r="AL1258" s="143"/>
      <c r="AM1258" s="143"/>
      <c r="AN1258" s="143"/>
      <c r="AO1258" s="143"/>
      <c r="AP1258" s="143"/>
      <c r="AQ1258" s="143"/>
      <c r="AR1258" s="143"/>
    </row>
    <row r="1259" spans="1:44" ht="26.4" x14ac:dyDescent="0.25">
      <c r="B1259" s="352" t="s">
        <v>1939</v>
      </c>
      <c r="C1259" s="166">
        <v>4</v>
      </c>
      <c r="D1259" s="166" t="s">
        <v>1937</v>
      </c>
      <c r="E1259" s="65"/>
      <c r="F1259" s="22"/>
      <c r="G1259" s="33" t="s">
        <v>1881</v>
      </c>
      <c r="H1259" s="22"/>
      <c r="K1259" s="25"/>
      <c r="L1259" s="25"/>
      <c r="N1259" s="22"/>
      <c r="P1259" s="273"/>
      <c r="Q1259" s="273"/>
      <c r="S1259" s="35">
        <v>239.99</v>
      </c>
      <c r="T1259" s="35"/>
      <c r="U1259" s="273">
        <f t="shared" si="71"/>
        <v>-239.99</v>
      </c>
      <c r="V1259" s="22" t="s">
        <v>1891</v>
      </c>
      <c r="W1259" s="22" t="s">
        <v>1890</v>
      </c>
      <c r="Z1259" s="29">
        <v>43591</v>
      </c>
      <c r="AB1259" s="29">
        <v>43595</v>
      </c>
      <c r="AC1259" s="29"/>
      <c r="AH1259" s="143"/>
      <c r="AI1259" s="21"/>
      <c r="AJ1259" s="143"/>
      <c r="AK1259" s="143"/>
      <c r="AL1259" s="143"/>
      <c r="AM1259" s="143"/>
      <c r="AN1259" s="143"/>
      <c r="AO1259" s="143"/>
      <c r="AP1259" s="143"/>
      <c r="AQ1259" s="143"/>
      <c r="AR1259" s="143"/>
    </row>
    <row r="1260" spans="1:44" ht="26.4" x14ac:dyDescent="0.25">
      <c r="B1260" s="352" t="s">
        <v>1939</v>
      </c>
      <c r="C1260" s="166">
        <v>4</v>
      </c>
      <c r="D1260" s="166" t="s">
        <v>1937</v>
      </c>
      <c r="E1260" s="65"/>
      <c r="F1260" s="22"/>
      <c r="G1260" s="33" t="s">
        <v>1882</v>
      </c>
      <c r="H1260" s="22"/>
      <c r="K1260" s="25"/>
      <c r="L1260" s="25"/>
      <c r="N1260" s="22"/>
      <c r="P1260" s="273"/>
      <c r="Q1260" s="273"/>
      <c r="S1260" s="35">
        <v>7472</v>
      </c>
      <c r="T1260" s="35"/>
      <c r="U1260" s="273">
        <f t="shared" si="71"/>
        <v>-7472</v>
      </c>
      <c r="V1260" s="22" t="s">
        <v>1892</v>
      </c>
      <c r="W1260" s="22"/>
      <c r="Z1260" s="29"/>
      <c r="AB1260" s="29"/>
      <c r="AC1260" s="29"/>
      <c r="AH1260" s="143"/>
      <c r="AI1260" s="21"/>
      <c r="AJ1260" s="143"/>
      <c r="AK1260" s="143"/>
      <c r="AL1260" s="143"/>
      <c r="AM1260" s="143"/>
      <c r="AN1260" s="143"/>
      <c r="AO1260" s="143"/>
      <c r="AP1260" s="143"/>
      <c r="AQ1260" s="143"/>
      <c r="AR1260" s="143"/>
    </row>
    <row r="1261" spans="1:44" ht="26.4" x14ac:dyDescent="0.25">
      <c r="B1261" s="352" t="s">
        <v>1939</v>
      </c>
      <c r="C1261" s="166">
        <v>4</v>
      </c>
      <c r="D1261" s="166" t="s">
        <v>1937</v>
      </c>
      <c r="E1261" s="65"/>
      <c r="F1261" s="22"/>
      <c r="G1261" s="33" t="s">
        <v>1883</v>
      </c>
      <c r="H1261" s="22"/>
      <c r="K1261" s="25"/>
      <c r="L1261" s="25"/>
      <c r="N1261" s="22"/>
      <c r="P1261" s="273"/>
      <c r="Q1261" s="273"/>
      <c r="S1261" s="35">
        <v>4807</v>
      </c>
      <c r="T1261" s="35"/>
      <c r="U1261" s="273">
        <f t="shared" si="71"/>
        <v>-4807</v>
      </c>
      <c r="V1261" s="22" t="s">
        <v>1893</v>
      </c>
      <c r="W1261" s="22"/>
      <c r="Z1261" s="29"/>
      <c r="AB1261" s="29"/>
      <c r="AC1261" s="29"/>
      <c r="AH1261" s="143"/>
      <c r="AI1261" s="21"/>
      <c r="AJ1261" s="143"/>
      <c r="AK1261" s="143"/>
      <c r="AL1261" s="143"/>
      <c r="AM1261" s="143"/>
      <c r="AN1261" s="143"/>
      <c r="AO1261" s="143"/>
      <c r="AP1261" s="143"/>
      <c r="AQ1261" s="143"/>
      <c r="AR1261" s="143"/>
    </row>
    <row r="1262" spans="1:44" ht="26.4" x14ac:dyDescent="0.25">
      <c r="B1262" s="352" t="s">
        <v>1939</v>
      </c>
      <c r="C1262" s="49">
        <v>5</v>
      </c>
      <c r="D1262" s="166" t="s">
        <v>1937</v>
      </c>
      <c r="E1262" s="65"/>
      <c r="F1262" s="22"/>
      <c r="G1262" s="33" t="s">
        <v>1894</v>
      </c>
      <c r="H1262" s="22"/>
      <c r="K1262" s="25"/>
      <c r="L1262" s="25"/>
      <c r="N1262" s="22"/>
      <c r="P1262" s="273"/>
      <c r="Q1262" s="273"/>
      <c r="S1262" s="35">
        <v>6788</v>
      </c>
      <c r="T1262" s="35"/>
      <c r="U1262" s="273">
        <f t="shared" si="71"/>
        <v>-6788</v>
      </c>
      <c r="V1262" s="22" t="s">
        <v>1369</v>
      </c>
      <c r="W1262" s="22" t="s">
        <v>1370</v>
      </c>
      <c r="Z1262" s="29">
        <v>43819</v>
      </c>
      <c r="AB1262" s="29">
        <v>43830</v>
      </c>
      <c r="AC1262" s="29"/>
      <c r="AH1262" s="143"/>
      <c r="AI1262" s="21"/>
      <c r="AJ1262" s="143"/>
      <c r="AK1262" s="143"/>
      <c r="AL1262" s="143"/>
      <c r="AM1262" s="143"/>
      <c r="AN1262" s="143"/>
      <c r="AO1262" s="143"/>
      <c r="AP1262" s="143"/>
      <c r="AQ1262" s="143"/>
      <c r="AR1262" s="143"/>
    </row>
    <row r="1263" spans="1:44" ht="26.4" x14ac:dyDescent="0.25">
      <c r="B1263" s="352" t="s">
        <v>1939</v>
      </c>
      <c r="C1263" s="49">
        <v>5</v>
      </c>
      <c r="D1263" s="166" t="s">
        <v>1937</v>
      </c>
      <c r="E1263" s="65"/>
      <c r="F1263" s="22"/>
      <c r="G1263" s="33" t="s">
        <v>1895</v>
      </c>
      <c r="H1263" s="22"/>
      <c r="K1263" s="25"/>
      <c r="L1263" s="25"/>
      <c r="N1263" s="22"/>
      <c r="P1263" s="273"/>
      <c r="Q1263" s="273"/>
      <c r="S1263" s="35">
        <v>59.99</v>
      </c>
      <c r="T1263" s="35"/>
      <c r="U1263" s="273">
        <f t="shared" si="71"/>
        <v>-59.99</v>
      </c>
      <c r="V1263" s="22" t="s">
        <v>1896</v>
      </c>
      <c r="W1263" s="22" t="s">
        <v>1485</v>
      </c>
      <c r="Z1263" s="29">
        <v>43826</v>
      </c>
      <c r="AB1263" s="29">
        <v>43826</v>
      </c>
      <c r="AC1263" s="29"/>
      <c r="AH1263" s="143"/>
      <c r="AI1263" s="21"/>
      <c r="AJ1263" s="143"/>
      <c r="AK1263" s="143"/>
      <c r="AL1263" s="143"/>
      <c r="AM1263" s="143"/>
      <c r="AN1263" s="143"/>
      <c r="AO1263" s="143"/>
      <c r="AP1263" s="143"/>
      <c r="AQ1263" s="143"/>
      <c r="AR1263" s="143"/>
    </row>
    <row r="1264" spans="1:44" ht="26.4" x14ac:dyDescent="0.25">
      <c r="B1264" s="352" t="s">
        <v>1939</v>
      </c>
      <c r="C1264" s="49">
        <v>5</v>
      </c>
      <c r="D1264" s="166" t="s">
        <v>1937</v>
      </c>
      <c r="E1264" s="65"/>
      <c r="F1264" s="22"/>
      <c r="G1264" s="33" t="s">
        <v>1897</v>
      </c>
      <c r="H1264" s="22"/>
      <c r="K1264" s="25"/>
      <c r="L1264" s="25"/>
      <c r="N1264" s="22"/>
      <c r="P1264" s="273"/>
      <c r="Q1264" s="273"/>
      <c r="S1264" s="35">
        <v>2143.0500000000002</v>
      </c>
      <c r="T1264" s="35"/>
      <c r="U1264" s="273">
        <f t="shared" si="71"/>
        <v>-2143.0500000000002</v>
      </c>
      <c r="V1264" s="22" t="s">
        <v>1899</v>
      </c>
      <c r="W1264" s="22" t="s">
        <v>1898</v>
      </c>
      <c r="AC1264" s="29"/>
      <c r="AH1264" s="143"/>
      <c r="AI1264" s="21"/>
      <c r="AJ1264" s="143"/>
      <c r="AK1264" s="143"/>
      <c r="AL1264" s="143"/>
      <c r="AM1264" s="143"/>
      <c r="AN1264" s="143"/>
      <c r="AO1264" s="143"/>
      <c r="AP1264" s="143"/>
      <c r="AQ1264" s="143"/>
      <c r="AR1264" s="143"/>
    </row>
    <row r="1265" spans="2:44" ht="26.4" x14ac:dyDescent="0.25">
      <c r="B1265" s="352" t="s">
        <v>1939</v>
      </c>
      <c r="C1265" s="49">
        <v>5</v>
      </c>
      <c r="D1265" s="166" t="s">
        <v>1937</v>
      </c>
      <c r="E1265" s="65"/>
      <c r="F1265" s="22"/>
      <c r="G1265" s="33" t="s">
        <v>1900</v>
      </c>
      <c r="H1265" s="22"/>
      <c r="K1265" s="25"/>
      <c r="L1265" s="25"/>
      <c r="N1265" s="22"/>
      <c r="P1265" s="273"/>
      <c r="Q1265" s="273"/>
      <c r="S1265" s="35">
        <v>795.39</v>
      </c>
      <c r="T1265" s="35"/>
      <c r="U1265" s="273">
        <f t="shared" si="71"/>
        <v>-795.39</v>
      </c>
      <c r="V1265" s="22" t="s">
        <v>1901</v>
      </c>
      <c r="W1265" s="22" t="s">
        <v>1492</v>
      </c>
      <c r="Z1265" s="29">
        <v>43504</v>
      </c>
      <c r="AB1265" s="29">
        <v>43509</v>
      </c>
      <c r="AC1265" s="29"/>
      <c r="AH1265" s="143"/>
      <c r="AI1265" s="21"/>
      <c r="AJ1265" s="143"/>
      <c r="AK1265" s="143"/>
      <c r="AL1265" s="143"/>
      <c r="AM1265" s="143"/>
      <c r="AN1265" s="143"/>
      <c r="AO1265" s="143"/>
      <c r="AP1265" s="143"/>
      <c r="AQ1265" s="143"/>
      <c r="AR1265" s="143"/>
    </row>
    <row r="1266" spans="2:44" ht="26.4" x14ac:dyDescent="0.25">
      <c r="B1266" s="352" t="s">
        <v>1939</v>
      </c>
      <c r="C1266" s="49">
        <v>5</v>
      </c>
      <c r="D1266" s="166" t="s">
        <v>1937</v>
      </c>
      <c r="E1266" s="65"/>
      <c r="F1266" s="22"/>
      <c r="G1266" s="33" t="s">
        <v>1902</v>
      </c>
      <c r="H1266" s="22"/>
      <c r="K1266" s="25"/>
      <c r="L1266" s="25"/>
      <c r="N1266" s="22"/>
      <c r="P1266" s="273"/>
      <c r="Q1266" s="273"/>
      <c r="S1266" s="35">
        <v>2448.75</v>
      </c>
      <c r="T1266" s="35"/>
      <c r="U1266" s="273">
        <f t="shared" si="71"/>
        <v>-2448.75</v>
      </c>
      <c r="V1266" s="22" t="s">
        <v>1903</v>
      </c>
      <c r="W1266" s="22" t="s">
        <v>1496</v>
      </c>
      <c r="Z1266" s="29">
        <v>43446</v>
      </c>
      <c r="AB1266" s="29">
        <v>43454</v>
      </c>
      <c r="AC1266" s="29"/>
      <c r="AH1266" s="143"/>
      <c r="AI1266" s="21"/>
      <c r="AJ1266" s="143"/>
      <c r="AK1266" s="143"/>
      <c r="AL1266" s="143"/>
      <c r="AM1266" s="143"/>
      <c r="AN1266" s="143"/>
      <c r="AO1266" s="143"/>
      <c r="AP1266" s="143"/>
      <c r="AQ1266" s="143"/>
      <c r="AR1266" s="143"/>
    </row>
    <row r="1267" spans="2:44" ht="26.4" x14ac:dyDescent="0.25">
      <c r="B1267" s="352" t="s">
        <v>1939</v>
      </c>
      <c r="C1267" s="49">
        <v>5</v>
      </c>
      <c r="D1267" s="166" t="s">
        <v>1937</v>
      </c>
      <c r="E1267" s="65"/>
      <c r="F1267" s="22"/>
      <c r="G1267" s="598" t="s">
        <v>792</v>
      </c>
      <c r="H1267" s="22"/>
      <c r="K1267" s="25"/>
      <c r="L1267" s="25"/>
      <c r="N1267" s="22"/>
      <c r="P1267" s="273"/>
      <c r="Q1267" s="273"/>
      <c r="S1267" s="35">
        <v>3027</v>
      </c>
      <c r="T1267" s="35"/>
      <c r="U1267" s="273">
        <f t="shared" si="71"/>
        <v>-3027</v>
      </c>
      <c r="V1267" s="22" t="s">
        <v>1428</v>
      </c>
      <c r="W1267" s="22" t="s">
        <v>1904</v>
      </c>
      <c r="Z1267" s="29">
        <v>43518</v>
      </c>
      <c r="AB1267" s="29">
        <v>43518</v>
      </c>
      <c r="AC1267" s="29"/>
      <c r="AH1267" s="143"/>
      <c r="AI1267" s="21"/>
      <c r="AJ1267" s="143"/>
      <c r="AK1267" s="143"/>
      <c r="AL1267" s="143"/>
      <c r="AM1267" s="143"/>
      <c r="AN1267" s="143"/>
      <c r="AO1267" s="143"/>
      <c r="AP1267" s="143"/>
      <c r="AQ1267" s="143"/>
      <c r="AR1267" s="143"/>
    </row>
    <row r="1268" spans="2:44" ht="26.4" x14ac:dyDescent="0.25">
      <c r="B1268" s="352" t="s">
        <v>1939</v>
      </c>
      <c r="C1268" s="49">
        <v>5</v>
      </c>
      <c r="D1268" s="166" t="s">
        <v>1937</v>
      </c>
      <c r="E1268" s="65"/>
      <c r="F1268" s="22"/>
      <c r="G1268" s="33" t="s">
        <v>1905</v>
      </c>
      <c r="H1268" s="22"/>
      <c r="K1268" s="25"/>
      <c r="L1268" s="25"/>
      <c r="N1268" s="22"/>
      <c r="P1268" s="273"/>
      <c r="Q1268" s="273"/>
      <c r="S1268" s="35">
        <v>13308.01</v>
      </c>
      <c r="T1268" s="35"/>
      <c r="U1268" s="273">
        <f t="shared" si="71"/>
        <v>-13308.01</v>
      </c>
      <c r="V1268" s="22" t="s">
        <v>1906</v>
      </c>
      <c r="W1268" s="22" t="s">
        <v>1514</v>
      </c>
      <c r="Z1268" s="29">
        <v>43552</v>
      </c>
      <c r="AB1268" s="29">
        <v>43560</v>
      </c>
      <c r="AC1268" s="29"/>
      <c r="AH1268" s="143"/>
      <c r="AI1268" s="21"/>
      <c r="AJ1268" s="143"/>
      <c r="AK1268" s="143"/>
      <c r="AL1268" s="143"/>
      <c r="AM1268" s="143"/>
      <c r="AN1268" s="143"/>
      <c r="AO1268" s="143"/>
      <c r="AP1268" s="143"/>
      <c r="AQ1268" s="143"/>
      <c r="AR1268" s="143"/>
    </row>
    <row r="1269" spans="2:44" ht="26.4" x14ac:dyDescent="0.25">
      <c r="B1269" s="352" t="s">
        <v>1939</v>
      </c>
      <c r="C1269" s="49">
        <v>5</v>
      </c>
      <c r="D1269" s="166" t="s">
        <v>1937</v>
      </c>
      <c r="E1269" s="65"/>
      <c r="F1269" s="22"/>
      <c r="G1269" s="33" t="s">
        <v>1547</v>
      </c>
      <c r="H1269" s="22"/>
      <c r="K1269" s="25"/>
      <c r="L1269" s="25"/>
      <c r="N1269" s="22"/>
      <c r="P1269" s="273"/>
      <c r="Q1269" s="273"/>
      <c r="S1269" s="35">
        <v>1534.51</v>
      </c>
      <c r="T1269" s="35"/>
      <c r="U1269" s="273">
        <f t="shared" si="71"/>
        <v>-1534.51</v>
      </c>
      <c r="V1269" s="22" t="s">
        <v>1470</v>
      </c>
      <c r="W1269" s="22" t="s">
        <v>1429</v>
      </c>
      <c r="Z1269" s="29">
        <v>43518</v>
      </c>
      <c r="AB1269" s="29">
        <v>43532</v>
      </c>
      <c r="AC1269" s="29"/>
      <c r="AH1269" s="143"/>
      <c r="AI1269" s="21"/>
      <c r="AJ1269" s="143"/>
      <c r="AK1269" s="143"/>
      <c r="AL1269" s="143"/>
      <c r="AM1269" s="143"/>
      <c r="AN1269" s="143"/>
      <c r="AO1269" s="143"/>
      <c r="AP1269" s="143"/>
      <c r="AQ1269" s="143"/>
      <c r="AR1269" s="143"/>
    </row>
    <row r="1270" spans="2:44" ht="26.4" x14ac:dyDescent="0.25">
      <c r="B1270" s="352" t="s">
        <v>1939</v>
      </c>
      <c r="C1270" s="49">
        <v>5</v>
      </c>
      <c r="D1270" s="166" t="s">
        <v>1937</v>
      </c>
      <c r="E1270" s="65"/>
      <c r="F1270" s="22"/>
      <c r="G1270" s="33" t="s">
        <v>1547</v>
      </c>
      <c r="H1270" s="22"/>
      <c r="K1270" s="25"/>
      <c r="L1270" s="25"/>
      <c r="N1270" s="22"/>
      <c r="P1270" s="273"/>
      <c r="Q1270" s="273"/>
      <c r="S1270" s="35">
        <v>517.04</v>
      </c>
      <c r="T1270" s="35"/>
      <c r="U1270" s="273">
        <f t="shared" si="71"/>
        <v>-517.04</v>
      </c>
      <c r="V1270" s="22" t="s">
        <v>1548</v>
      </c>
      <c r="W1270" s="22" t="s">
        <v>1521</v>
      </c>
      <c r="Z1270" s="29">
        <v>43532</v>
      </c>
      <c r="AB1270" s="29">
        <v>43532</v>
      </c>
      <c r="AC1270" s="29"/>
      <c r="AH1270" s="143"/>
      <c r="AI1270" s="21"/>
      <c r="AJ1270" s="143"/>
      <c r="AK1270" s="143"/>
      <c r="AL1270" s="143"/>
      <c r="AM1270" s="143"/>
      <c r="AN1270" s="143"/>
      <c r="AO1270" s="143"/>
      <c r="AP1270" s="143"/>
      <c r="AQ1270" s="143"/>
      <c r="AR1270" s="143"/>
    </row>
    <row r="1271" spans="2:44" ht="39.6" x14ac:dyDescent="0.25">
      <c r="B1271" s="352" t="s">
        <v>1939</v>
      </c>
      <c r="C1271" s="49">
        <v>5</v>
      </c>
      <c r="D1271" s="166" t="s">
        <v>1937</v>
      </c>
      <c r="E1271" s="65"/>
      <c r="F1271" s="22"/>
      <c r="G1271" s="33" t="s">
        <v>1544</v>
      </c>
      <c r="H1271" s="22"/>
      <c r="K1271" s="25"/>
      <c r="L1271" s="25"/>
      <c r="N1271" s="22"/>
      <c r="P1271" s="273"/>
      <c r="Q1271" s="273"/>
      <c r="S1271" s="35">
        <v>598.38</v>
      </c>
      <c r="T1271" s="35"/>
      <c r="U1271" s="273">
        <f t="shared" si="71"/>
        <v>-598.38</v>
      </c>
      <c r="V1271" s="22" t="s">
        <v>1545</v>
      </c>
      <c r="W1271" s="22" t="s">
        <v>1546</v>
      </c>
      <c r="Z1271" s="29">
        <v>43518</v>
      </c>
      <c r="AB1271" s="29">
        <v>43530</v>
      </c>
      <c r="AC1271" s="29"/>
      <c r="AH1271" s="143"/>
      <c r="AI1271" s="21"/>
      <c r="AJ1271" s="143"/>
      <c r="AK1271" s="143"/>
      <c r="AL1271" s="143"/>
      <c r="AM1271" s="143"/>
      <c r="AN1271" s="143"/>
      <c r="AO1271" s="143"/>
      <c r="AP1271" s="143"/>
      <c r="AQ1271" s="143"/>
      <c r="AR1271" s="143"/>
    </row>
    <row r="1272" spans="2:44" ht="26.4" x14ac:dyDescent="0.25">
      <c r="B1272" s="352" t="s">
        <v>1939</v>
      </c>
      <c r="C1272" s="49">
        <v>5</v>
      </c>
      <c r="D1272" s="166" t="s">
        <v>1937</v>
      </c>
      <c r="E1272" s="65"/>
      <c r="F1272" s="22"/>
      <c r="G1272" s="33" t="s">
        <v>1907</v>
      </c>
      <c r="H1272" s="22"/>
      <c r="K1272" s="25"/>
      <c r="L1272" s="25"/>
      <c r="N1272" s="22"/>
      <c r="P1272" s="273"/>
      <c r="Q1272" s="273"/>
      <c r="S1272" s="35">
        <v>2851</v>
      </c>
      <c r="T1272" s="35"/>
      <c r="U1272" s="273">
        <f t="shared" si="71"/>
        <v>-2851</v>
      </c>
      <c r="V1272" s="22" t="s">
        <v>1549</v>
      </c>
      <c r="W1272" s="22" t="s">
        <v>1908</v>
      </c>
      <c r="Z1272" s="29">
        <v>43510</v>
      </c>
      <c r="AB1272" s="29">
        <v>43518</v>
      </c>
      <c r="AC1272" s="29"/>
      <c r="AH1272" s="143"/>
      <c r="AI1272" s="21"/>
      <c r="AJ1272" s="143"/>
      <c r="AK1272" s="143"/>
      <c r="AL1272" s="143"/>
      <c r="AM1272" s="143"/>
      <c r="AN1272" s="143"/>
      <c r="AO1272" s="143"/>
      <c r="AP1272" s="143"/>
      <c r="AQ1272" s="143"/>
      <c r="AR1272" s="143"/>
    </row>
    <row r="1273" spans="2:44" ht="26.4" x14ac:dyDescent="0.25">
      <c r="B1273" s="352" t="s">
        <v>1939</v>
      </c>
      <c r="C1273" s="49">
        <v>5</v>
      </c>
      <c r="D1273" s="166" t="s">
        <v>1937</v>
      </c>
      <c r="E1273" s="65"/>
      <c r="F1273" s="22"/>
      <c r="G1273" s="33" t="s">
        <v>1547</v>
      </c>
      <c r="H1273" s="22"/>
      <c r="K1273" s="25"/>
      <c r="L1273" s="25"/>
      <c r="N1273" s="22"/>
      <c r="P1273" s="273"/>
      <c r="Q1273" s="273"/>
      <c r="S1273" s="35">
        <v>397.06</v>
      </c>
      <c r="T1273" s="35"/>
      <c r="U1273" s="273">
        <f t="shared" si="71"/>
        <v>-397.06</v>
      </c>
      <c r="V1273" s="22" t="s">
        <v>1556</v>
      </c>
      <c r="W1273" s="22" t="s">
        <v>1557</v>
      </c>
      <c r="Z1273" s="29">
        <v>43511</v>
      </c>
      <c r="AB1273" s="29">
        <v>43525</v>
      </c>
      <c r="AC1273" s="29"/>
      <c r="AH1273" s="143"/>
      <c r="AI1273" s="21"/>
      <c r="AJ1273" s="143"/>
      <c r="AK1273" s="143"/>
      <c r="AL1273" s="143"/>
      <c r="AM1273" s="143"/>
      <c r="AN1273" s="143"/>
      <c r="AO1273" s="143"/>
      <c r="AP1273" s="143"/>
      <c r="AQ1273" s="143"/>
      <c r="AR1273" s="143"/>
    </row>
    <row r="1274" spans="2:44" ht="26.4" x14ac:dyDescent="0.25">
      <c r="B1274" s="352" t="s">
        <v>1939</v>
      </c>
      <c r="C1274" s="49">
        <v>5</v>
      </c>
      <c r="D1274" s="166" t="s">
        <v>1937</v>
      </c>
      <c r="E1274" s="65"/>
      <c r="F1274" s="22"/>
      <c r="G1274" s="33" t="s">
        <v>1909</v>
      </c>
      <c r="H1274" s="22"/>
      <c r="K1274" s="25"/>
      <c r="L1274" s="25"/>
      <c r="N1274" s="22"/>
      <c r="P1274" s="273"/>
      <c r="Q1274" s="273"/>
      <c r="S1274" s="35">
        <v>660</v>
      </c>
      <c r="T1274" s="35"/>
      <c r="U1274" s="273">
        <f t="shared" si="71"/>
        <v>-660</v>
      </c>
      <c r="V1274" s="22" t="s">
        <v>1460</v>
      </c>
      <c r="W1274" s="22" t="s">
        <v>1465</v>
      </c>
      <c r="Z1274" s="29">
        <v>43514</v>
      </c>
      <c r="AB1274" s="29">
        <v>43539</v>
      </c>
      <c r="AC1274" s="29"/>
      <c r="AH1274" s="143"/>
      <c r="AI1274" s="21"/>
      <c r="AJ1274" s="143"/>
      <c r="AK1274" s="143"/>
      <c r="AL1274" s="143"/>
      <c r="AM1274" s="143"/>
      <c r="AN1274" s="143"/>
      <c r="AO1274" s="143"/>
      <c r="AP1274" s="143"/>
      <c r="AQ1274" s="143"/>
      <c r="AR1274" s="143"/>
    </row>
    <row r="1275" spans="2:44" ht="26.4" x14ac:dyDescent="0.25">
      <c r="B1275" s="352" t="s">
        <v>1939</v>
      </c>
      <c r="C1275" s="49">
        <v>5</v>
      </c>
      <c r="D1275" s="166" t="s">
        <v>1937</v>
      </c>
      <c r="E1275" s="65"/>
      <c r="F1275" s="22"/>
      <c r="G1275" s="33" t="s">
        <v>1910</v>
      </c>
      <c r="H1275" s="22"/>
      <c r="K1275" s="25"/>
      <c r="L1275" s="25"/>
      <c r="N1275" s="22"/>
      <c r="P1275" s="273"/>
      <c r="Q1275" s="273"/>
      <c r="S1275" s="35">
        <v>138.09</v>
      </c>
      <c r="T1275" s="35"/>
      <c r="U1275" s="273">
        <f t="shared" si="71"/>
        <v>-138.09</v>
      </c>
      <c r="V1275" s="22" t="s">
        <v>1474</v>
      </c>
      <c r="W1275" s="22" t="s">
        <v>1475</v>
      </c>
      <c r="Z1275" s="29">
        <v>43517</v>
      </c>
      <c r="AB1275" s="29">
        <v>43525</v>
      </c>
      <c r="AC1275" s="29"/>
      <c r="AH1275" s="143"/>
      <c r="AI1275" s="21"/>
      <c r="AJ1275" s="143"/>
      <c r="AK1275" s="143"/>
      <c r="AL1275" s="143"/>
      <c r="AM1275" s="143"/>
      <c r="AN1275" s="143"/>
      <c r="AO1275" s="143"/>
      <c r="AP1275" s="143"/>
      <c r="AQ1275" s="143"/>
      <c r="AR1275" s="143"/>
    </row>
    <row r="1276" spans="2:44" ht="26.4" x14ac:dyDescent="0.25">
      <c r="B1276" s="352" t="s">
        <v>1939</v>
      </c>
      <c r="C1276" s="49">
        <v>5</v>
      </c>
      <c r="D1276" s="166" t="s">
        <v>1937</v>
      </c>
      <c r="E1276" s="65"/>
      <c r="F1276" s="22"/>
      <c r="G1276" s="33" t="s">
        <v>1911</v>
      </c>
      <c r="H1276" s="22"/>
      <c r="K1276" s="25"/>
      <c r="L1276" s="25"/>
      <c r="N1276" s="22"/>
      <c r="P1276" s="273"/>
      <c r="Q1276" s="273"/>
      <c r="S1276" s="35">
        <v>603.95000000000005</v>
      </c>
      <c r="T1276" s="35"/>
      <c r="U1276" s="273">
        <f t="shared" si="71"/>
        <v>-603.95000000000005</v>
      </c>
      <c r="V1276" s="22" t="s">
        <v>1453</v>
      </c>
      <c r="W1276" s="22" t="s">
        <v>1454</v>
      </c>
      <c r="Z1276" s="29">
        <v>43514</v>
      </c>
      <c r="AB1276" s="29">
        <v>43539</v>
      </c>
      <c r="AC1276" s="29"/>
      <c r="AH1276" s="143"/>
      <c r="AI1276" s="21"/>
      <c r="AJ1276" s="143"/>
      <c r="AK1276" s="143"/>
      <c r="AL1276" s="143"/>
      <c r="AM1276" s="143"/>
      <c r="AN1276" s="143"/>
      <c r="AO1276" s="143"/>
      <c r="AP1276" s="143"/>
      <c r="AQ1276" s="143"/>
      <c r="AR1276" s="143"/>
    </row>
    <row r="1277" spans="2:44" ht="26.4" x14ac:dyDescent="0.25">
      <c r="B1277" s="352" t="s">
        <v>1939</v>
      </c>
      <c r="C1277" s="49">
        <v>5</v>
      </c>
      <c r="D1277" s="166" t="s">
        <v>1937</v>
      </c>
      <c r="E1277" s="65"/>
      <c r="F1277" s="22"/>
      <c r="G1277" s="33" t="s">
        <v>1912</v>
      </c>
      <c r="H1277" s="22"/>
      <c r="K1277" s="25"/>
      <c r="L1277" s="25"/>
      <c r="N1277" s="22"/>
      <c r="P1277" s="273"/>
      <c r="Q1277" s="273"/>
      <c r="S1277" s="35">
        <v>680</v>
      </c>
      <c r="T1277" s="35"/>
      <c r="U1277" s="273">
        <f t="shared" si="71"/>
        <v>-680</v>
      </c>
      <c r="V1277" s="22" t="s">
        <v>1551</v>
      </c>
      <c r="W1277" s="22" t="s">
        <v>1913</v>
      </c>
      <c r="Z1277" s="29">
        <v>43530</v>
      </c>
      <c r="AB1277" s="29">
        <v>43532</v>
      </c>
      <c r="AC1277" s="29"/>
      <c r="AH1277" s="143"/>
      <c r="AI1277" s="21"/>
      <c r="AJ1277" s="143"/>
      <c r="AK1277" s="143"/>
      <c r="AL1277" s="143"/>
      <c r="AM1277" s="143"/>
      <c r="AN1277" s="143"/>
      <c r="AO1277" s="143"/>
      <c r="AP1277" s="143"/>
      <c r="AQ1277" s="143"/>
      <c r="AR1277" s="143"/>
    </row>
    <row r="1278" spans="2:44" ht="26.4" x14ac:dyDescent="0.25">
      <c r="B1278" s="352" t="s">
        <v>1939</v>
      </c>
      <c r="C1278" s="49">
        <v>5</v>
      </c>
      <c r="D1278" s="166" t="s">
        <v>1937</v>
      </c>
      <c r="E1278" s="65"/>
      <c r="F1278" s="22"/>
      <c r="G1278" s="33" t="s">
        <v>1914</v>
      </c>
      <c r="H1278" s="22"/>
      <c r="K1278" s="25"/>
      <c r="L1278" s="25"/>
      <c r="N1278" s="22"/>
      <c r="P1278" s="273"/>
      <c r="Q1278" s="273"/>
      <c r="S1278" s="35">
        <v>298.23</v>
      </c>
      <c r="T1278" s="35"/>
      <c r="U1278" s="273">
        <f t="shared" si="71"/>
        <v>-298.23</v>
      </c>
      <c r="V1278" s="22" t="s">
        <v>1537</v>
      </c>
      <c r="W1278" s="22" t="s">
        <v>1538</v>
      </c>
      <c r="Z1278" s="29">
        <v>43528</v>
      </c>
      <c r="AB1278" s="29">
        <v>43532</v>
      </c>
      <c r="AC1278" s="29"/>
      <c r="AH1278" s="143"/>
      <c r="AI1278" s="21"/>
      <c r="AJ1278" s="143"/>
      <c r="AK1278" s="143"/>
      <c r="AL1278" s="143"/>
      <c r="AM1278" s="143"/>
      <c r="AN1278" s="143"/>
      <c r="AO1278" s="143"/>
      <c r="AP1278" s="143"/>
      <c r="AQ1278" s="143"/>
      <c r="AR1278" s="143"/>
    </row>
    <row r="1279" spans="2:44" ht="26.4" x14ac:dyDescent="0.25">
      <c r="B1279" s="352" t="s">
        <v>1939</v>
      </c>
      <c r="C1279" s="49">
        <v>5</v>
      </c>
      <c r="D1279" s="166" t="s">
        <v>1937</v>
      </c>
      <c r="E1279" s="65"/>
      <c r="F1279" s="22"/>
      <c r="G1279" s="33" t="s">
        <v>1915</v>
      </c>
      <c r="H1279" s="22"/>
      <c r="K1279" s="25"/>
      <c r="L1279" s="25"/>
      <c r="N1279" s="22"/>
      <c r="P1279" s="273"/>
      <c r="Q1279" s="273"/>
      <c r="S1279" s="35">
        <v>280.39999999999998</v>
      </c>
      <c r="T1279" s="35"/>
      <c r="U1279" s="273">
        <f t="shared" si="71"/>
        <v>-280.39999999999998</v>
      </c>
      <c r="V1279" s="22" t="s">
        <v>1541</v>
      </c>
      <c r="W1279" s="22" t="s">
        <v>1542</v>
      </c>
      <c r="Z1279" s="29">
        <v>43528</v>
      </c>
      <c r="AB1279" s="29">
        <v>43532</v>
      </c>
      <c r="AC1279" s="29"/>
      <c r="AH1279" s="143"/>
      <c r="AI1279" s="21"/>
      <c r="AJ1279" s="143"/>
      <c r="AK1279" s="143"/>
      <c r="AL1279" s="143"/>
      <c r="AM1279" s="143"/>
      <c r="AN1279" s="143"/>
      <c r="AO1279" s="143"/>
      <c r="AP1279" s="143"/>
      <c r="AQ1279" s="143"/>
      <c r="AR1279" s="143"/>
    </row>
    <row r="1280" spans="2:44" ht="26.4" x14ac:dyDescent="0.25">
      <c r="B1280" s="352" t="s">
        <v>1939</v>
      </c>
      <c r="C1280" s="49">
        <v>5</v>
      </c>
      <c r="D1280" s="166" t="s">
        <v>1937</v>
      </c>
      <c r="E1280" s="65"/>
      <c r="F1280" s="22"/>
      <c r="G1280" s="33" t="s">
        <v>1916</v>
      </c>
      <c r="H1280" s="22"/>
      <c r="K1280" s="25"/>
      <c r="L1280" s="25"/>
      <c r="N1280" s="22"/>
      <c r="P1280" s="273"/>
      <c r="Q1280" s="273"/>
      <c r="S1280" s="35">
        <v>9.82</v>
      </c>
      <c r="T1280" s="35"/>
      <c r="U1280" s="273">
        <f t="shared" si="71"/>
        <v>-9.82</v>
      </c>
      <c r="V1280" s="22" t="s">
        <v>1524</v>
      </c>
      <c r="W1280" s="22" t="s">
        <v>1525</v>
      </c>
      <c r="Z1280" s="29">
        <v>43528</v>
      </c>
      <c r="AB1280" s="29">
        <v>43532</v>
      </c>
      <c r="AC1280" s="29"/>
      <c r="AH1280" s="143"/>
      <c r="AI1280" s="21"/>
      <c r="AJ1280" s="143"/>
      <c r="AK1280" s="143"/>
      <c r="AL1280" s="143"/>
      <c r="AM1280" s="143"/>
      <c r="AN1280" s="143"/>
      <c r="AO1280" s="143"/>
      <c r="AP1280" s="143"/>
      <c r="AQ1280" s="143"/>
      <c r="AR1280" s="143"/>
    </row>
    <row r="1281" spans="2:44" ht="26.4" x14ac:dyDescent="0.25">
      <c r="B1281" s="352" t="s">
        <v>1939</v>
      </c>
      <c r="C1281" s="49">
        <v>5</v>
      </c>
      <c r="D1281" s="166" t="s">
        <v>1937</v>
      </c>
      <c r="E1281" s="65"/>
      <c r="F1281" s="22"/>
      <c r="G1281" s="33" t="s">
        <v>1917</v>
      </c>
      <c r="H1281" s="22"/>
      <c r="K1281" s="25"/>
      <c r="L1281" s="25"/>
      <c r="N1281" s="22"/>
      <c r="P1281" s="273"/>
      <c r="Q1281" s="273"/>
      <c r="S1281" s="35">
        <v>2069.84</v>
      </c>
      <c r="T1281" s="35"/>
      <c r="U1281" s="273">
        <f t="shared" si="71"/>
        <v>-2069.84</v>
      </c>
      <c r="V1281" s="22" t="s">
        <v>1533</v>
      </c>
      <c r="W1281" s="22" t="s">
        <v>1534</v>
      </c>
      <c r="Z1281" s="29">
        <v>43536</v>
      </c>
      <c r="AB1281" s="29">
        <v>43560</v>
      </c>
      <c r="AC1281" s="29"/>
      <c r="AH1281" s="143"/>
      <c r="AI1281" s="21"/>
      <c r="AJ1281" s="143"/>
      <c r="AK1281" s="143"/>
      <c r="AL1281" s="143"/>
      <c r="AM1281" s="143"/>
      <c r="AN1281" s="143"/>
      <c r="AO1281" s="143"/>
      <c r="AP1281" s="143"/>
      <c r="AQ1281" s="143"/>
      <c r="AR1281" s="143"/>
    </row>
    <row r="1282" spans="2:44" ht="26.4" x14ac:dyDescent="0.25">
      <c r="B1282" s="352" t="s">
        <v>1939</v>
      </c>
      <c r="C1282" s="49">
        <v>5</v>
      </c>
      <c r="D1282" s="166" t="s">
        <v>1937</v>
      </c>
      <c r="E1282" s="65"/>
      <c r="F1282" s="22"/>
      <c r="G1282" s="33" t="s">
        <v>1918</v>
      </c>
      <c r="H1282" s="22"/>
      <c r="K1282" s="25"/>
      <c r="L1282" s="25"/>
      <c r="N1282" s="22"/>
      <c r="P1282" s="273"/>
      <c r="Q1282" s="273"/>
      <c r="S1282" s="35">
        <v>517.04</v>
      </c>
      <c r="T1282" s="35"/>
      <c r="U1282" s="273">
        <f t="shared" si="71"/>
        <v>-517.04</v>
      </c>
      <c r="V1282" s="22" t="s">
        <v>1520</v>
      </c>
      <c r="W1282" s="22" t="s">
        <v>1521</v>
      </c>
      <c r="Z1282" s="29">
        <v>43532</v>
      </c>
      <c r="AB1282" s="29">
        <v>43532</v>
      </c>
      <c r="AC1282" s="29"/>
      <c r="AH1282" s="143"/>
      <c r="AI1282" s="21"/>
      <c r="AJ1282" s="143"/>
      <c r="AK1282" s="143"/>
      <c r="AL1282" s="143"/>
      <c r="AM1282" s="143"/>
      <c r="AN1282" s="143"/>
      <c r="AO1282" s="143"/>
      <c r="AP1282" s="143"/>
      <c r="AQ1282" s="143"/>
      <c r="AR1282" s="143"/>
    </row>
    <row r="1283" spans="2:44" ht="26.4" x14ac:dyDescent="0.25">
      <c r="B1283" s="352" t="s">
        <v>1939</v>
      </c>
      <c r="C1283" s="49">
        <v>5</v>
      </c>
      <c r="D1283" s="166" t="s">
        <v>1937</v>
      </c>
      <c r="E1283" s="65"/>
      <c r="F1283" s="22"/>
      <c r="G1283" s="33" t="s">
        <v>1919</v>
      </c>
      <c r="H1283" s="22"/>
      <c r="K1283" s="25"/>
      <c r="L1283" s="25"/>
      <c r="N1283" s="22"/>
      <c r="P1283" s="273"/>
      <c r="Q1283" s="273"/>
      <c r="S1283" s="35">
        <v>884</v>
      </c>
      <c r="T1283" s="35"/>
      <c r="U1283" s="273">
        <f t="shared" si="71"/>
        <v>-884</v>
      </c>
      <c r="V1283" s="22" t="s">
        <v>1528</v>
      </c>
      <c r="W1283" s="22" t="s">
        <v>1529</v>
      </c>
      <c r="Z1283" s="29">
        <v>43532</v>
      </c>
      <c r="AB1283" s="29">
        <v>43539</v>
      </c>
      <c r="AC1283" s="29"/>
      <c r="AH1283" s="143"/>
      <c r="AI1283" s="21"/>
      <c r="AJ1283" s="143"/>
      <c r="AK1283" s="143"/>
      <c r="AL1283" s="143"/>
      <c r="AM1283" s="143"/>
      <c r="AN1283" s="143"/>
      <c r="AO1283" s="143"/>
      <c r="AP1283" s="143"/>
      <c r="AQ1283" s="143"/>
      <c r="AR1283" s="143"/>
    </row>
    <row r="1284" spans="2:44" ht="26.4" x14ac:dyDescent="0.25">
      <c r="B1284" s="352" t="s">
        <v>1939</v>
      </c>
      <c r="C1284" s="49">
        <v>5</v>
      </c>
      <c r="D1284" s="166" t="s">
        <v>1937</v>
      </c>
      <c r="E1284" s="65"/>
      <c r="F1284" s="22"/>
      <c r="G1284" s="33" t="s">
        <v>1920</v>
      </c>
      <c r="H1284" s="22"/>
      <c r="K1284" s="25"/>
      <c r="L1284" s="25"/>
      <c r="N1284" s="22"/>
      <c r="P1284" s="273"/>
      <c r="Q1284" s="273"/>
      <c r="S1284" s="35">
        <v>115.2</v>
      </c>
      <c r="T1284" s="35"/>
      <c r="U1284" s="273">
        <f t="shared" si="71"/>
        <v>-115.2</v>
      </c>
      <c r="V1284" s="22" t="s">
        <v>1516</v>
      </c>
      <c r="W1284" s="22" t="s">
        <v>1921</v>
      </c>
      <c r="Z1284" s="29">
        <v>43558</v>
      </c>
      <c r="AB1284" s="29">
        <v>43558</v>
      </c>
      <c r="AC1284" s="29"/>
      <c r="AH1284" s="143"/>
      <c r="AI1284" s="21"/>
      <c r="AJ1284" s="143"/>
      <c r="AK1284" s="143"/>
      <c r="AL1284" s="143"/>
      <c r="AM1284" s="143"/>
      <c r="AN1284" s="143"/>
      <c r="AO1284" s="143"/>
      <c r="AP1284" s="143"/>
      <c r="AQ1284" s="143"/>
      <c r="AR1284" s="143"/>
    </row>
    <row r="1285" spans="2:44" ht="26.4" x14ac:dyDescent="0.25">
      <c r="B1285" s="352" t="s">
        <v>1939</v>
      </c>
      <c r="C1285" s="49">
        <v>5</v>
      </c>
      <c r="D1285" s="166" t="s">
        <v>1937</v>
      </c>
      <c r="E1285" s="65"/>
      <c r="F1285" s="22"/>
      <c r="G1285" s="33" t="s">
        <v>1922</v>
      </c>
      <c r="H1285" s="22"/>
      <c r="K1285" s="25"/>
      <c r="L1285" s="25"/>
      <c r="N1285" s="22"/>
      <c r="P1285" s="273"/>
      <c r="Q1285" s="273"/>
      <c r="S1285" s="35">
        <v>168</v>
      </c>
      <c r="T1285" s="35"/>
      <c r="U1285" s="273">
        <f t="shared" si="71"/>
        <v>-168</v>
      </c>
      <c r="V1285" s="22" t="s">
        <v>1924</v>
      </c>
      <c r="W1285" s="22" t="s">
        <v>1923</v>
      </c>
      <c r="Z1285" s="29">
        <v>43578</v>
      </c>
      <c r="AB1285" s="29">
        <v>43581</v>
      </c>
      <c r="AC1285" s="29"/>
      <c r="AH1285" s="143"/>
      <c r="AI1285" s="21"/>
      <c r="AJ1285" s="143"/>
      <c r="AK1285" s="143"/>
      <c r="AL1285" s="143"/>
      <c r="AM1285" s="143"/>
      <c r="AN1285" s="143"/>
      <c r="AO1285" s="143"/>
      <c r="AP1285" s="143"/>
      <c r="AQ1285" s="143"/>
      <c r="AR1285" s="143"/>
    </row>
    <row r="1286" spans="2:44" ht="26.4" x14ac:dyDescent="0.25">
      <c r="B1286" s="352" t="s">
        <v>1939</v>
      </c>
      <c r="C1286" s="49">
        <v>5</v>
      </c>
      <c r="D1286" s="166" t="s">
        <v>1937</v>
      </c>
      <c r="E1286" s="65"/>
      <c r="F1286" s="22"/>
      <c r="G1286" s="33" t="s">
        <v>1925</v>
      </c>
      <c r="H1286" s="22"/>
      <c r="K1286" s="25"/>
      <c r="L1286" s="25"/>
      <c r="N1286" s="22"/>
      <c r="P1286" s="273"/>
      <c r="Q1286" s="273"/>
      <c r="S1286" s="35">
        <v>1877.65</v>
      </c>
      <c r="T1286" s="35"/>
      <c r="U1286" s="273">
        <f t="shared" si="71"/>
        <v>-1877.65</v>
      </c>
      <c r="V1286" s="22" t="s">
        <v>1927</v>
      </c>
      <c r="W1286" s="22" t="s">
        <v>1926</v>
      </c>
      <c r="Z1286" s="29">
        <v>43578</v>
      </c>
      <c r="AB1286" s="29">
        <v>43581</v>
      </c>
      <c r="AC1286" s="29"/>
      <c r="AH1286" s="143"/>
      <c r="AI1286" s="21"/>
      <c r="AJ1286" s="143"/>
      <c r="AK1286" s="143"/>
      <c r="AL1286" s="143"/>
      <c r="AM1286" s="143"/>
      <c r="AN1286" s="143"/>
      <c r="AO1286" s="143"/>
      <c r="AP1286" s="143"/>
      <c r="AQ1286" s="143"/>
      <c r="AR1286" s="143"/>
    </row>
    <row r="1287" spans="2:44" ht="26.4" x14ac:dyDescent="0.25">
      <c r="B1287" s="352" t="s">
        <v>1939</v>
      </c>
      <c r="C1287" s="49">
        <v>5</v>
      </c>
      <c r="D1287" s="166" t="s">
        <v>1937</v>
      </c>
      <c r="E1287" s="65"/>
      <c r="F1287" s="22"/>
      <c r="G1287" s="33" t="s">
        <v>1928</v>
      </c>
      <c r="H1287" s="22"/>
      <c r="K1287" s="25"/>
      <c r="L1287" s="25"/>
      <c r="N1287" s="22"/>
      <c r="P1287" s="273"/>
      <c r="Q1287" s="273"/>
      <c r="S1287" s="35">
        <v>590</v>
      </c>
      <c r="T1287" s="35"/>
      <c r="U1287" s="273">
        <f t="shared" si="71"/>
        <v>-590</v>
      </c>
      <c r="V1287" s="22" t="s">
        <v>1929</v>
      </c>
      <c r="W1287" s="22"/>
      <c r="Z1287" s="29"/>
      <c r="AB1287" s="29"/>
      <c r="AC1287" s="29"/>
      <c r="AH1287" s="143"/>
      <c r="AI1287" s="21"/>
      <c r="AJ1287" s="143"/>
      <c r="AK1287" s="143"/>
      <c r="AL1287" s="143"/>
      <c r="AM1287" s="143"/>
      <c r="AN1287" s="143"/>
      <c r="AO1287" s="143"/>
      <c r="AP1287" s="143"/>
      <c r="AQ1287" s="143"/>
      <c r="AR1287" s="143"/>
    </row>
    <row r="1288" spans="2:44" ht="26.4" x14ac:dyDescent="0.25">
      <c r="B1288" s="352" t="s">
        <v>1939</v>
      </c>
      <c r="C1288" s="49">
        <v>5</v>
      </c>
      <c r="D1288" s="166" t="s">
        <v>1937</v>
      </c>
      <c r="E1288" s="65"/>
      <c r="F1288" s="22"/>
      <c r="G1288" s="33" t="s">
        <v>1930</v>
      </c>
      <c r="H1288" s="22"/>
      <c r="K1288" s="25"/>
      <c r="L1288" s="25"/>
      <c r="N1288" s="22"/>
      <c r="P1288" s="273"/>
      <c r="Q1288" s="273"/>
      <c r="S1288" s="35">
        <v>132.66</v>
      </c>
      <c r="T1288" s="35"/>
      <c r="U1288" s="273">
        <f t="shared" si="71"/>
        <v>-132.66</v>
      </c>
      <c r="V1288" s="22" t="s">
        <v>1931</v>
      </c>
      <c r="W1288" s="22"/>
      <c r="Z1288" s="29"/>
      <c r="AB1288" s="29"/>
      <c r="AC1288" s="29"/>
      <c r="AH1288" s="143"/>
      <c r="AI1288" s="21"/>
      <c r="AJ1288" s="143"/>
      <c r="AK1288" s="143"/>
      <c r="AL1288" s="143"/>
      <c r="AM1288" s="143"/>
      <c r="AN1288" s="143"/>
      <c r="AO1288" s="143"/>
      <c r="AP1288" s="143"/>
      <c r="AQ1288" s="143"/>
      <c r="AR1288" s="143"/>
    </row>
    <row r="1289" spans="2:44" ht="26.4" x14ac:dyDescent="0.25">
      <c r="B1289" s="352" t="s">
        <v>1939</v>
      </c>
      <c r="C1289" s="49">
        <v>5</v>
      </c>
      <c r="D1289" s="166" t="s">
        <v>1937</v>
      </c>
      <c r="E1289" s="65"/>
      <c r="F1289" s="22"/>
      <c r="G1289" s="33" t="s">
        <v>1932</v>
      </c>
      <c r="H1289" s="22"/>
      <c r="K1289" s="25"/>
      <c r="L1289" s="25"/>
      <c r="N1289" s="22"/>
      <c r="P1289" s="273"/>
      <c r="Q1289" s="273"/>
      <c r="S1289" s="35">
        <v>54</v>
      </c>
      <c r="T1289" s="35"/>
      <c r="U1289" s="273">
        <f t="shared" si="71"/>
        <v>-54</v>
      </c>
      <c r="V1289" s="22" t="s">
        <v>1933</v>
      </c>
      <c r="W1289" s="598"/>
      <c r="Z1289" s="29"/>
      <c r="AB1289" s="29"/>
      <c r="AC1289" s="29"/>
      <c r="AH1289" s="143"/>
      <c r="AI1289" s="21"/>
      <c r="AJ1289" s="143"/>
      <c r="AK1289" s="143"/>
      <c r="AL1289" s="143"/>
      <c r="AM1289" s="143"/>
      <c r="AN1289" s="143"/>
      <c r="AO1289" s="143"/>
      <c r="AP1289" s="143"/>
      <c r="AQ1289" s="143"/>
      <c r="AR1289" s="143"/>
    </row>
    <row r="1290" spans="2:44" ht="26.4" x14ac:dyDescent="0.25">
      <c r="B1290" s="352" t="s">
        <v>1939</v>
      </c>
      <c r="C1290" s="49">
        <v>5</v>
      </c>
      <c r="D1290" s="166" t="s">
        <v>1937</v>
      </c>
      <c r="E1290" s="65"/>
      <c r="F1290" s="22"/>
      <c r="G1290" s="33" t="s">
        <v>1934</v>
      </c>
      <c r="H1290" s="22"/>
      <c r="K1290" s="25"/>
      <c r="L1290" s="25"/>
      <c r="N1290" s="22"/>
      <c r="P1290" s="273"/>
      <c r="Q1290" s="273"/>
      <c r="S1290" s="35">
        <v>4500</v>
      </c>
      <c r="T1290" s="35"/>
      <c r="U1290" s="273">
        <f t="shared" si="71"/>
        <v>-4500</v>
      </c>
      <c r="V1290" s="22" t="s">
        <v>1935</v>
      </c>
      <c r="W1290" s="22" t="s">
        <v>1948</v>
      </c>
      <c r="Z1290" s="29"/>
      <c r="AB1290" s="29"/>
      <c r="AC1290" s="29"/>
      <c r="AH1290" s="143"/>
      <c r="AI1290" s="21"/>
      <c r="AJ1290" s="143"/>
      <c r="AK1290" s="143"/>
      <c r="AL1290" s="143"/>
      <c r="AM1290" s="143"/>
      <c r="AN1290" s="143"/>
      <c r="AO1290" s="143"/>
      <c r="AP1290" s="143"/>
      <c r="AQ1290" s="143"/>
      <c r="AR1290" s="143"/>
    </row>
    <row r="1291" spans="2:44" ht="26.4" x14ac:dyDescent="0.25">
      <c r="B1291" s="352" t="s">
        <v>1939</v>
      </c>
      <c r="C1291" s="49">
        <v>5</v>
      </c>
      <c r="D1291" s="166" t="s">
        <v>1940</v>
      </c>
      <c r="E1291" s="65"/>
      <c r="F1291" s="22"/>
      <c r="G1291" s="33" t="s">
        <v>1944</v>
      </c>
      <c r="H1291" s="22"/>
      <c r="K1291" s="25"/>
      <c r="L1291" s="25"/>
      <c r="N1291" s="22"/>
      <c r="P1291" s="273"/>
      <c r="Q1291" s="273"/>
      <c r="S1291" s="35"/>
      <c r="T1291" s="35"/>
      <c r="U1291" s="273"/>
      <c r="V1291" s="22" t="s">
        <v>1943</v>
      </c>
      <c r="W1291" s="22" t="s">
        <v>1947</v>
      </c>
      <c r="Z1291" s="29"/>
      <c r="AB1291" s="29"/>
      <c r="AC1291" s="29"/>
      <c r="AH1291" s="143"/>
      <c r="AI1291" s="21"/>
      <c r="AJ1291" s="143"/>
      <c r="AK1291" s="143"/>
      <c r="AL1291" s="143"/>
      <c r="AM1291" s="143"/>
      <c r="AN1291" s="143"/>
      <c r="AO1291" s="143"/>
      <c r="AP1291" s="143"/>
      <c r="AQ1291" s="143"/>
      <c r="AR1291" s="143"/>
    </row>
    <row r="1292" spans="2:44" ht="26.4" x14ac:dyDescent="0.25">
      <c r="B1292" s="352" t="s">
        <v>1939</v>
      </c>
      <c r="C1292" s="166">
        <v>5</v>
      </c>
      <c r="D1292" s="166" t="s">
        <v>1940</v>
      </c>
      <c r="E1292" s="65"/>
      <c r="F1292" s="22"/>
      <c r="G1292" s="33" t="s">
        <v>1941</v>
      </c>
      <c r="H1292" s="22"/>
      <c r="K1292" s="25"/>
      <c r="L1292" s="25"/>
      <c r="N1292" s="22"/>
      <c r="P1292" s="273"/>
      <c r="Q1292" s="273"/>
      <c r="S1292" s="35"/>
      <c r="T1292" s="35"/>
      <c r="U1292" s="273"/>
      <c r="V1292" s="22" t="s">
        <v>1942</v>
      </c>
      <c r="W1292" s="598"/>
      <c r="Z1292" s="29"/>
      <c r="AB1292" s="29"/>
      <c r="AC1292" s="29"/>
      <c r="AH1292" s="143"/>
      <c r="AI1292" s="21"/>
      <c r="AJ1292" s="143"/>
      <c r="AK1292" s="143"/>
      <c r="AL1292" s="143"/>
      <c r="AM1292" s="143"/>
      <c r="AN1292" s="143"/>
      <c r="AO1292" s="143"/>
      <c r="AP1292" s="143"/>
      <c r="AQ1292" s="143"/>
      <c r="AR1292" s="143"/>
    </row>
    <row r="1293" spans="2:44" x14ac:dyDescent="0.25">
      <c r="G1293" s="600"/>
      <c r="S1293" s="601">
        <f>SUBTOTAL(9,S2:S1292)</f>
        <v>3410380.3199999994</v>
      </c>
      <c r="T1293" s="601"/>
      <c r="U1293" s="599"/>
      <c r="V1293" s="600"/>
      <c r="W1293" s="600"/>
      <c r="AH1293" s="461"/>
      <c r="AI1293" s="21"/>
    </row>
    <row r="1294" spans="2:44" x14ac:dyDescent="0.25">
      <c r="AI1294" s="21"/>
    </row>
    <row r="1295" spans="2:44" ht="26.4" x14ac:dyDescent="0.25">
      <c r="P1295" s="211" t="s">
        <v>1617</v>
      </c>
      <c r="Q1295" s="439" t="s">
        <v>1618</v>
      </c>
      <c r="S1295" s="211">
        <f>Q4+Q62+Q63+Q64+Q65+Q66+Q67+Q68+Q69+Q70+Q71+Q72+Q73+Q74+Q75+Q76+Q77+Q78+Q79+Q80+Q81+Q82+Q83+Q84+Q85+Q86+Q87+Q88+Q89+Q94</f>
        <v>1354399.2519999999</v>
      </c>
      <c r="AI1295" s="21"/>
      <c r="AJ1295" s="21"/>
    </row>
    <row r="1296" spans="2:44" ht="26.4" x14ac:dyDescent="0.25">
      <c r="P1296" s="211" t="s">
        <v>1617</v>
      </c>
      <c r="Q1296" s="439" t="s">
        <v>1619</v>
      </c>
      <c r="S1296" s="211">
        <f>Q61+Q60+Q59+Q58+Q57+Q56+Q55+Q54+Q53+Q52+Q51+Q50+Q49+Q48+Q47+Q46+Q45+Q44+Q43+Q42+Q41+Q40+Q39+Q38+Q37+Q36+Q35+Q34+Q33+Q32+Q31+Q30+Q29+Q28+Q27+Q26+Q25+Q24+Q23+Q22+Q21+Q20+Q19+Q18+Q17+Q16+Q15+Q14+Q13+Q12+Q11+Q10+Q9+Q8+Q7+Q6+Q5+Q3</f>
        <v>415868.73</v>
      </c>
      <c r="AI1296" s="21"/>
      <c r="AJ1296" s="21"/>
    </row>
    <row r="1297" spans="16:44" ht="26.4" x14ac:dyDescent="0.25">
      <c r="P1297" s="211" t="s">
        <v>1617</v>
      </c>
      <c r="Q1297" s="439" t="s">
        <v>1620</v>
      </c>
      <c r="S1297" s="211">
        <f>Q2</f>
        <v>13170.050000000001</v>
      </c>
      <c r="W1297" s="96"/>
      <c r="AI1297" s="21"/>
      <c r="AJ1297" s="21"/>
    </row>
    <row r="1298" spans="16:44" hidden="1" x14ac:dyDescent="0.25">
      <c r="Q1298" s="439"/>
      <c r="W1298" s="96"/>
      <c r="AH1298" s="21"/>
      <c r="AI1298" s="21"/>
      <c r="AJ1298" s="21"/>
      <c r="AK1298" s="21"/>
      <c r="AL1298" s="21"/>
      <c r="AM1298" s="21"/>
      <c r="AN1298" s="21"/>
      <c r="AO1298" s="21"/>
      <c r="AP1298" s="21"/>
      <c r="AQ1298" s="21"/>
      <c r="AR1298" s="21"/>
    </row>
    <row r="1299" spans="16:44" hidden="1" x14ac:dyDescent="0.25">
      <c r="Q1299" s="439"/>
      <c r="W1299" s="96"/>
      <c r="AH1299" s="21"/>
      <c r="AI1299" s="21"/>
      <c r="AJ1299" s="21"/>
      <c r="AK1299" s="21"/>
      <c r="AL1299" s="21"/>
      <c r="AM1299" s="21"/>
      <c r="AN1299" s="21"/>
      <c r="AO1299" s="21"/>
      <c r="AP1299" s="21"/>
      <c r="AQ1299" s="21"/>
      <c r="AR1299" s="21"/>
    </row>
    <row r="1300" spans="16:44" ht="26.4" x14ac:dyDescent="0.25">
      <c r="P1300" s="211" t="s">
        <v>1617</v>
      </c>
      <c r="Q1300" s="439" t="s">
        <v>1621</v>
      </c>
      <c r="S1300" s="211">
        <f>Q90+Q91+Q92+Q93</f>
        <v>2232</v>
      </c>
      <c r="AI1300" s="21"/>
      <c r="AJ1300" s="21"/>
    </row>
    <row r="1301" spans="16:44" ht="26.4" x14ac:dyDescent="0.25">
      <c r="P1301" s="211" t="s">
        <v>1617</v>
      </c>
      <c r="Q1301" s="439" t="s">
        <v>1622</v>
      </c>
      <c r="S1301" s="211">
        <f>Q95+Q96+Q97+Q98+Q99+Q100+Q101+Q102+Q103+Q104+Q105+Q106+Q107+Q108+Q109+Q110+Q111+Q112+Q113+Q114+Q115+Q116+Q117+Q118+Q119+Q120+Q121</f>
        <v>225103.43000000002</v>
      </c>
      <c r="AI1301" s="21"/>
      <c r="AJ1301" s="21"/>
    </row>
    <row r="1302" spans="16:44" ht="26.4" x14ac:dyDescent="0.25">
      <c r="P1302" s="211" t="s">
        <v>1617</v>
      </c>
      <c r="Q1302" s="439" t="s">
        <v>1623</v>
      </c>
      <c r="S1302" s="211">
        <v>0</v>
      </c>
      <c r="V1302" s="211"/>
      <c r="W1302" s="96"/>
      <c r="AI1302" s="21"/>
    </row>
    <row r="1303" spans="16:44" ht="13.5" customHeight="1" x14ac:dyDescent="0.25">
      <c r="P1303" s="211" t="s">
        <v>1617</v>
      </c>
      <c r="Q1303" s="439" t="s">
        <v>1624</v>
      </c>
      <c r="S1303" s="211">
        <f>Q122+Q123+Q124+Q125+Q126+Q127+Q128+Q129+Q130+Q131+Q132+Q133+Q134+Q135+Q136+Q137+Q138+Q139+Q140+Q141+Q142+Q143+Q144+Q145+Q146+Q147+Q148+Q149+Q155+Q156</f>
        <v>814122.87599999993</v>
      </c>
      <c r="W1303" s="464"/>
      <c r="AI1303" s="21"/>
    </row>
    <row r="1304" spans="16:44" ht="26.4" x14ac:dyDescent="0.25">
      <c r="P1304" s="211" t="s">
        <v>1617</v>
      </c>
      <c r="Q1304" s="439" t="s">
        <v>1625</v>
      </c>
      <c r="S1304" s="211">
        <f>Q157+Q158+Q159+Q160+Q161+Q162+Q163+Q164+Q165+Q166+Q167+Q168+Q169+Q170+Q171+Q172+Q173+Q174+Q175+Q176+Q177</f>
        <v>92785.939999999988</v>
      </c>
      <c r="W1304" s="464"/>
      <c r="AI1304" s="21"/>
    </row>
    <row r="1305" spans="16:44" hidden="1" x14ac:dyDescent="0.25">
      <c r="Q1305" s="439"/>
      <c r="W1305" s="464"/>
      <c r="AH1305" s="21"/>
      <c r="AI1305" s="21"/>
      <c r="AJ1305" s="21"/>
      <c r="AK1305" s="21"/>
      <c r="AL1305" s="21"/>
      <c r="AM1305" s="21"/>
      <c r="AN1305" s="21"/>
      <c r="AO1305" s="21"/>
      <c r="AP1305" s="21"/>
      <c r="AQ1305" s="21"/>
      <c r="AR1305" s="21"/>
    </row>
    <row r="1306" spans="16:44" ht="11.4" hidden="1" customHeight="1" x14ac:dyDescent="0.25">
      <c r="Q1306" s="439"/>
      <c r="W1306" s="464"/>
      <c r="AH1306" s="21"/>
      <c r="AI1306" s="21"/>
      <c r="AJ1306" s="21"/>
      <c r="AK1306" s="21"/>
      <c r="AL1306" s="21"/>
      <c r="AM1306" s="21"/>
      <c r="AN1306" s="21"/>
      <c r="AO1306" s="21"/>
      <c r="AP1306" s="21"/>
      <c r="AQ1306" s="21"/>
      <c r="AR1306" s="21"/>
    </row>
    <row r="1307" spans="16:44" ht="25.5" customHeight="1" x14ac:dyDescent="0.25">
      <c r="P1307" s="211" t="s">
        <v>1617</v>
      </c>
      <c r="Q1307" s="439" t="s">
        <v>1626</v>
      </c>
      <c r="S1307" s="211">
        <f>Q292+Q291+Q290+Q289+Q288+Q287+Q286+Q285+Q284+Q283+Q282+Q281+Q280+Q279+Q278+Q277+Q276+Q275+Q274+Q273+Q272+Q271+Q270+Q269+Q268+Q267+Q266+Q265+Q264+Q263+Q262+Q261+Q260+Q259+Q258+Q257+Q256+Q255+Q254+Q253+Q252+Q251+Q250+Q249+Q248+Q247+Q246+Q245+Q244+Q243+Q242+Q241+Q240+Q239+Q238+Q237+Q236+Q235+Q234+Q233+Q232+Q231+Q230+Q229+Q228+Q227+Q226+Q225+Q224+Q223+Q222+Q221+Q220+Q219+Q218+Q217+Q216+Q215+Q214+Q213+Q212+Q211+Q210+Q209+Q208+Q207+Q206+Q205+Q204+Q203+Q202+Q201+Q200+Q199+Q198+Q197+Q196+Q195+Q194+Q193+Q192+Q191+Q190+Q189+Q188+Q187+Q186+Q185+Q184+Q183+Q182+Q181+Q180+Q178+Q179</f>
        <v>1077415.9609999997</v>
      </c>
      <c r="V1307" s="211"/>
      <c r="W1307" s="464"/>
      <c r="AI1307" s="21"/>
    </row>
    <row r="1308" spans="16:44" ht="26.4" x14ac:dyDescent="0.25">
      <c r="P1308" s="211" t="s">
        <v>1617</v>
      </c>
      <c r="Q1308" s="211" t="s">
        <v>1627</v>
      </c>
      <c r="S1308" s="211">
        <f>Q309+Q308+Q307+Q306+Q305+Q304+Q303+Q302+Q301+Q300+Q299+Q298+Q297+Q296+Q295+Q294+Q293</f>
        <v>105623.27</v>
      </c>
      <c r="W1308" s="464"/>
      <c r="AI1308" s="21"/>
    </row>
    <row r="1309" spans="16:44" ht="15.75" customHeight="1" x14ac:dyDescent="0.25">
      <c r="P1309" s="211" t="s">
        <v>1617</v>
      </c>
      <c r="Q1309" s="211" t="s">
        <v>1628</v>
      </c>
      <c r="S1309" s="211">
        <f>Q311+Q312+Q313+Q314+Q315+Q316+Q317+Q318+Q319+Q320+Q321+Q322+Q323+Q324+Q325+Q326+Q327+Q328+Q329+Q330+Q331+Q332+Q333+Q334+Q335+Q336+Q337+Q338+Q339+Q340+Q341+Q342+Q343+Q344+Q345+Q346+Q347+Q451+Q452</f>
        <v>96343.179999999978</v>
      </c>
      <c r="W1309" s="464"/>
      <c r="AI1309" s="21"/>
    </row>
    <row r="1310" spans="16:44" ht="26.4" x14ac:dyDescent="0.25">
      <c r="P1310" s="211" t="s">
        <v>1617</v>
      </c>
      <c r="Q1310" s="211" t="s">
        <v>1629</v>
      </c>
      <c r="S1310" s="211">
        <f>Q348+Q349+Q350+Q351+Q352+Q353+Q354+Q355+Q356+Q357+Q358+Q359+Q360+Q361+Q362+Q363+Q364+Q365+Q366+Q367+Q368+Q369+Q370+Q371+Q372+Q373+Q374+Q375+Q376+Q377+Q378+Q379+Q380+Q381+Q382+Q383+Q384+Q385+Q386+Q387+Q388+Q389+Q390+Q391+Q392+Q393+Q394+Q395+Q396+Q397+Q398+Q399+Q400+Q401+Q402+Q403+Q404+Q405+Q406+Q407+Q408+Q453+Q409+Q410+Q411+Q412+Q413+Q414+Q415+Q416+Q417+Q418+Q419+Q420+Q421+Q422+Q423+Q424+Q425+Q426+Q427+Q428+Q429+Q430+Q431+Q432+Q433+Q434+Q435+Q436+Q437+Q438+Q439+Q440+Q441+Q442+Q443+Q444+Q445+Q446+Q447+Q448+Q449+Q450</f>
        <v>-24032.509999999944</v>
      </c>
      <c r="AI1310" s="21"/>
    </row>
    <row r="1311" spans="16:44" ht="26.4" x14ac:dyDescent="0.25">
      <c r="P1311" s="211" t="s">
        <v>1617</v>
      </c>
      <c r="Q1311" s="211" t="s">
        <v>1630</v>
      </c>
      <c r="S1311" s="211">
        <f>Q310</f>
        <v>2950</v>
      </c>
      <c r="AI1311" s="21"/>
    </row>
    <row r="1312" spans="16:44" ht="26.4" x14ac:dyDescent="0.25">
      <c r="P1312" s="211" t="s">
        <v>1617</v>
      </c>
      <c r="Q1312" s="211" t="s">
        <v>1631</v>
      </c>
      <c r="S1312" s="211">
        <v>0</v>
      </c>
      <c r="AI1312" s="21"/>
    </row>
    <row r="1313" spans="16:35" ht="26.4" x14ac:dyDescent="0.25">
      <c r="P1313" s="211" t="s">
        <v>1617</v>
      </c>
      <c r="Q1313" s="211" t="s">
        <v>1632</v>
      </c>
      <c r="S1313" s="211">
        <v>0</v>
      </c>
      <c r="AI1313" s="21"/>
    </row>
    <row r="1314" spans="16:35" ht="26.4" x14ac:dyDescent="0.25">
      <c r="P1314" s="211" t="s">
        <v>1617</v>
      </c>
      <c r="Q1314" s="211" t="s">
        <v>1633</v>
      </c>
      <c r="S1314" s="211">
        <f>Q474+Q475+Q476+Q478+Q479+Q482+Q483+Q484+Q485+Q486+Q487+Q488+Q489+Q490+Q491+Q492+Q493+Q494+Q495+Q499+Q500</f>
        <v>7642.4600000000009</v>
      </c>
      <c r="AI1314" s="21"/>
    </row>
    <row r="1315" spans="16:35" ht="26.4" x14ac:dyDescent="0.25">
      <c r="P1315" s="211" t="s">
        <v>1617</v>
      </c>
      <c r="Q1315" s="211" t="s">
        <v>1634</v>
      </c>
      <c r="S1315" s="211">
        <f>Q513+Q514+Q515+Q526+Q527+Q528+Q529+Q532+Q533+Q534</f>
        <v>56325.38</v>
      </c>
      <c r="AI1315" s="21"/>
    </row>
    <row r="1316" spans="16:35" ht="26.4" x14ac:dyDescent="0.25">
      <c r="P1316" s="211" t="s">
        <v>1617</v>
      </c>
      <c r="Q1316" s="211" t="s">
        <v>1635</v>
      </c>
      <c r="S1316" s="211">
        <f>Q551+Q552+Q553+Q554+Q556+Q559+Q560+Q561+Q562+Q563+Q564+Q565+Q566+Q568+Q569+Q570+Q571+Q572+Q573+Q574+Q575+Q576+Q577+Q578+Q579+Q580+Q581+Q582+Q583+Q584+Q592+Q593+Q594+Q595+Q596+Q597+Q598+Q599+Q600+Q601+Q602+Q605+Q606+Q607+Q608+Q609+Q610+Q611+Q612+Q613+Q614+Q615</f>
        <v>96062.3</v>
      </c>
      <c r="AI1316" s="21"/>
    </row>
    <row r="1317" spans="16:35" ht="26.4" x14ac:dyDescent="0.25">
      <c r="P1317" s="211" t="s">
        <v>1617</v>
      </c>
      <c r="Q1317" s="211" t="s">
        <v>1636</v>
      </c>
      <c r="AI1317" s="21"/>
    </row>
    <row r="1318" spans="16:35" ht="26.4" x14ac:dyDescent="0.25">
      <c r="P1318" s="211" t="s">
        <v>1617</v>
      </c>
      <c r="Q1318" s="211" t="s">
        <v>1637</v>
      </c>
      <c r="AI1318" s="21"/>
    </row>
    <row r="1319" spans="16:35" ht="26.4" x14ac:dyDescent="0.25">
      <c r="P1319" s="211" t="s">
        <v>1617</v>
      </c>
      <c r="Q1319" s="211" t="s">
        <v>1638</v>
      </c>
      <c r="AI1319" s="21"/>
    </row>
    <row r="1320" spans="16:35" ht="26.4" x14ac:dyDescent="0.25">
      <c r="P1320" s="211" t="s">
        <v>1617</v>
      </c>
      <c r="Q1320" s="211" t="s">
        <v>1639</v>
      </c>
      <c r="S1320" s="211">
        <f>Q456+Q458+Q459+Q460+Q461+Q462+Q463+Q464+Q466+Q467+Q469+Q501+Q502+Q503+Q504+Q507+Q508+Q509+Q510+Q511+Q655+Q512+Q656+Q657+Q658+Q659+Q660+Q661+Q662+Q663+Q664+Q665+Q666+Q667+Q668+Q669+Q670+Q671+Q672+Q673+Q674+Q675+Q676</f>
        <v>265250.48000000004</v>
      </c>
      <c r="AI1320" s="21"/>
    </row>
    <row r="1321" spans="16:35" ht="26.4" x14ac:dyDescent="0.25">
      <c r="P1321" s="211" t="s">
        <v>1617</v>
      </c>
      <c r="Q1321" s="211" t="s">
        <v>1640</v>
      </c>
      <c r="S1321" s="211">
        <v>0</v>
      </c>
      <c r="AI1321" s="21"/>
    </row>
    <row r="1322" spans="16:35" ht="26.4" x14ac:dyDescent="0.25">
      <c r="P1322" s="211" t="s">
        <v>1617</v>
      </c>
      <c r="Q1322" s="211" t="s">
        <v>1641</v>
      </c>
      <c r="S1322" s="211">
        <v>0</v>
      </c>
      <c r="AI1322" s="21"/>
    </row>
    <row r="1323" spans="16:35" ht="26.4" x14ac:dyDescent="0.25">
      <c r="P1323" s="211" t="s">
        <v>1617</v>
      </c>
      <c r="Q1323" s="211" t="s">
        <v>1642</v>
      </c>
      <c r="S1323" s="211">
        <f>Q454+Q455+Q457+Q465+Q468+Q470+Q471+Q472+Q473+Q505+Q506</f>
        <v>210930.45</v>
      </c>
      <c r="AI1323" s="21"/>
    </row>
    <row r="1324" spans="16:35" ht="26.4" x14ac:dyDescent="0.25">
      <c r="P1324" s="211" t="s">
        <v>1617</v>
      </c>
      <c r="Q1324" s="211" t="s">
        <v>1643</v>
      </c>
      <c r="S1324" s="211">
        <f>Q535+Q536+Q537+Q538+Q539+Q540+Q541+Q542+Q543+Q544+Q545+Q546+Q547+Q548+Q549+Q550</f>
        <v>75520.45</v>
      </c>
      <c r="AI1324" s="21"/>
    </row>
    <row r="1325" spans="16:35" ht="26.4" x14ac:dyDescent="0.25">
      <c r="P1325" s="211" t="s">
        <v>1617</v>
      </c>
      <c r="Q1325" s="211" t="s">
        <v>1644</v>
      </c>
      <c r="S1325" s="211">
        <f>Q555+Q557+Q558+Q585+Q586+Q587+Q588+Q589+Q590+Q591+Q603+Q604+Q653+Q654</f>
        <v>48069.64</v>
      </c>
      <c r="AI1325" s="21"/>
    </row>
    <row r="1326" spans="16:35" x14ac:dyDescent="0.25">
      <c r="AI1326" s="21"/>
    </row>
    <row r="1327" spans="16:35" x14ac:dyDescent="0.25">
      <c r="AI1327" s="21"/>
    </row>
    <row r="1328" spans="16:35" x14ac:dyDescent="0.25">
      <c r="AI1328" s="21"/>
    </row>
    <row r="1329" spans="16:35" x14ac:dyDescent="0.25">
      <c r="AI1329" s="21"/>
    </row>
    <row r="1330" spans="16:35" x14ac:dyDescent="0.25">
      <c r="AI1330" s="21"/>
    </row>
    <row r="1331" spans="16:35" x14ac:dyDescent="0.25">
      <c r="AI1331" s="21"/>
    </row>
    <row r="1332" spans="16:35" x14ac:dyDescent="0.25">
      <c r="AI1332" s="21"/>
    </row>
    <row r="1333" spans="16:35" ht="26.4" x14ac:dyDescent="0.25">
      <c r="P1333" s="211" t="s">
        <v>61</v>
      </c>
      <c r="Q1333" s="439" t="s">
        <v>1645</v>
      </c>
      <c r="S1333" s="211">
        <f>S4+S62+S63+S64+S65+S66+S67+S68+S69+S70+S71+S72+S73+S74+S75+S76+S77+S78+S79+S80+S81+S82+S83+S84+S85+S86+S87+S88+S89+S94+S454+S455+S457+S465+S468+S470+S471+S472+S473+S505+S506</f>
        <v>812170.25999999978</v>
      </c>
      <c r="AI1333" s="21"/>
    </row>
    <row r="1334" spans="16:35" ht="26.4" x14ac:dyDescent="0.25">
      <c r="P1334" s="211" t="s">
        <v>61</v>
      </c>
      <c r="Q1334" s="439" t="s">
        <v>1646</v>
      </c>
      <c r="S1334" s="211">
        <f>S3+S5+S6+S7+S8+S9+S10+S11+S12+S13+S14+S15+S16+S17+S18+S19+S20+S21+S22+S23+S24+S25+S26+S27+S28+S29+S30+S31+S32+S33+S34+S35+S36+S37+S38+S39+S40+S41+S42+S43+S44+S45+S46+S47+S48+S49+S50+S51+S52+S53+S54+S55+S56+S57+S58+S59+S60+S61+S535+S536+S537+S538+S539+S540+S541+S542+S543+S544+S545+S546+S547+S548+S549+S550</f>
        <v>332435.37000000011</v>
      </c>
      <c r="AI1334" s="21"/>
    </row>
    <row r="1335" spans="16:35" ht="26.4" x14ac:dyDescent="0.25">
      <c r="P1335" s="211" t="s">
        <v>61</v>
      </c>
      <c r="Q1335" s="439" t="s">
        <v>1647</v>
      </c>
      <c r="S1335" s="211">
        <f>S2</f>
        <v>0</v>
      </c>
      <c r="AI1335" s="21"/>
    </row>
    <row r="1336" spans="16:35" ht="26.4" x14ac:dyDescent="0.25">
      <c r="P1336" s="211" t="s">
        <v>61</v>
      </c>
      <c r="Q1336" s="439" t="s">
        <v>1648</v>
      </c>
      <c r="S1336" s="211">
        <f>S90+S91+S92+S93</f>
        <v>2212</v>
      </c>
      <c r="AI1336" s="21"/>
    </row>
    <row r="1337" spans="16:35" ht="26.4" x14ac:dyDescent="0.25">
      <c r="P1337" s="211" t="s">
        <v>61</v>
      </c>
      <c r="Q1337" s="439" t="s">
        <v>1649</v>
      </c>
      <c r="S1337" s="211">
        <f>S121+S120+S119+S118+S117+S116+S115+S114+S113+S112+S111+S110+S109+S108+S107+S106+S105+S104+S103+S102+S101+S100+S99+S98+S97+S96+S95</f>
        <v>144692.70999999996</v>
      </c>
      <c r="AI1337" s="21"/>
    </row>
    <row r="1338" spans="16:35" ht="26.4" x14ac:dyDescent="0.25">
      <c r="P1338" s="211" t="s">
        <v>61</v>
      </c>
      <c r="Q1338" s="439" t="s">
        <v>1650</v>
      </c>
      <c r="S1338" s="211">
        <v>0</v>
      </c>
      <c r="AI1338" s="21"/>
    </row>
    <row r="1339" spans="16:35" ht="26.4" x14ac:dyDescent="0.25">
      <c r="P1339" s="211" t="s">
        <v>61</v>
      </c>
      <c r="Q1339" s="439" t="s">
        <v>1624</v>
      </c>
      <c r="S1339" s="211">
        <f>S122+S123+S124+S125+S126+S127+S128+S129+S130+S131+S132+S133+S134+S135+S136+S137+S138+S139+S140+S141+S142+S143+S144+S145+S146+S147+S148+S149+S155+S156</f>
        <v>620566.94000000006</v>
      </c>
      <c r="AI1339" s="21"/>
    </row>
    <row r="1340" spans="16:35" ht="26.4" x14ac:dyDescent="0.25">
      <c r="P1340" s="211" t="s">
        <v>61</v>
      </c>
      <c r="Q1340" s="439" t="s">
        <v>1625</v>
      </c>
      <c r="S1340" s="211">
        <f>S177+S176+S175+S174+S173+S172+S171+S170+S169+S168+S167+S166+S165+S164+S163+S162+S161+S160+S159+S158+S157</f>
        <v>65030.12999999999</v>
      </c>
      <c r="AI1340" s="21"/>
    </row>
    <row r="1341" spans="16:35" ht="26.4" x14ac:dyDescent="0.25">
      <c r="P1341" s="211" t="s">
        <v>61</v>
      </c>
      <c r="Q1341" s="439" t="s">
        <v>1626</v>
      </c>
      <c r="S1341" s="211">
        <f>S292+S291+S290+S289+S288+S288+S287+S286+S285+S284+S283+S282+S281+S280+S279+S278+S277+S276+S275+S274+S273+S272+S271+S270+S269+S268+S267+S266+S265+S264+S263+S262+S261+S260+S259+S258+S257+S256+S255+S254+S253+S252+S251+S250+S249+S248+S247+S246+S245+S244+S243+S242+S241+S240+S239+S238+S237+S236+S235+S234+S233+S232+S231+S230+S229+S228+S227+S226+S225+S224+S223+S222+S221+S220+S219+S218+S217+S216+S215+S214+S213+S212+S211+S210+S209+S208+S207+S206+S205+S204+S203+S202+S201+S200+S199+S198+S197+S196+S195+S194+S193+S192+S191+S190+S189+S188+S187+S186+S185+S184+S183+S182+S181+S180+S179+S178</f>
        <v>693379.04</v>
      </c>
      <c r="AI1341" s="21"/>
    </row>
    <row r="1342" spans="16:35" ht="26.4" x14ac:dyDescent="0.25">
      <c r="P1342" s="211" t="s">
        <v>61</v>
      </c>
      <c r="Q1342" s="211" t="s">
        <v>1627</v>
      </c>
      <c r="S1342" s="211">
        <f>S309+S308+S307+S306+S305+S304+S303+S302+S301+S300+S299+S298+S297+S296+S295+S294+S293</f>
        <v>104303.27</v>
      </c>
      <c r="AI1342" s="21"/>
    </row>
    <row r="1343" spans="16:35" ht="26.4" x14ac:dyDescent="0.25">
      <c r="P1343" s="211" t="s">
        <v>61</v>
      </c>
      <c r="Q1343" s="211" t="s">
        <v>1628</v>
      </c>
      <c r="S1343" s="211">
        <f>S311+S312+S313+S314+S315+S316+S317+S318+S319+S320+S321+S322+S323+S324+S325+S326+S327+S328+S329+S330+S331+S332+S333+S334+S335+S336+S337+S338+S339+S340+S341+S342+S343+S344+S345+S346+S347</f>
        <v>148116.22</v>
      </c>
      <c r="AI1343" s="21"/>
    </row>
    <row r="1344" spans="16:35" ht="26.4" x14ac:dyDescent="0.25">
      <c r="P1344" s="211" t="s">
        <v>61</v>
      </c>
      <c r="Q1344" s="211" t="s">
        <v>1629</v>
      </c>
      <c r="S1344" s="211">
        <f>S348+S349+S350+S351+S352+S353+S354+S355+S356+S357+S358+S359+S360+S361+S362+S363+S364+S365+S366+S367+S368+S369+S370+S371+S372+S373+S374+S375+S376+S377+S378+S379+S380+S381+S382+S383+S384+S385+S386+S387+S388+S389+S390+S391+S392+S393+S394+S395+S396+S397+S398+S399+S400+S401+S402+S403+S404+S405+S406+S407+S408+S409+S410+S411+S412+S413+S414+S415+S416+S417+S418+S419+S420+S421+S422+S423+S424+S425+S426+S427+S428+S429+S430+S431+S432+S433+S434+S435+S436+S437+S438+S439+S440+S441+S442+S443+S444+S445+S446+S447+S448+S449+S450+S451+S452+S453</f>
        <v>155462.6400000001</v>
      </c>
      <c r="AI1344" s="21"/>
    </row>
    <row r="1345" spans="16:45" ht="26.4" x14ac:dyDescent="0.25">
      <c r="P1345" s="211" t="s">
        <v>61</v>
      </c>
      <c r="Q1345" s="211" t="s">
        <v>1630</v>
      </c>
      <c r="S1345" s="211">
        <f>S310</f>
        <v>2950</v>
      </c>
      <c r="AI1345" s="21"/>
    </row>
    <row r="1346" spans="16:45" ht="26.4" x14ac:dyDescent="0.25">
      <c r="P1346" s="211" t="s">
        <v>61</v>
      </c>
      <c r="Q1346" s="211" t="s">
        <v>1631</v>
      </c>
      <c r="S1346" s="211">
        <v>0</v>
      </c>
      <c r="AI1346" s="21"/>
    </row>
    <row r="1347" spans="16:45" ht="26.4" x14ac:dyDescent="0.25">
      <c r="P1347" s="211" t="s">
        <v>61</v>
      </c>
      <c r="Q1347" s="211" t="s">
        <v>1632</v>
      </c>
      <c r="S1347" s="211">
        <v>0</v>
      </c>
      <c r="AI1347" s="21"/>
    </row>
    <row r="1348" spans="16:45" ht="26.4" x14ac:dyDescent="0.25">
      <c r="P1348" s="211" t="s">
        <v>61</v>
      </c>
      <c r="Q1348" s="211" t="s">
        <v>1633</v>
      </c>
      <c r="S1348" s="211">
        <f>S474+S475+S476+S478+S479+S482+S483+S484+S485+S486+S487+S488+S489+S490+S491+S492+S493+S494+S495+S499+S500</f>
        <v>7342.72</v>
      </c>
      <c r="AI1348" s="21"/>
    </row>
    <row r="1349" spans="16:45" ht="26.4" x14ac:dyDescent="0.25">
      <c r="P1349" s="211" t="s">
        <v>61</v>
      </c>
      <c r="Q1349" s="211" t="s">
        <v>1634</v>
      </c>
      <c r="S1349" s="211">
        <f>S513+S514+S515+S526+S527+S528+S529+S532+S533+S534</f>
        <v>39427.300000000003</v>
      </c>
      <c r="AS1349" s="233"/>
    </row>
    <row r="1350" spans="16:45" ht="26.4" x14ac:dyDescent="0.25">
      <c r="P1350" s="211" t="s">
        <v>61</v>
      </c>
      <c r="Q1350" s="211" t="s">
        <v>1635</v>
      </c>
      <c r="S1350" s="211" t="e">
        <f>S551+S552+S553+S554+S556+S559+S560+S561+S562+S563+S564+S565+S566+S568+S569+S570+S571+S572+S573+S574+S575+S576+#REF!+S578+S579+S580+S581+S582+S583+S584+S592+S593+S594+S595+S596+S597+S598+S599+S600+S601+S602+S605+S606+S607+S608+S609+S610+S611+S612+S613+S614+#REF!</f>
        <v>#REF!</v>
      </c>
      <c r="AS1350" s="233"/>
    </row>
    <row r="1351" spans="16:45" ht="26.4" x14ac:dyDescent="0.25">
      <c r="P1351" s="211" t="s">
        <v>61</v>
      </c>
      <c r="Q1351" s="211" t="s">
        <v>1636</v>
      </c>
      <c r="S1351" s="211">
        <v>0</v>
      </c>
      <c r="AS1351" s="233"/>
    </row>
    <row r="1352" spans="16:45" ht="26.4" x14ac:dyDescent="0.25">
      <c r="P1352" s="211" t="s">
        <v>61</v>
      </c>
      <c r="Q1352" s="211" t="s">
        <v>1637</v>
      </c>
      <c r="S1352" s="211">
        <v>0</v>
      </c>
      <c r="AS1352" s="233"/>
    </row>
    <row r="1353" spans="16:45" ht="26.4" x14ac:dyDescent="0.25">
      <c r="P1353" s="211" t="s">
        <v>61</v>
      </c>
      <c r="Q1353" s="211" t="s">
        <v>1638</v>
      </c>
      <c r="S1353" s="211">
        <v>0</v>
      </c>
      <c r="AS1353" s="233"/>
    </row>
    <row r="1354" spans="16:45" ht="26.4" x14ac:dyDescent="0.25">
      <c r="P1354" s="211" t="s">
        <v>61</v>
      </c>
      <c r="Q1354" s="211" t="s">
        <v>1639</v>
      </c>
      <c r="S1354" s="211">
        <f>S456+S458+S459+S460+S461+S462+S463+S464+S466+S467+S469+S501+S502+S503+S504+S507+S508+S509+S510+S511+S512+S655+S656+S657+S658+S659+S660+S661+S662+S663+S664+S665+S666+S667+S668+S669+S670+S671+S672+S673+S674+S675+S676</f>
        <v>0</v>
      </c>
      <c r="AS1354" s="233"/>
    </row>
    <row r="1355" spans="16:45" ht="26.4" x14ac:dyDescent="0.25">
      <c r="P1355" s="211" t="s">
        <v>61</v>
      </c>
      <c r="Q1355" s="211" t="s">
        <v>1640</v>
      </c>
      <c r="S1355" s="211">
        <v>0</v>
      </c>
      <c r="AS1355" s="233"/>
    </row>
    <row r="1356" spans="16:45" ht="26.4" x14ac:dyDescent="0.25">
      <c r="P1356" s="211" t="s">
        <v>61</v>
      </c>
      <c r="Q1356" s="211" t="s">
        <v>1641</v>
      </c>
      <c r="S1356" s="211">
        <v>0</v>
      </c>
      <c r="AS1356" s="233"/>
    </row>
    <row r="1357" spans="16:45" ht="26.4" x14ac:dyDescent="0.25">
      <c r="P1357" s="211" t="s">
        <v>61</v>
      </c>
      <c r="Q1357" s="211" t="s">
        <v>1642</v>
      </c>
      <c r="S1357" s="211">
        <f>S454+S455+S457+S465+S468+S470+S471+S472+S473+S505+S506</f>
        <v>0</v>
      </c>
      <c r="AS1357" s="233"/>
    </row>
    <row r="1358" spans="16:45" ht="26.4" x14ac:dyDescent="0.25">
      <c r="P1358" s="211" t="s">
        <v>61</v>
      </c>
      <c r="Q1358" s="211" t="s">
        <v>1643</v>
      </c>
      <c r="S1358" s="211">
        <f>S535+S536+S537+S538+S539+S540+S541+S542+S543+S544+S545+S546+S547+S548+S549+S550</f>
        <v>0</v>
      </c>
      <c r="AS1358" s="233"/>
    </row>
    <row r="1359" spans="16:45" ht="26.4" x14ac:dyDescent="0.25">
      <c r="P1359" s="211" t="s">
        <v>61</v>
      </c>
      <c r="Q1359" s="211" t="s">
        <v>1644</v>
      </c>
      <c r="S1359" s="211">
        <f>S555+S557+S558+S585+S586+S587+S588+S589+S590+S591+S603+S604+S653+S654</f>
        <v>0</v>
      </c>
      <c r="AS1359" s="233"/>
    </row>
    <row r="1360" spans="16:45" x14ac:dyDescent="0.25">
      <c r="AS1360" s="233"/>
    </row>
    <row r="1361" spans="45:45" x14ac:dyDescent="0.25">
      <c r="AS1361" s="233"/>
    </row>
  </sheetData>
  <autoFilter ref="A1:AI1292" xr:uid="{00000000-0009-0000-0000-000001000000}">
    <filterColumn colId="1">
      <filters>
        <filter val="0"/>
        <filter val="1"/>
        <filter val="2"/>
        <filter val="3"/>
        <filter val="4"/>
        <filter val="5"/>
        <filter val="7"/>
        <filter val="Not In the Plan"/>
      </filters>
    </filterColumn>
    <sortState xmlns:xlrd2="http://schemas.microsoft.com/office/spreadsheetml/2017/richdata2" ref="A294:AI1235">
      <sortCondition ref="B1:B1235"/>
    </sortState>
  </autoFilter>
  <sortState xmlns:xlrd2="http://schemas.microsoft.com/office/spreadsheetml/2017/richdata2" ref="A293:AM1237">
    <sortCondition ref="C4:C1237"/>
  </sortState>
  <conditionalFormatting sqref="S2:S1292">
    <cfRule type="dataBar" priority="1">
      <dataBar>
        <cfvo type="min"/>
        <cfvo type="max"/>
        <color rgb="FF638EC6"/>
      </dataBar>
      <extLst>
        <ext xmlns:x14="http://schemas.microsoft.com/office/spreadsheetml/2009/9/main" uri="{B025F937-C7B1-47D3-B67F-A62EFF666E3E}">
          <x14:id>{A28002F1-2F4C-467D-BB36-376F2D3C2C66}</x14:id>
        </ext>
      </extLst>
    </cfRule>
  </conditionalFormatting>
  <printOptions horizontalCentered="1" verticalCentered="1"/>
  <pageMargins left="0.75" right="0.75" top="0.75" bottom="0.75" header="0.5" footer="0.5"/>
  <pageSetup scale="23" fitToHeight="0" orientation="landscape" horizontalDpi="1200" verticalDpi="1200" r:id="rId1"/>
  <headerFooter>
    <oddHeader>&amp;A</oddHeader>
    <oddFooter>&amp;L&amp;BHarris Corporation Confidential&amp;B&amp;C&amp;D&amp;RPage &amp;P</oddFooter>
  </headerFooter>
  <legacyDrawing r:id="rId2"/>
  <extLst>
    <ext xmlns:x14="http://schemas.microsoft.com/office/spreadsheetml/2009/9/main" uri="{78C0D931-6437-407d-A8EE-F0AAD7539E65}">
      <x14:conditionalFormattings>
        <x14:conditionalFormatting xmlns:xm="http://schemas.microsoft.com/office/excel/2006/main">
          <x14:cfRule type="dataBar" id="{A28002F1-2F4C-467D-BB36-376F2D3C2C66}">
            <x14:dataBar minLength="0" maxLength="100" border="1" negativeBarBorderColorSameAsPositive="0">
              <x14:cfvo type="autoMin"/>
              <x14:cfvo type="autoMax"/>
              <x14:borderColor rgb="FF638EC6"/>
              <x14:negativeFillColor rgb="FFFF0000"/>
              <x14:negativeBorderColor rgb="FFFF0000"/>
              <x14:axisColor rgb="FF000000"/>
            </x14:dataBar>
          </x14:cfRule>
          <xm:sqref>S2:S1292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Sheet1!$A$1:$A$3</xm:f>
          </x14:formula1>
          <xm:sqref>C300:C322 C4:C229 C676 C678:D714</xm:sqref>
        </x14:dataValidation>
        <x14:dataValidation type="list" allowBlank="1" showInputMessage="1" showErrorMessage="1" xr:uid="{00000000-0002-0000-0100-000001000000}">
          <x14:formula1>
            <xm:f>Sheet1!$D$8:$D$12</xm:f>
          </x14:formula1>
          <xm:sqref>B95:B102 B158 B2:B67 B677:B714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G88"/>
  <sheetViews>
    <sheetView topLeftCell="S1" zoomScaleNormal="100" workbookViewId="0">
      <selection activeCell="AE31" sqref="AE31"/>
    </sheetView>
  </sheetViews>
  <sheetFormatPr defaultColWidth="9.109375" defaultRowHeight="14.4" x14ac:dyDescent="0.3"/>
  <cols>
    <col min="1" max="1" width="5.88671875" style="101" hidden="1" customWidth="1"/>
    <col min="2" max="2" width="6.44140625" style="101" hidden="1" customWidth="1"/>
    <col min="3" max="3" width="6.33203125" style="101" hidden="1" customWidth="1"/>
    <col min="4" max="4" width="8.6640625" style="101" hidden="1" customWidth="1"/>
    <col min="5" max="5" width="8.88671875" style="101" hidden="1" customWidth="1"/>
    <col min="6" max="6" width="9.5546875" style="101" hidden="1" customWidth="1"/>
    <col min="7" max="7" width="14" style="101" hidden="1" customWidth="1"/>
    <col min="8" max="8" width="9.88671875" style="101" hidden="1" customWidth="1"/>
    <col min="9" max="9" width="14" style="101" hidden="1" customWidth="1"/>
    <col min="10" max="10" width="8.109375" style="101" hidden="1" customWidth="1"/>
    <col min="11" max="11" width="9.109375" style="101" hidden="1" customWidth="1"/>
    <col min="12" max="12" width="14" style="101" hidden="1" customWidth="1"/>
    <col min="13" max="13" width="8.6640625" style="101" hidden="1" customWidth="1"/>
    <col min="14" max="14" width="14" style="101" hidden="1" customWidth="1"/>
    <col min="15" max="15" width="9.109375" style="101" hidden="1" customWidth="1"/>
    <col min="16" max="18" width="15.5546875" style="101" hidden="1" customWidth="1"/>
    <col min="19" max="19" width="14" style="101" bestFit="1" customWidth="1"/>
    <col min="20" max="20" width="12.6640625" style="101" bestFit="1" customWidth="1"/>
    <col min="21" max="21" width="7.5546875" style="101" bestFit="1" customWidth="1"/>
    <col min="22" max="22" width="15.6640625" style="101" bestFit="1" customWidth="1"/>
    <col min="23" max="23" width="7.5546875" style="101" customWidth="1"/>
    <col min="24" max="24" width="14" style="101" bestFit="1" customWidth="1"/>
    <col min="25" max="25" width="53.5546875" style="101" customWidth="1"/>
    <col min="26" max="26" width="30.88671875" style="101" hidden="1" customWidth="1"/>
    <col min="27" max="27" width="17.5546875" style="101" customWidth="1"/>
    <col min="28" max="28" width="44.44140625" style="101" bestFit="1" customWidth="1"/>
    <col min="29" max="30" width="9.109375" style="101"/>
    <col min="31" max="31" width="18.88671875" style="267" bestFit="1" customWidth="1"/>
    <col min="32" max="32" width="15.109375" style="101" bestFit="1" customWidth="1"/>
    <col min="33" max="33" width="14.44140625" style="101" bestFit="1" customWidth="1"/>
    <col min="34" max="34" width="11.44140625" style="101" bestFit="1" customWidth="1"/>
    <col min="35" max="16384" width="9.109375" style="101"/>
  </cols>
  <sheetData>
    <row r="1" spans="1:33" ht="15.6" x14ac:dyDescent="0.3">
      <c r="A1" s="386" t="s">
        <v>1651</v>
      </c>
      <c r="B1" s="386" t="s">
        <v>1652</v>
      </c>
      <c r="C1" s="387" t="s">
        <v>1653</v>
      </c>
      <c r="D1" s="388" t="s">
        <v>1654</v>
      </c>
      <c r="E1" s="386" t="s">
        <v>1655</v>
      </c>
      <c r="F1" s="387" t="s">
        <v>1656</v>
      </c>
      <c r="G1" s="388" t="s">
        <v>1657</v>
      </c>
      <c r="H1" s="386" t="s">
        <v>1658</v>
      </c>
      <c r="I1" s="387" t="s">
        <v>1659</v>
      </c>
      <c r="J1" s="388" t="s">
        <v>1660</v>
      </c>
      <c r="K1" s="386" t="s">
        <v>1661</v>
      </c>
      <c r="L1" s="387" t="s">
        <v>1662</v>
      </c>
      <c r="M1" s="388" t="s">
        <v>1663</v>
      </c>
      <c r="N1" s="386" t="s">
        <v>1664</v>
      </c>
      <c r="O1" s="387" t="s">
        <v>1665</v>
      </c>
      <c r="P1" s="388" t="s">
        <v>1666</v>
      </c>
      <c r="Q1" s="386" t="s">
        <v>1667</v>
      </c>
      <c r="R1" s="386" t="s">
        <v>1668</v>
      </c>
      <c r="S1" s="413">
        <v>43574</v>
      </c>
      <c r="T1" s="414">
        <v>43605</v>
      </c>
      <c r="U1" s="415">
        <v>43636</v>
      </c>
      <c r="V1" s="415">
        <v>43665</v>
      </c>
      <c r="W1" s="415">
        <v>43678</v>
      </c>
      <c r="X1" s="415">
        <v>43727</v>
      </c>
      <c r="Y1" s="389"/>
      <c r="AE1" s="426"/>
    </row>
    <row r="2" spans="1:33" x14ac:dyDescent="0.3">
      <c r="A2" s="664" t="s">
        <v>1669</v>
      </c>
      <c r="B2" s="664"/>
      <c r="C2" s="664"/>
      <c r="D2" s="662" t="s">
        <v>1670</v>
      </c>
      <c r="E2" s="660"/>
      <c r="F2" s="663"/>
      <c r="G2" s="660" t="s">
        <v>1671</v>
      </c>
      <c r="H2" s="660"/>
      <c r="I2" s="663"/>
      <c r="J2" s="660" t="s">
        <v>1672</v>
      </c>
      <c r="K2" s="660"/>
      <c r="L2" s="663"/>
      <c r="M2" s="660" t="s">
        <v>1673</v>
      </c>
      <c r="N2" s="660"/>
      <c r="O2" s="663"/>
      <c r="P2" s="660" t="s">
        <v>1674</v>
      </c>
      <c r="Q2" s="660"/>
      <c r="R2" s="661"/>
      <c r="S2" s="662" t="s">
        <v>1945</v>
      </c>
      <c r="T2" s="665"/>
      <c r="U2" s="663"/>
      <c r="V2" s="662" t="s">
        <v>1946</v>
      </c>
      <c r="W2" s="660"/>
      <c r="X2" s="663"/>
      <c r="Y2" s="390" t="s">
        <v>1676</v>
      </c>
      <c r="Z2" s="391"/>
      <c r="AA2" s="392" t="s">
        <v>1677</v>
      </c>
      <c r="AB2" s="393" t="s">
        <v>54</v>
      </c>
      <c r="AC2" s="394" t="s">
        <v>1</v>
      </c>
      <c r="AD2" s="395" t="s">
        <v>1678</v>
      </c>
      <c r="AE2" s="268" t="s">
        <v>1679</v>
      </c>
    </row>
    <row r="3" spans="1:33" s="398" customFormat="1" x14ac:dyDescent="0.3">
      <c r="A3" s="427"/>
      <c r="B3" s="427"/>
      <c r="C3" s="114"/>
      <c r="D3" s="113"/>
      <c r="E3" s="112"/>
      <c r="F3" s="114"/>
      <c r="G3" s="113"/>
      <c r="H3" s="112"/>
      <c r="I3" s="121"/>
      <c r="J3" s="113"/>
      <c r="K3" s="112"/>
      <c r="L3" s="114"/>
      <c r="M3" s="198"/>
      <c r="N3" s="112"/>
      <c r="O3" s="428"/>
      <c r="P3" s="198"/>
      <c r="Q3" s="112"/>
      <c r="R3" s="314"/>
      <c r="S3" s="198"/>
      <c r="T3" s="400"/>
      <c r="U3" s="121"/>
      <c r="V3" s="198"/>
      <c r="W3" s="198"/>
      <c r="X3" s="198"/>
      <c r="Y3" s="397"/>
      <c r="Z3" s="315"/>
      <c r="AA3" s="122"/>
      <c r="AB3" s="315" t="s">
        <v>1680</v>
      </c>
      <c r="AC3" s="416">
        <v>5</v>
      </c>
      <c r="AD3" s="416">
        <v>2</v>
      </c>
      <c r="AE3" s="270">
        <v>199122</v>
      </c>
      <c r="AF3" s="429"/>
      <c r="AG3" s="429"/>
    </row>
    <row r="4" spans="1:33" s="398" customFormat="1" x14ac:dyDescent="0.3">
      <c r="A4" s="427"/>
      <c r="B4" s="427"/>
      <c r="C4" s="114"/>
      <c r="D4" s="113"/>
      <c r="E4" s="112"/>
      <c r="F4" s="114"/>
      <c r="G4" s="113"/>
      <c r="H4" s="112"/>
      <c r="I4" s="121"/>
      <c r="J4" s="113"/>
      <c r="K4" s="112"/>
      <c r="L4" s="114"/>
      <c r="M4" s="198"/>
      <c r="N4" s="112"/>
      <c r="O4" s="428"/>
      <c r="P4" s="198"/>
      <c r="Q4" s="112"/>
      <c r="R4" s="314"/>
      <c r="S4" s="198"/>
      <c r="T4" s="400"/>
      <c r="U4" s="121"/>
      <c r="V4" s="198"/>
      <c r="W4" s="198"/>
      <c r="X4" s="198"/>
      <c r="Y4" s="397"/>
      <c r="Z4" s="315"/>
      <c r="AA4" s="407" t="s">
        <v>1681</v>
      </c>
      <c r="AB4" s="315" t="s">
        <v>1680</v>
      </c>
      <c r="AC4" s="416">
        <v>5</v>
      </c>
      <c r="AD4" s="416">
        <v>3</v>
      </c>
      <c r="AE4" s="270">
        <v>-199122</v>
      </c>
      <c r="AF4" s="429"/>
      <c r="AG4" s="429"/>
    </row>
    <row r="5" spans="1:33" s="398" customFormat="1" x14ac:dyDescent="0.3">
      <c r="A5" s="652"/>
      <c r="B5" s="653"/>
      <c r="C5" s="653"/>
      <c r="D5" s="653"/>
      <c r="E5" s="653"/>
      <c r="F5" s="653"/>
      <c r="G5" s="653"/>
      <c r="H5" s="653"/>
      <c r="I5" s="653"/>
      <c r="J5" s="653"/>
      <c r="K5" s="653"/>
      <c r="L5" s="653"/>
      <c r="M5" s="653"/>
      <c r="N5" s="653"/>
      <c r="O5" s="653"/>
      <c r="P5" s="653"/>
      <c r="Q5" s="653"/>
      <c r="R5" s="653"/>
      <c r="S5" s="653"/>
      <c r="T5" s="654"/>
      <c r="U5" s="653"/>
      <c r="V5" s="653"/>
      <c r="W5" s="653"/>
      <c r="X5" s="653"/>
      <c r="Y5" s="653"/>
      <c r="Z5" s="653"/>
      <c r="AA5" s="653"/>
      <c r="AB5" s="653"/>
      <c r="AC5" s="653"/>
      <c r="AD5" s="653"/>
      <c r="AE5" s="655"/>
      <c r="AF5" s="429"/>
      <c r="AG5" s="429"/>
    </row>
    <row r="6" spans="1:33" x14ac:dyDescent="0.3">
      <c r="A6" s="396"/>
      <c r="B6" s="396"/>
      <c r="C6" s="114"/>
      <c r="D6" s="113"/>
      <c r="E6" s="112"/>
      <c r="F6" s="399"/>
      <c r="G6" s="113">
        <f>AE6</f>
        <v>369898</v>
      </c>
      <c r="H6" s="113"/>
      <c r="I6" s="121"/>
      <c r="J6" s="113"/>
      <c r="K6" s="112"/>
      <c r="L6" s="399"/>
      <c r="M6" s="400"/>
      <c r="N6" s="396"/>
      <c r="O6" s="399"/>
      <c r="P6" s="198"/>
      <c r="Q6" s="112"/>
      <c r="R6" s="314"/>
      <c r="S6" s="198"/>
      <c r="T6" s="400"/>
      <c r="U6" s="121"/>
      <c r="V6" s="198"/>
      <c r="W6" s="198"/>
      <c r="X6" s="198"/>
      <c r="Y6" s="397" t="s">
        <v>1682</v>
      </c>
      <c r="Z6" s="315"/>
      <c r="AA6" s="417">
        <v>43119</v>
      </c>
      <c r="AB6" s="315" t="s">
        <v>1683</v>
      </c>
      <c r="AC6" s="416">
        <v>3</v>
      </c>
      <c r="AD6" s="416">
        <v>2</v>
      </c>
      <c r="AE6" s="270">
        <v>369898</v>
      </c>
    </row>
    <row r="7" spans="1:33" x14ac:dyDescent="0.3">
      <c r="A7" s="396"/>
      <c r="B7" s="396"/>
      <c r="C7" s="114"/>
      <c r="D7" s="113"/>
      <c r="E7" s="112"/>
      <c r="F7" s="399"/>
      <c r="G7" s="113"/>
      <c r="H7" s="113"/>
      <c r="I7" s="121">
        <f>AE7</f>
        <v>554847</v>
      </c>
      <c r="J7" s="113"/>
      <c r="K7" s="112"/>
      <c r="L7" s="114"/>
      <c r="M7" s="400"/>
      <c r="N7" s="396"/>
      <c r="O7" s="399"/>
      <c r="Q7" s="396"/>
      <c r="R7" s="114"/>
      <c r="S7" s="198"/>
      <c r="T7" s="608"/>
      <c r="U7" s="121"/>
      <c r="V7" s="198"/>
      <c r="W7" s="198"/>
      <c r="X7" s="198"/>
      <c r="Y7" s="397" t="s">
        <v>1684</v>
      </c>
      <c r="Z7" s="315"/>
      <c r="AA7" s="417">
        <v>43136</v>
      </c>
      <c r="AB7" s="315" t="s">
        <v>1683</v>
      </c>
      <c r="AC7" s="416">
        <v>3</v>
      </c>
      <c r="AD7" s="416">
        <v>2</v>
      </c>
      <c r="AE7" s="270">
        <v>554847</v>
      </c>
    </row>
    <row r="8" spans="1:33" x14ac:dyDescent="0.3">
      <c r="A8" s="396"/>
      <c r="B8" s="396"/>
      <c r="C8" s="114"/>
      <c r="D8" s="113"/>
      <c r="E8" s="112"/>
      <c r="F8" s="114"/>
      <c r="G8" s="113"/>
      <c r="H8" s="113"/>
      <c r="I8" s="121"/>
      <c r="J8" s="113"/>
      <c r="K8" s="112"/>
      <c r="L8" s="114">
        <f>AE8</f>
        <v>554847</v>
      </c>
      <c r="M8" s="198"/>
      <c r="N8" s="112"/>
      <c r="O8" s="399"/>
      <c r="P8" s="198"/>
      <c r="Q8" s="112"/>
      <c r="R8" s="114"/>
      <c r="S8" s="198"/>
      <c r="T8" s="400"/>
      <c r="U8" s="121"/>
      <c r="V8" s="198"/>
      <c r="W8" s="198"/>
      <c r="X8" s="198"/>
      <c r="Y8" s="397" t="s">
        <v>1685</v>
      </c>
      <c r="Z8" s="315"/>
      <c r="AA8" s="417">
        <v>43224</v>
      </c>
      <c r="AB8" s="315" t="s">
        <v>1683</v>
      </c>
      <c r="AC8" s="416">
        <v>3</v>
      </c>
      <c r="AD8" s="416">
        <v>2</v>
      </c>
      <c r="AE8" s="270">
        <v>554847</v>
      </c>
    </row>
    <row r="9" spans="1:33" x14ac:dyDescent="0.3">
      <c r="A9" s="396"/>
      <c r="B9" s="396"/>
      <c r="C9" s="114"/>
      <c r="D9" s="113"/>
      <c r="E9" s="112"/>
      <c r="F9" s="114"/>
      <c r="G9" s="113"/>
      <c r="H9" s="113"/>
      <c r="I9" s="121"/>
      <c r="J9" s="113"/>
      <c r="K9" s="112"/>
      <c r="L9" s="114">
        <v>183673</v>
      </c>
      <c r="M9" s="401"/>
      <c r="N9" s="112"/>
      <c r="O9" s="399"/>
      <c r="P9" s="198"/>
      <c r="Q9" s="112"/>
      <c r="R9" s="114"/>
      <c r="S9" s="198"/>
      <c r="T9" s="400"/>
      <c r="U9" s="121"/>
      <c r="V9" s="195"/>
      <c r="W9" s="198"/>
      <c r="X9" s="198"/>
      <c r="Y9" s="397" t="s">
        <v>1686</v>
      </c>
      <c r="Z9" s="315"/>
      <c r="AA9" s="417">
        <v>43255</v>
      </c>
      <c r="AB9" s="315" t="s">
        <v>1683</v>
      </c>
      <c r="AC9" s="416">
        <v>3</v>
      </c>
      <c r="AD9" s="416">
        <v>2</v>
      </c>
      <c r="AE9" s="270">
        <v>183673</v>
      </c>
      <c r="AG9" s="429"/>
    </row>
    <row r="10" spans="1:33" x14ac:dyDescent="0.3">
      <c r="A10" s="396"/>
      <c r="B10" s="396"/>
      <c r="C10" s="114"/>
      <c r="D10" s="113"/>
      <c r="E10" s="112"/>
      <c r="F10" s="114"/>
      <c r="G10" s="113"/>
      <c r="H10" s="112"/>
      <c r="I10" s="121"/>
      <c r="J10" s="113"/>
      <c r="K10" s="112"/>
      <c r="L10" s="114"/>
      <c r="M10" s="401"/>
      <c r="N10" s="401"/>
      <c r="O10" s="399"/>
      <c r="P10" s="198"/>
      <c r="R10" s="114"/>
      <c r="S10" s="198"/>
      <c r="U10" s="121"/>
      <c r="V10" s="198">
        <v>1665817</v>
      </c>
      <c r="W10" s="198"/>
      <c r="X10" s="198"/>
      <c r="Y10" s="397" t="s">
        <v>1687</v>
      </c>
      <c r="Z10" s="315"/>
      <c r="AA10" s="417">
        <v>43315</v>
      </c>
      <c r="AB10" s="315" t="s">
        <v>1683</v>
      </c>
      <c r="AC10" s="416">
        <v>3</v>
      </c>
      <c r="AD10" s="416">
        <v>2</v>
      </c>
      <c r="AE10" s="270">
        <v>1665817</v>
      </c>
    </row>
    <row r="11" spans="1:33" x14ac:dyDescent="0.3">
      <c r="A11" s="396"/>
      <c r="B11" s="396"/>
      <c r="C11" s="114"/>
      <c r="D11" s="113"/>
      <c r="E11" s="112"/>
      <c r="F11" s="114"/>
      <c r="G11" s="113"/>
      <c r="H11" s="112"/>
      <c r="I11" s="121"/>
      <c r="J11" s="113"/>
      <c r="K11" s="112"/>
      <c r="L11" s="114"/>
      <c r="M11" s="113"/>
      <c r="N11" s="113"/>
      <c r="O11" s="399"/>
      <c r="P11" s="113"/>
      <c r="Q11" s="112"/>
      <c r="R11" s="114"/>
      <c r="T11" s="400"/>
      <c r="U11" s="607"/>
      <c r="X11" s="113">
        <v>369898</v>
      </c>
      <c r="Y11" s="397" t="s">
        <v>1688</v>
      </c>
      <c r="Z11" s="315"/>
      <c r="AA11" s="417">
        <v>43389</v>
      </c>
      <c r="AB11" s="315" t="s">
        <v>1683</v>
      </c>
      <c r="AC11" s="416">
        <v>3</v>
      </c>
      <c r="AD11" s="416">
        <v>5</v>
      </c>
      <c r="AE11" s="269">
        <v>369898</v>
      </c>
      <c r="AF11" s="101">
        <f>SUM(AE6:AE11)</f>
        <v>3698980</v>
      </c>
    </row>
    <row r="12" spans="1:33" x14ac:dyDescent="0.3">
      <c r="A12" s="656"/>
      <c r="B12" s="657"/>
      <c r="C12" s="657"/>
      <c r="D12" s="657"/>
      <c r="E12" s="657"/>
      <c r="F12" s="657"/>
      <c r="G12" s="657"/>
      <c r="H12" s="657"/>
      <c r="I12" s="657"/>
      <c r="J12" s="657"/>
      <c r="K12" s="657"/>
      <c r="L12" s="657"/>
      <c r="M12" s="657"/>
      <c r="N12" s="657"/>
      <c r="O12" s="657"/>
      <c r="P12" s="657"/>
      <c r="Q12" s="657"/>
      <c r="R12" s="657"/>
      <c r="S12" s="657"/>
      <c r="T12" s="657"/>
      <c r="U12" s="657"/>
      <c r="V12" s="657"/>
      <c r="W12" s="657"/>
      <c r="X12" s="657"/>
      <c r="Y12" s="657"/>
      <c r="Z12" s="657"/>
      <c r="AA12" s="657"/>
      <c r="AB12" s="657"/>
      <c r="AC12" s="657"/>
      <c r="AD12" s="657"/>
      <c r="AE12" s="658"/>
    </row>
    <row r="13" spans="1:33" x14ac:dyDescent="0.3">
      <c r="A13" s="611"/>
      <c r="B13" s="611"/>
      <c r="C13" s="314"/>
      <c r="D13" s="401"/>
      <c r="E13" s="612"/>
      <c r="F13" s="314"/>
      <c r="G13" s="401"/>
      <c r="H13" s="612"/>
      <c r="I13" s="314"/>
      <c r="J13" s="401"/>
      <c r="K13" s="401"/>
      <c r="L13" s="314"/>
      <c r="M13" s="401"/>
      <c r="N13" s="401"/>
      <c r="O13" s="613"/>
      <c r="P13" s="401"/>
      <c r="Q13" s="614">
        <v>202830</v>
      </c>
      <c r="R13" s="615"/>
      <c r="S13" s="402"/>
      <c r="T13" s="606"/>
      <c r="U13" s="616"/>
      <c r="V13" s="605"/>
      <c r="W13" s="605"/>
      <c r="X13" s="605"/>
      <c r="Y13" s="617" t="s">
        <v>1689</v>
      </c>
      <c r="Z13" s="618"/>
      <c r="AA13" s="619">
        <v>43485</v>
      </c>
      <c r="AB13" s="620" t="s">
        <v>1690</v>
      </c>
      <c r="AC13" s="621">
        <v>3</v>
      </c>
      <c r="AD13" s="621">
        <v>6</v>
      </c>
      <c r="AE13" s="622">
        <v>202830</v>
      </c>
    </row>
    <row r="14" spans="1:33" x14ac:dyDescent="0.3">
      <c r="A14" s="396"/>
      <c r="B14" s="396"/>
      <c r="C14" s="114"/>
      <c r="D14" s="113"/>
      <c r="E14" s="112"/>
      <c r="F14" s="114"/>
      <c r="G14" s="113"/>
      <c r="H14" s="112"/>
      <c r="I14" s="114"/>
      <c r="J14" s="113"/>
      <c r="K14" s="113"/>
      <c r="L14" s="114"/>
      <c r="M14" s="113"/>
      <c r="N14" s="113"/>
      <c r="O14" s="399"/>
      <c r="P14" s="113"/>
      <c r="Q14" s="402"/>
      <c r="R14" s="385"/>
      <c r="S14" s="609"/>
      <c r="T14" s="610">
        <v>91273.5</v>
      </c>
      <c r="U14" s="121"/>
      <c r="V14" s="198"/>
      <c r="W14" s="198"/>
      <c r="X14" s="198"/>
      <c r="Y14" s="397" t="s">
        <v>1691</v>
      </c>
      <c r="Z14" s="315"/>
      <c r="AA14" s="417">
        <v>43516</v>
      </c>
      <c r="AB14" s="407" t="s">
        <v>1690</v>
      </c>
      <c r="AC14" s="416">
        <v>3</v>
      </c>
      <c r="AD14" s="416">
        <v>6</v>
      </c>
      <c r="AE14" s="412">
        <v>101415</v>
      </c>
    </row>
    <row r="15" spans="1:33" x14ac:dyDescent="0.3">
      <c r="A15" s="396"/>
      <c r="B15" s="396"/>
      <c r="C15" s="114"/>
      <c r="D15" s="113"/>
      <c r="E15" s="112"/>
      <c r="F15" s="114"/>
      <c r="G15" s="113"/>
      <c r="H15" s="113"/>
      <c r="I15" s="121"/>
      <c r="J15" s="113"/>
      <c r="K15" s="113"/>
      <c r="L15" s="114"/>
      <c r="M15" s="113"/>
      <c r="N15" s="113"/>
      <c r="O15" s="399"/>
      <c r="P15" s="113"/>
      <c r="Q15" s="384"/>
      <c r="R15" s="385"/>
      <c r="S15" s="610"/>
      <c r="T15" s="400"/>
      <c r="U15" s="121"/>
      <c r="V15" s="198">
        <v>212971.5</v>
      </c>
      <c r="W15" s="605"/>
      <c r="X15" s="113"/>
      <c r="Y15" s="397" t="s">
        <v>1692</v>
      </c>
      <c r="Z15" s="315"/>
      <c r="AA15" s="417">
        <v>43575</v>
      </c>
      <c r="AB15" s="407" t="s">
        <v>1690</v>
      </c>
      <c r="AC15" s="416">
        <v>3</v>
      </c>
      <c r="AD15" s="416">
        <v>6</v>
      </c>
      <c r="AE15" s="412">
        <v>202830</v>
      </c>
      <c r="AF15" s="101">
        <f>SUM(AE13:AE15)</f>
        <v>507075</v>
      </c>
    </row>
    <row r="16" spans="1:33" x14ac:dyDescent="0.3">
      <c r="A16" s="656"/>
      <c r="B16" s="657"/>
      <c r="C16" s="657"/>
      <c r="D16" s="657"/>
      <c r="E16" s="657"/>
      <c r="F16" s="657"/>
      <c r="G16" s="657"/>
      <c r="H16" s="657"/>
      <c r="I16" s="657"/>
      <c r="J16" s="657"/>
      <c r="K16" s="657"/>
      <c r="L16" s="657"/>
      <c r="M16" s="657"/>
      <c r="N16" s="657"/>
      <c r="O16" s="657"/>
      <c r="P16" s="657"/>
      <c r="Q16" s="657"/>
      <c r="R16" s="657"/>
      <c r="S16" s="659"/>
      <c r="T16" s="659"/>
      <c r="U16" s="659"/>
      <c r="V16" s="657"/>
      <c r="W16" s="659"/>
      <c r="X16" s="657"/>
      <c r="Y16" s="657"/>
      <c r="Z16" s="657"/>
      <c r="AA16" s="657"/>
      <c r="AB16" s="657"/>
      <c r="AC16" s="657"/>
      <c r="AD16" s="657"/>
      <c r="AE16" s="658"/>
    </row>
    <row r="17" spans="1:32" x14ac:dyDescent="0.3">
      <c r="A17" s="396"/>
      <c r="B17" s="396"/>
      <c r="C17" s="403"/>
      <c r="D17" s="113"/>
      <c r="E17" s="112"/>
      <c r="F17" s="114"/>
      <c r="G17" s="113"/>
      <c r="H17" s="113"/>
      <c r="I17" s="121"/>
      <c r="J17" s="113"/>
      <c r="K17" s="113"/>
      <c r="L17" s="114">
        <f>AE17</f>
        <v>32400.47</v>
      </c>
      <c r="M17" s="113"/>
      <c r="N17" s="113"/>
      <c r="O17" s="399"/>
      <c r="P17" s="113"/>
      <c r="Q17" s="112"/>
      <c r="R17" s="114"/>
      <c r="S17" s="623"/>
      <c r="T17" s="400"/>
      <c r="U17" s="121"/>
      <c r="V17" s="198"/>
      <c r="W17" s="198"/>
      <c r="X17" s="121"/>
      <c r="Y17" s="404" t="s">
        <v>1693</v>
      </c>
      <c r="Z17" s="315"/>
      <c r="AA17" s="417">
        <v>43264</v>
      </c>
      <c r="AB17" s="315" t="s">
        <v>1694</v>
      </c>
      <c r="AC17" s="416">
        <v>3</v>
      </c>
      <c r="AD17" s="416">
        <v>4</v>
      </c>
      <c r="AE17" s="270">
        <v>32400.47</v>
      </c>
    </row>
    <row r="18" spans="1:32" x14ac:dyDescent="0.3">
      <c r="A18" s="396"/>
      <c r="B18" s="396"/>
      <c r="C18" s="403"/>
      <c r="D18" s="113"/>
      <c r="E18" s="112"/>
      <c r="F18" s="114"/>
      <c r="G18" s="113"/>
      <c r="H18" s="113"/>
      <c r="I18" s="121"/>
      <c r="J18" s="113"/>
      <c r="K18" s="113"/>
      <c r="L18" s="114">
        <f>AE18</f>
        <v>32400.47</v>
      </c>
      <c r="M18" s="113"/>
      <c r="N18" s="113"/>
      <c r="O18" s="114"/>
      <c r="P18" s="113"/>
      <c r="Q18" s="112"/>
      <c r="R18" s="114"/>
      <c r="S18" s="623"/>
      <c r="T18" s="400"/>
      <c r="U18" s="121"/>
      <c r="V18" s="198"/>
      <c r="W18" s="198"/>
      <c r="X18" s="121"/>
      <c r="Y18" s="404" t="s">
        <v>1695</v>
      </c>
      <c r="Z18" s="315"/>
      <c r="AA18" s="417">
        <v>43317</v>
      </c>
      <c r="AB18" s="315" t="s">
        <v>1694</v>
      </c>
      <c r="AC18" s="416">
        <v>3</v>
      </c>
      <c r="AD18" s="416">
        <v>4</v>
      </c>
      <c r="AE18" s="270">
        <v>32400.47</v>
      </c>
    </row>
    <row r="19" spans="1:32" x14ac:dyDescent="0.3">
      <c r="A19" s="396"/>
      <c r="B19" s="396"/>
      <c r="C19" s="403"/>
      <c r="D19" s="113"/>
      <c r="E19" s="112"/>
      <c r="F19" s="114"/>
      <c r="G19" s="113"/>
      <c r="H19" s="113"/>
      <c r="I19" s="121"/>
      <c r="J19" s="113"/>
      <c r="K19" s="113"/>
      <c r="L19" s="114"/>
      <c r="M19" s="113"/>
      <c r="N19" s="113">
        <f>AE19</f>
        <v>38880.559999999998</v>
      </c>
      <c r="O19" s="114"/>
      <c r="P19" s="112"/>
      <c r="Q19" s="112"/>
      <c r="R19" s="114"/>
      <c r="S19" s="623"/>
      <c r="T19" s="400"/>
      <c r="U19" s="121"/>
      <c r="V19" s="198"/>
      <c r="W19" s="198"/>
      <c r="X19" s="121"/>
      <c r="Y19" s="404" t="s">
        <v>1696</v>
      </c>
      <c r="Z19" s="315"/>
      <c r="AA19" s="417">
        <v>43364</v>
      </c>
      <c r="AB19" s="315" t="s">
        <v>1694</v>
      </c>
      <c r="AC19" s="416">
        <v>3</v>
      </c>
      <c r="AD19" s="416">
        <v>4</v>
      </c>
      <c r="AE19" s="270">
        <v>38880.559999999998</v>
      </c>
    </row>
    <row r="20" spans="1:32" x14ac:dyDescent="0.3">
      <c r="A20" s="396"/>
      <c r="B20" s="396"/>
      <c r="C20" s="403"/>
      <c r="D20" s="113"/>
      <c r="E20" s="112"/>
      <c r="F20" s="114"/>
      <c r="G20" s="113"/>
      <c r="H20" s="113"/>
      <c r="I20" s="121"/>
      <c r="J20" s="113"/>
      <c r="K20" s="113"/>
      <c r="L20" s="114"/>
      <c r="M20" s="113"/>
      <c r="N20" s="113"/>
      <c r="O20" s="114"/>
      <c r="P20" s="112">
        <f>AE20</f>
        <v>25920.38</v>
      </c>
      <c r="Q20" s="112"/>
      <c r="R20" s="114"/>
      <c r="S20" s="623"/>
      <c r="T20" s="400"/>
      <c r="U20" s="121"/>
      <c r="V20" s="198"/>
      <c r="W20" s="198"/>
      <c r="X20" s="121"/>
      <c r="Y20" s="404" t="s">
        <v>1697</v>
      </c>
      <c r="Z20" s="315"/>
      <c r="AA20" s="417">
        <v>43378</v>
      </c>
      <c r="AB20" s="315" t="s">
        <v>1694</v>
      </c>
      <c r="AC20" s="416">
        <v>3</v>
      </c>
      <c r="AD20" s="416">
        <v>4</v>
      </c>
      <c r="AE20" s="270">
        <v>25920.38</v>
      </c>
      <c r="AF20" s="676">
        <f>SUM(AE17:AE20)</f>
        <v>129601.88</v>
      </c>
    </row>
    <row r="21" spans="1:32" x14ac:dyDescent="0.3">
      <c r="A21" s="656"/>
      <c r="B21" s="657"/>
      <c r="C21" s="657"/>
      <c r="D21" s="657"/>
      <c r="E21" s="657"/>
      <c r="F21" s="657"/>
      <c r="G21" s="657"/>
      <c r="H21" s="657"/>
      <c r="I21" s="657"/>
      <c r="J21" s="657"/>
      <c r="K21" s="657"/>
      <c r="L21" s="657"/>
      <c r="M21" s="657"/>
      <c r="N21" s="657"/>
      <c r="O21" s="657"/>
      <c r="P21" s="657"/>
      <c r="Q21" s="657"/>
      <c r="R21" s="657"/>
      <c r="S21" s="657"/>
      <c r="T21" s="657"/>
      <c r="U21" s="657"/>
      <c r="V21" s="657"/>
      <c r="W21" s="657"/>
      <c r="X21" s="657"/>
      <c r="Y21" s="657"/>
      <c r="Z21" s="657"/>
      <c r="AA21" s="657"/>
      <c r="AB21" s="657"/>
      <c r="AC21" s="657"/>
      <c r="AD21" s="657"/>
      <c r="AE21" s="658"/>
    </row>
    <row r="22" spans="1:32" ht="16.5" customHeight="1" x14ac:dyDescent="0.3">
      <c r="A22" s="396"/>
      <c r="B22" s="396"/>
      <c r="C22" s="112"/>
      <c r="D22" s="112"/>
      <c r="E22" s="112"/>
      <c r="F22" s="399"/>
      <c r="G22" s="113"/>
      <c r="H22" s="112"/>
      <c r="I22" s="399"/>
      <c r="J22" s="405"/>
      <c r="K22" s="396"/>
      <c r="L22" s="114"/>
      <c r="N22" s="112">
        <f>AE22</f>
        <v>263083.8</v>
      </c>
      <c r="O22" s="114"/>
      <c r="P22" s="113"/>
      <c r="Q22" s="112"/>
      <c r="R22" s="114"/>
      <c r="S22" s="623"/>
      <c r="T22" s="400"/>
      <c r="U22" s="121"/>
      <c r="V22" s="198"/>
      <c r="W22" s="198"/>
      <c r="X22" s="121"/>
      <c r="Y22" s="406" t="s">
        <v>1698</v>
      </c>
      <c r="Z22" s="315"/>
      <c r="AA22" s="417">
        <v>43374</v>
      </c>
      <c r="AB22" s="407" t="s">
        <v>1690</v>
      </c>
      <c r="AC22" s="416">
        <v>5</v>
      </c>
      <c r="AD22" s="416">
        <v>3</v>
      </c>
      <c r="AE22" s="270">
        <v>263083.8</v>
      </c>
    </row>
    <row r="23" spans="1:32" x14ac:dyDescent="0.3">
      <c r="A23" s="396"/>
      <c r="B23" s="396"/>
      <c r="C23" s="112"/>
      <c r="D23" s="112"/>
      <c r="E23" s="112"/>
      <c r="F23" s="114"/>
      <c r="G23" s="113"/>
      <c r="H23" s="112"/>
      <c r="I23" s="399"/>
      <c r="J23" s="113"/>
      <c r="K23" s="112"/>
      <c r="L23" s="114"/>
      <c r="M23" s="113"/>
      <c r="N23" s="112">
        <f>AE23</f>
        <v>263083.8</v>
      </c>
      <c r="O23" s="114"/>
      <c r="P23" s="113"/>
      <c r="Q23" s="112"/>
      <c r="R23" s="114"/>
      <c r="S23" s="623"/>
      <c r="T23" s="400"/>
      <c r="U23" s="121"/>
      <c r="V23" s="198"/>
      <c r="W23" s="198"/>
      <c r="X23" s="121"/>
      <c r="Y23" s="404" t="s">
        <v>1699</v>
      </c>
      <c r="Z23" s="315"/>
      <c r="AA23" s="417">
        <v>43374</v>
      </c>
      <c r="AB23" s="407" t="s">
        <v>1690</v>
      </c>
      <c r="AC23" s="416">
        <v>5</v>
      </c>
      <c r="AD23" s="416">
        <v>3</v>
      </c>
      <c r="AE23" s="270">
        <v>263083.8</v>
      </c>
    </row>
    <row r="24" spans="1:32" x14ac:dyDescent="0.3">
      <c r="A24" s="396"/>
      <c r="B24" s="396"/>
      <c r="C24" s="112"/>
      <c r="D24" s="112"/>
      <c r="E24" s="112"/>
      <c r="F24" s="114"/>
      <c r="G24" s="113"/>
      <c r="H24" s="112"/>
      <c r="I24" s="114"/>
      <c r="J24" s="405"/>
      <c r="K24" s="112"/>
      <c r="L24" s="114"/>
      <c r="M24" s="113"/>
      <c r="N24" s="112">
        <f t="shared" ref="N24:N25" si="0">AE24</f>
        <v>87694.6</v>
      </c>
      <c r="O24" s="114"/>
      <c r="P24" s="113"/>
      <c r="Q24" s="112"/>
      <c r="R24" s="114"/>
      <c r="S24" s="623"/>
      <c r="T24" s="400"/>
      <c r="U24" s="121"/>
      <c r="V24" s="198"/>
      <c r="W24" s="198"/>
      <c r="X24" s="121"/>
      <c r="Y24" s="404" t="s">
        <v>1700</v>
      </c>
      <c r="Z24" s="315"/>
      <c r="AA24" s="417">
        <v>43374</v>
      </c>
      <c r="AB24" s="407" t="s">
        <v>1690</v>
      </c>
      <c r="AC24" s="416">
        <v>5</v>
      </c>
      <c r="AD24" s="416">
        <v>3</v>
      </c>
      <c r="AE24" s="269">
        <v>87694.6</v>
      </c>
    </row>
    <row r="25" spans="1:32" x14ac:dyDescent="0.3">
      <c r="A25" s="396"/>
      <c r="B25" s="396"/>
      <c r="C25" s="112"/>
      <c r="D25" s="112"/>
      <c r="E25" s="112"/>
      <c r="F25" s="114"/>
      <c r="G25" s="113"/>
      <c r="H25" s="112"/>
      <c r="I25" s="114"/>
      <c r="J25" s="113"/>
      <c r="K25" s="112"/>
      <c r="L25" s="114"/>
      <c r="M25" s="405"/>
      <c r="N25" s="112">
        <f t="shared" si="0"/>
        <v>87694.6</v>
      </c>
      <c r="O25" s="114"/>
      <c r="P25" s="113"/>
      <c r="Q25" s="112"/>
      <c r="R25" s="114"/>
      <c r="S25" s="623"/>
      <c r="T25" s="400"/>
      <c r="U25" s="121"/>
      <c r="V25" s="198"/>
      <c r="W25" s="198"/>
      <c r="X25" s="121"/>
      <c r="Y25" s="404" t="s">
        <v>1701</v>
      </c>
      <c r="Z25" s="315"/>
      <c r="AA25" s="417">
        <v>43404</v>
      </c>
      <c r="AB25" s="407" t="s">
        <v>1690</v>
      </c>
      <c r="AC25" s="416">
        <v>5</v>
      </c>
      <c r="AD25" s="416">
        <v>5</v>
      </c>
      <c r="AE25" s="270">
        <v>87694.6</v>
      </c>
    </row>
    <row r="26" spans="1:32" x14ac:dyDescent="0.3">
      <c r="A26" s="396"/>
      <c r="B26" s="396"/>
      <c r="C26" s="112"/>
      <c r="D26" s="112"/>
      <c r="E26" s="112"/>
      <c r="F26" s="114"/>
      <c r="G26" s="113"/>
      <c r="H26" s="112"/>
      <c r="I26" s="114"/>
      <c r="J26" s="113"/>
      <c r="K26" s="112"/>
      <c r="L26" s="114"/>
      <c r="M26" s="405"/>
      <c r="N26" s="112">
        <v>28939.22</v>
      </c>
      <c r="O26" s="114"/>
      <c r="P26" s="113">
        <v>41216.46</v>
      </c>
      <c r="Q26" s="112"/>
      <c r="R26" s="114"/>
      <c r="S26" s="623"/>
      <c r="T26" s="400"/>
      <c r="U26" s="121"/>
      <c r="V26" s="198"/>
      <c r="W26" s="198"/>
      <c r="X26" s="121"/>
      <c r="Y26" s="404" t="s">
        <v>1702</v>
      </c>
      <c r="Z26" s="315"/>
      <c r="AA26" s="417">
        <v>43381</v>
      </c>
      <c r="AB26" s="407" t="s">
        <v>1690</v>
      </c>
      <c r="AC26" s="416">
        <v>5</v>
      </c>
      <c r="AD26" s="416">
        <v>3</v>
      </c>
      <c r="AE26" s="270">
        <v>70155.679999999993</v>
      </c>
    </row>
    <row r="27" spans="1:32" x14ac:dyDescent="0.3">
      <c r="A27" s="396"/>
      <c r="B27" s="396"/>
      <c r="C27" s="112"/>
      <c r="D27" s="112"/>
      <c r="E27" s="112"/>
      <c r="F27" s="114"/>
      <c r="G27" s="113"/>
      <c r="H27" s="112"/>
      <c r="I27" s="114"/>
      <c r="J27" s="113"/>
      <c r="K27" s="112"/>
      <c r="L27" s="114"/>
      <c r="M27" s="113"/>
      <c r="N27" s="112"/>
      <c r="O27" s="399"/>
      <c r="P27" s="112">
        <v>87694.6</v>
      </c>
      <c r="Q27" s="112"/>
      <c r="R27" s="121"/>
      <c r="S27" s="623"/>
      <c r="T27" s="400"/>
      <c r="U27" s="121"/>
      <c r="V27" s="198"/>
      <c r="W27" s="198"/>
      <c r="X27" s="121"/>
      <c r="Y27" s="404" t="s">
        <v>1703</v>
      </c>
      <c r="Z27" s="315"/>
      <c r="AA27" s="417">
        <v>43404</v>
      </c>
      <c r="AB27" s="407" t="s">
        <v>1690</v>
      </c>
      <c r="AC27" s="416">
        <v>5</v>
      </c>
      <c r="AD27" s="416">
        <v>5</v>
      </c>
      <c r="AE27" s="269">
        <v>87694.6</v>
      </c>
    </row>
    <row r="28" spans="1:32" x14ac:dyDescent="0.3">
      <c r="A28" s="396"/>
      <c r="B28" s="396"/>
      <c r="C28" s="112"/>
      <c r="D28" s="112"/>
      <c r="E28" s="112"/>
      <c r="F28" s="114"/>
      <c r="G28" s="113"/>
      <c r="H28" s="112"/>
      <c r="I28" s="114"/>
      <c r="J28" s="113"/>
      <c r="K28" s="112"/>
      <c r="L28" s="114"/>
      <c r="M28" s="113"/>
      <c r="N28" s="112"/>
      <c r="O28" s="399"/>
      <c r="P28" s="113"/>
      <c r="Q28" s="112"/>
      <c r="R28" s="121">
        <f>AE28</f>
        <v>8769.4599999999991</v>
      </c>
      <c r="S28" s="623"/>
      <c r="T28" s="400"/>
      <c r="U28" s="121"/>
      <c r="V28" s="198"/>
      <c r="W28" s="198"/>
      <c r="X28" s="121"/>
      <c r="Y28" s="404" t="s">
        <v>1704</v>
      </c>
      <c r="Z28" s="315"/>
      <c r="AA28" s="417">
        <v>43413</v>
      </c>
      <c r="AB28" s="407" t="s">
        <v>1690</v>
      </c>
      <c r="AC28" s="416">
        <v>5</v>
      </c>
      <c r="AD28" s="416">
        <v>5</v>
      </c>
      <c r="AE28" s="269">
        <v>8769.4599999999991</v>
      </c>
    </row>
    <row r="29" spans="1:32" x14ac:dyDescent="0.3">
      <c r="A29" s="396"/>
      <c r="B29" s="396"/>
      <c r="C29" s="112"/>
      <c r="D29" s="112"/>
      <c r="E29" s="112"/>
      <c r="F29" s="114"/>
      <c r="G29" s="113"/>
      <c r="H29" s="112"/>
      <c r="I29" s="114"/>
      <c r="J29" s="113"/>
      <c r="K29" s="112"/>
      <c r="L29" s="114"/>
      <c r="M29" s="113"/>
      <c r="N29" s="112"/>
      <c r="O29" s="399"/>
      <c r="P29" s="113"/>
      <c r="Q29" s="112"/>
      <c r="R29" s="121">
        <f>AE29</f>
        <v>8769.4599999999991</v>
      </c>
      <c r="S29" s="623"/>
      <c r="T29" s="400"/>
      <c r="U29" s="121"/>
      <c r="V29" s="198"/>
      <c r="W29" s="198"/>
      <c r="X29" s="198"/>
      <c r="Y29" s="397" t="s">
        <v>1705</v>
      </c>
      <c r="Z29" s="315"/>
      <c r="AA29" s="417">
        <v>43413</v>
      </c>
      <c r="AB29" s="407" t="s">
        <v>1690</v>
      </c>
      <c r="AC29" s="416">
        <v>5</v>
      </c>
      <c r="AD29" s="416">
        <v>5</v>
      </c>
      <c r="AE29" s="269">
        <v>8769.4599999999991</v>
      </c>
      <c r="AF29" s="316" t="s">
        <v>1706</v>
      </c>
    </row>
    <row r="30" spans="1:32" x14ac:dyDescent="0.3">
      <c r="C30" s="316"/>
      <c r="D30" s="316"/>
      <c r="E30" s="316"/>
      <c r="F30" s="316"/>
      <c r="G30" s="102">
        <f>SUM(G3:G29)</f>
        <v>369898</v>
      </c>
      <c r="H30" s="102">
        <f>SUM(H3:H29)</f>
        <v>0</v>
      </c>
      <c r="I30" s="102">
        <f t="shared" ref="I30:X30" si="1">SUM(I3:I29)</f>
        <v>554847</v>
      </c>
      <c r="J30" s="102">
        <f t="shared" si="1"/>
        <v>0</v>
      </c>
      <c r="K30" s="102">
        <f t="shared" si="1"/>
        <v>0</v>
      </c>
      <c r="L30" s="102">
        <f t="shared" si="1"/>
        <v>803320.94</v>
      </c>
      <c r="M30" s="102">
        <f t="shared" si="1"/>
        <v>0</v>
      </c>
      <c r="N30" s="102">
        <f t="shared" si="1"/>
        <v>769376.57999999984</v>
      </c>
      <c r="O30" s="102">
        <f t="shared" si="1"/>
        <v>0</v>
      </c>
      <c r="P30" s="102">
        <f t="shared" si="1"/>
        <v>154831.44</v>
      </c>
      <c r="Q30" s="102">
        <f t="shared" si="1"/>
        <v>202830</v>
      </c>
      <c r="R30" s="102">
        <f t="shared" si="1"/>
        <v>17538.919999999998</v>
      </c>
      <c r="S30" s="102">
        <f>SUM(S3:S29)</f>
        <v>0</v>
      </c>
      <c r="T30" s="102">
        <f t="shared" si="1"/>
        <v>91273.5</v>
      </c>
      <c r="U30" s="102">
        <f t="shared" si="1"/>
        <v>0</v>
      </c>
      <c r="V30" s="102">
        <f t="shared" si="1"/>
        <v>1878788.5</v>
      </c>
      <c r="W30" s="102">
        <f t="shared" si="1"/>
        <v>0</v>
      </c>
      <c r="X30" s="102">
        <f t="shared" si="1"/>
        <v>369898</v>
      </c>
      <c r="Y30" s="408"/>
      <c r="Z30" s="409"/>
      <c r="AA30" s="410"/>
      <c r="AB30" s="411"/>
      <c r="AC30" s="410"/>
      <c r="AD30" s="410"/>
      <c r="AE30" s="271">
        <f>SUM(G30:X30)</f>
        <v>5212602.879999999</v>
      </c>
      <c r="AF30" s="316" t="b">
        <f>AE30=AE31</f>
        <v>1</v>
      </c>
    </row>
    <row r="31" spans="1:32" x14ac:dyDescent="0.3">
      <c r="F31" s="102">
        <f>SUM(F3:F29)</f>
        <v>0</v>
      </c>
      <c r="G31" s="651">
        <f>SUM(I3:I28)+SUM(H3:H28)+SUM(G3:G28)</f>
        <v>924745</v>
      </c>
      <c r="H31" s="651"/>
      <c r="I31" s="651"/>
      <c r="J31" s="651">
        <f>SUM(L3:L28)+SUM(K3:K28)+SUM(J3:J28)</f>
        <v>803320.94</v>
      </c>
      <c r="K31" s="651"/>
      <c r="L31" s="651"/>
      <c r="M31" s="651">
        <f>SUM(O3:O29)+SUM(N3:N29)+SUM(M3:M29)</f>
        <v>769376.57999999984</v>
      </c>
      <c r="N31" s="651"/>
      <c r="O31" s="651"/>
      <c r="P31" s="651">
        <f>SUM(R3:R29)+SUM(Q3:Q29)+SUM(P3:P29)</f>
        <v>375200.36</v>
      </c>
      <c r="Q31" s="651"/>
      <c r="R31" s="651"/>
      <c r="S31" s="651">
        <f>SUM(U3:U29)+SUM(T3:T29)+SUM(S3:S29)</f>
        <v>91273.5</v>
      </c>
      <c r="T31" s="651"/>
      <c r="U31" s="651"/>
      <c r="V31" s="651">
        <f>V30+W30+X30</f>
        <v>2248686.5</v>
      </c>
      <c r="W31" s="651"/>
      <c r="X31" s="651"/>
      <c r="Y31" s="102"/>
      <c r="Z31" s="102"/>
      <c r="AE31" s="271">
        <f>SUM(AE3:AE29)</f>
        <v>5212602.8799999971</v>
      </c>
      <c r="AF31" s="316" t="b">
        <f>SUM(G31:W31)=AE31</f>
        <v>1</v>
      </c>
    </row>
    <row r="32" spans="1:32" x14ac:dyDescent="0.3">
      <c r="AE32" s="426"/>
    </row>
    <row r="33" spans="7:32" x14ac:dyDescent="0.3">
      <c r="AE33" s="426"/>
    </row>
    <row r="34" spans="7:32" x14ac:dyDescent="0.3">
      <c r="G34" s="101">
        <f>[2]Sheet2!$G$173-V10</f>
        <v>0</v>
      </c>
      <c r="Y34" s="430"/>
      <c r="AA34" s="429"/>
      <c r="AE34" s="426"/>
    </row>
    <row r="35" spans="7:32" ht="42" x14ac:dyDescent="0.3">
      <c r="Q35" s="317" t="s">
        <v>1707</v>
      </c>
      <c r="R35" s="102"/>
      <c r="Y35" s="430"/>
      <c r="AA35" s="429"/>
      <c r="AE35" s="426"/>
      <c r="AF35" s="429"/>
    </row>
    <row r="36" spans="7:32" x14ac:dyDescent="0.3">
      <c r="Q36" s="315">
        <f>M31+P31+S31</f>
        <v>1235850.44</v>
      </c>
      <c r="R36" s="316"/>
      <c r="Y36" s="429"/>
      <c r="AA36" s="429"/>
      <c r="AB36" s="430"/>
      <c r="AE36" s="426"/>
      <c r="AF36" s="429"/>
    </row>
    <row r="37" spans="7:32" x14ac:dyDescent="0.3">
      <c r="P37" s="429"/>
      <c r="AB37" s="430"/>
      <c r="AE37" s="426"/>
    </row>
    <row r="38" spans="7:32" x14ac:dyDescent="0.3">
      <c r="Y38" s="430"/>
      <c r="AA38" s="429"/>
      <c r="AE38" s="426"/>
    </row>
    <row r="39" spans="7:32" x14ac:dyDescent="0.3">
      <c r="Y39" s="430"/>
      <c r="AA39" s="429"/>
      <c r="AE39" s="426"/>
      <c r="AF39" s="429"/>
    </row>
    <row r="40" spans="7:32" x14ac:dyDescent="0.3">
      <c r="J40" s="430"/>
      <c r="Y40" s="430"/>
      <c r="AA40" s="429"/>
      <c r="AE40" s="426"/>
      <c r="AF40" s="429"/>
    </row>
    <row r="41" spans="7:32" x14ac:dyDescent="0.3">
      <c r="Y41" s="430"/>
      <c r="AA41" s="429"/>
      <c r="AE41" s="426"/>
      <c r="AF41" s="429"/>
    </row>
    <row r="42" spans="7:32" x14ac:dyDescent="0.3">
      <c r="Y42" s="430"/>
      <c r="AA42" s="429"/>
      <c r="AE42" s="426"/>
    </row>
    <row r="43" spans="7:32" x14ac:dyDescent="0.3">
      <c r="Y43" s="430"/>
      <c r="AE43" s="426"/>
      <c r="AF43" s="429"/>
    </row>
    <row r="44" spans="7:32" x14ac:dyDescent="0.3">
      <c r="AA44" s="429"/>
      <c r="AE44" s="426"/>
      <c r="AF44" s="429"/>
    </row>
    <row r="45" spans="7:32" x14ac:dyDescent="0.3">
      <c r="AE45" s="426"/>
      <c r="AF45" s="429"/>
    </row>
    <row r="46" spans="7:32" x14ac:dyDescent="0.3">
      <c r="AE46" s="426"/>
    </row>
    <row r="47" spans="7:32" x14ac:dyDescent="0.3">
      <c r="AA47" s="429"/>
      <c r="AE47" s="426"/>
    </row>
    <row r="49" spans="12:32" x14ac:dyDescent="0.3">
      <c r="AA49" s="429"/>
      <c r="AE49" s="426"/>
    </row>
    <row r="50" spans="12:32" x14ac:dyDescent="0.3">
      <c r="R50" s="429"/>
      <c r="AE50" s="426"/>
    </row>
    <row r="51" spans="12:32" x14ac:dyDescent="0.3">
      <c r="R51" s="429"/>
      <c r="AE51" s="426"/>
      <c r="AF51" s="429"/>
    </row>
    <row r="52" spans="12:32" x14ac:dyDescent="0.3">
      <c r="R52" s="429"/>
      <c r="Y52" s="430"/>
      <c r="AA52" s="431"/>
      <c r="AE52" s="426"/>
      <c r="AF52" s="429"/>
    </row>
    <row r="53" spans="12:32" x14ac:dyDescent="0.3">
      <c r="Y53" s="430"/>
      <c r="AA53" s="429"/>
      <c r="AE53" s="426"/>
      <c r="AF53" s="429"/>
    </row>
    <row r="54" spans="12:32" x14ac:dyDescent="0.3">
      <c r="AA54" s="429"/>
      <c r="AE54" s="426"/>
    </row>
    <row r="58" spans="12:32" x14ac:dyDescent="0.3">
      <c r="AA58" s="429"/>
      <c r="AE58" s="426"/>
    </row>
    <row r="59" spans="12:32" x14ac:dyDescent="0.3">
      <c r="M59" s="429"/>
      <c r="AA59" s="429"/>
      <c r="AE59" s="426"/>
    </row>
    <row r="60" spans="12:32" x14ac:dyDescent="0.3">
      <c r="M60" s="429"/>
      <c r="AA60" s="429"/>
      <c r="AE60" s="426"/>
    </row>
    <row r="62" spans="12:32" x14ac:dyDescent="0.3">
      <c r="AA62" s="430"/>
      <c r="AE62" s="426"/>
    </row>
    <row r="63" spans="12:32" x14ac:dyDescent="0.3">
      <c r="AB63" s="429"/>
      <c r="AE63" s="426"/>
    </row>
    <row r="64" spans="12:32" x14ac:dyDescent="0.3">
      <c r="L64" s="429"/>
      <c r="AB64" s="429"/>
      <c r="AE64" s="426"/>
    </row>
    <row r="65" spans="10:31" x14ac:dyDescent="0.3">
      <c r="AB65" s="429"/>
      <c r="AE65" s="426"/>
    </row>
    <row r="66" spans="10:31" x14ac:dyDescent="0.3">
      <c r="AE66" s="426"/>
    </row>
    <row r="67" spans="10:31" x14ac:dyDescent="0.3">
      <c r="AB67" s="429"/>
      <c r="AE67" s="426"/>
    </row>
    <row r="68" spans="10:31" x14ac:dyDescent="0.3">
      <c r="J68" s="429"/>
      <c r="K68" s="429"/>
      <c r="L68" s="429"/>
      <c r="AB68" s="429"/>
      <c r="AE68" s="426"/>
    </row>
    <row r="69" spans="10:31" x14ac:dyDescent="0.3">
      <c r="L69" s="430"/>
      <c r="M69" s="429"/>
      <c r="AB69" s="429"/>
      <c r="AE69" s="426"/>
    </row>
    <row r="70" spans="10:31" x14ac:dyDescent="0.3">
      <c r="L70" s="430"/>
      <c r="M70" s="429"/>
      <c r="AB70" s="429"/>
      <c r="AE70" s="426"/>
    </row>
    <row r="71" spans="10:31" x14ac:dyDescent="0.3">
      <c r="L71" s="430"/>
      <c r="M71" s="429"/>
      <c r="AE71" s="426"/>
    </row>
    <row r="72" spans="10:31" x14ac:dyDescent="0.3">
      <c r="L72" s="430"/>
      <c r="AB72" s="429"/>
      <c r="AE72" s="426"/>
    </row>
    <row r="73" spans="10:31" x14ac:dyDescent="0.3">
      <c r="AB73" s="429"/>
      <c r="AE73" s="426"/>
    </row>
    <row r="74" spans="10:31" x14ac:dyDescent="0.3">
      <c r="AB74" s="429"/>
      <c r="AE74" s="426"/>
    </row>
    <row r="76" spans="10:31" x14ac:dyDescent="0.3">
      <c r="AE76" s="426"/>
    </row>
    <row r="77" spans="10:31" x14ac:dyDescent="0.3">
      <c r="AE77" s="426"/>
    </row>
    <row r="78" spans="10:31" x14ac:dyDescent="0.3">
      <c r="M78" s="429"/>
      <c r="AB78" s="429"/>
      <c r="AE78" s="426"/>
    </row>
    <row r="80" spans="10:31" x14ac:dyDescent="0.3">
      <c r="AA80" s="429"/>
      <c r="AE80" s="426"/>
    </row>
    <row r="81" spans="25:31" x14ac:dyDescent="0.3">
      <c r="Y81" s="430"/>
      <c r="AA81" s="429"/>
      <c r="AE81" s="426"/>
    </row>
    <row r="82" spans="25:31" x14ac:dyDescent="0.3">
      <c r="AA82" s="429"/>
      <c r="AE82" s="426"/>
    </row>
    <row r="83" spans="25:31" x14ac:dyDescent="0.3">
      <c r="AE83" s="426"/>
    </row>
    <row r="86" spans="25:31" x14ac:dyDescent="0.3">
      <c r="AA86" s="429"/>
      <c r="AE86" s="426"/>
    </row>
    <row r="87" spans="25:31" x14ac:dyDescent="0.3">
      <c r="Y87" s="430"/>
      <c r="AA87" s="429"/>
      <c r="AE87" s="426"/>
    </row>
    <row r="88" spans="25:31" x14ac:dyDescent="0.3">
      <c r="AA88" s="429"/>
      <c r="AE88" s="426"/>
    </row>
  </sheetData>
  <autoFilter ref="AA2:AE31" xr:uid="{00000000-0009-0000-0000-000004000000}"/>
  <mergeCells count="18">
    <mergeCell ref="A5:AE5"/>
    <mergeCell ref="A12:AE12"/>
    <mergeCell ref="A16:AE16"/>
    <mergeCell ref="A21:AE21"/>
    <mergeCell ref="P2:R2"/>
    <mergeCell ref="D2:F2"/>
    <mergeCell ref="A2:C2"/>
    <mergeCell ref="G2:I2"/>
    <mergeCell ref="J2:L2"/>
    <mergeCell ref="M2:O2"/>
    <mergeCell ref="V2:X2"/>
    <mergeCell ref="S2:U2"/>
    <mergeCell ref="V31:X31"/>
    <mergeCell ref="G31:I31"/>
    <mergeCell ref="J31:L31"/>
    <mergeCell ref="M31:O31"/>
    <mergeCell ref="P31:R31"/>
    <mergeCell ref="S31:U31"/>
  </mergeCells>
  <pageMargins left="0.2" right="0.2" top="0.75" bottom="0.75" header="0.3" footer="0.3"/>
  <pageSetup paperSize="17" scale="63" orientation="landscape" r:id="rId1"/>
  <headerFooter>
    <oddHeader>&amp;L&amp;F
&amp;A</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K66"/>
  <sheetViews>
    <sheetView topLeftCell="A2" workbookViewId="0">
      <selection activeCell="A16" sqref="A16:XFD16"/>
    </sheetView>
  </sheetViews>
  <sheetFormatPr defaultRowHeight="13.2" x14ac:dyDescent="0.25"/>
  <cols>
    <col min="3" max="3" width="22.109375" bestFit="1" customWidth="1"/>
    <col min="11" max="11" width="12.44140625" bestFit="1" customWidth="1"/>
    <col min="12" max="14" width="10.88671875" bestFit="1" customWidth="1"/>
    <col min="31" max="31" width="9.88671875" bestFit="1" customWidth="1"/>
    <col min="32" max="32" width="10.88671875" bestFit="1" customWidth="1"/>
  </cols>
  <sheetData>
    <row r="1" spans="2:37" ht="59.4" customHeight="1" thickBot="1" x14ac:dyDescent="0.3">
      <c r="D1" s="146" t="s">
        <v>1708</v>
      </c>
      <c r="E1" s="89" t="s">
        <v>1709</v>
      </c>
      <c r="F1" s="89" t="s">
        <v>1710</v>
      </c>
      <c r="G1" s="170" t="s">
        <v>1711</v>
      </c>
      <c r="H1" s="170" t="s">
        <v>1712</v>
      </c>
      <c r="I1" s="170" t="s">
        <v>1713</v>
      </c>
      <c r="J1" s="170" t="s">
        <v>1714</v>
      </c>
      <c r="K1" s="170" t="s">
        <v>1715</v>
      </c>
      <c r="L1" s="174" t="s">
        <v>1716</v>
      </c>
      <c r="M1" s="214" t="s">
        <v>1717</v>
      </c>
      <c r="N1" s="170" t="s">
        <v>1718</v>
      </c>
      <c r="O1" s="170" t="s">
        <v>77</v>
      </c>
      <c r="P1" s="170" t="s">
        <v>78</v>
      </c>
      <c r="Q1" s="170" t="s">
        <v>79</v>
      </c>
      <c r="R1" s="170" t="s">
        <v>80</v>
      </c>
      <c r="S1" s="170" t="s">
        <v>81</v>
      </c>
      <c r="T1" s="170" t="s">
        <v>82</v>
      </c>
      <c r="U1" s="170" t="s">
        <v>83</v>
      </c>
      <c r="V1" s="170" t="s">
        <v>84</v>
      </c>
      <c r="W1" s="170" t="s">
        <v>85</v>
      </c>
      <c r="X1" s="170" t="s">
        <v>1719</v>
      </c>
      <c r="Y1" s="170" t="s">
        <v>1720</v>
      </c>
      <c r="Z1" s="170" t="s">
        <v>1721</v>
      </c>
      <c r="AA1" s="170" t="s">
        <v>1722</v>
      </c>
      <c r="AB1" s="170" t="s">
        <v>1723</v>
      </c>
      <c r="AC1" s="170" t="s">
        <v>1724</v>
      </c>
      <c r="AD1" s="170" t="s">
        <v>1725</v>
      </c>
      <c r="AE1" s="170" t="s">
        <v>1726</v>
      </c>
      <c r="AF1" s="170" t="s">
        <v>1727</v>
      </c>
      <c r="AG1" s="170" t="s">
        <v>1728</v>
      </c>
      <c r="AH1" s="170" t="s">
        <v>1729</v>
      </c>
      <c r="AI1" s="170" t="s">
        <v>1730</v>
      </c>
      <c r="AJ1" s="170" t="s">
        <v>1731</v>
      </c>
    </row>
    <row r="2" spans="2:37" x14ac:dyDescent="0.25">
      <c r="B2" s="53"/>
      <c r="C2" s="286" t="s">
        <v>1732</v>
      </c>
      <c r="D2" s="286" t="e">
        <f>SUM(MDB!#REF!)</f>
        <v>#REF!</v>
      </c>
      <c r="E2" s="286" t="e">
        <f>SUM(MDB!#REF!)</f>
        <v>#REF!</v>
      </c>
      <c r="F2" s="286" t="e">
        <f>SUM(MDB!#REF!)</f>
        <v>#REF!</v>
      </c>
      <c r="G2" s="234" t="e">
        <f>SUM(MDB!#REF!)</f>
        <v>#REF!</v>
      </c>
      <c r="H2" s="234" t="e">
        <f>SUM(MDB!#REF!)</f>
        <v>#REF!</v>
      </c>
      <c r="I2" s="234" t="e">
        <f>SUM(MDB!#REF!)</f>
        <v>#REF!</v>
      </c>
      <c r="J2" s="234" t="e">
        <f>SUM(MDB!#REF!)</f>
        <v>#REF!</v>
      </c>
      <c r="K2" s="234" t="e">
        <f>SUM(MDB!#REF!)</f>
        <v>#REF!</v>
      </c>
      <c r="L2" s="234" t="e">
        <f>SUM(MDB!#REF!)</f>
        <v>#REF!</v>
      </c>
      <c r="M2" s="247" t="e">
        <f>SUM(MDB!#REF!)</f>
        <v>#REF!</v>
      </c>
      <c r="N2" s="287" t="e">
        <f>SUM(MDB!#REF!)</f>
        <v>#REF!</v>
      </c>
      <c r="O2" s="285">
        <f>SUM(MDB!AJ4:AJ61)</f>
        <v>0</v>
      </c>
      <c r="P2" s="234">
        <f>SUM(MDB!AK4:AK61)</f>
        <v>0</v>
      </c>
      <c r="Q2" s="234">
        <f>SUM(MDB!AL4:AL61)</f>
        <v>0</v>
      </c>
      <c r="R2" s="234">
        <f>SUM(MDB!AM4:AM61)</f>
        <v>0</v>
      </c>
      <c r="S2" s="234">
        <f>SUM(MDB!AN4:AN61)</f>
        <v>0</v>
      </c>
      <c r="T2" s="234">
        <f>SUM(MDB!AO4:AO61)</f>
        <v>0</v>
      </c>
      <c r="U2" s="234">
        <f>SUM(MDB!AP4:AP61)</f>
        <v>0</v>
      </c>
      <c r="V2" s="234">
        <f>SUM(MDB!AQ4:AQ61)</f>
        <v>0</v>
      </c>
      <c r="W2" s="234" t="e">
        <f>SUM(MDB!#REF!)</f>
        <v>#REF!</v>
      </c>
      <c r="X2" s="234" t="e">
        <f>SUM(MDB!#REF!)</f>
        <v>#REF!</v>
      </c>
      <c r="Y2" s="234" t="e">
        <f>SUM(MDB!#REF!)</f>
        <v>#REF!</v>
      </c>
      <c r="Z2" s="234" t="e">
        <f>SUM(MDB!#REF!)</f>
        <v>#REF!</v>
      </c>
      <c r="AA2" s="234" t="e">
        <f>SUM(MDB!#REF!)</f>
        <v>#REF!</v>
      </c>
      <c r="AB2" s="234" t="e">
        <f>SUM(MDB!#REF!)</f>
        <v>#REF!</v>
      </c>
      <c r="AC2" s="234" t="e">
        <f>SUM(MDB!#REF!)</f>
        <v>#REF!</v>
      </c>
      <c r="AD2" s="234" t="e">
        <f>SUM(MDB!#REF!)</f>
        <v>#REF!</v>
      </c>
      <c r="AE2" s="234" t="e">
        <f>SUM(MDB!#REF!)</f>
        <v>#REF!</v>
      </c>
      <c r="AF2" s="234" t="e">
        <f>SUM(MDB!#REF!)</f>
        <v>#REF!</v>
      </c>
      <c r="AG2" s="234" t="e">
        <f>SUM(MDB!#REF!)</f>
        <v>#REF!</v>
      </c>
      <c r="AH2" s="234" t="e">
        <f>SUM(MDB!#REF!)</f>
        <v>#REF!</v>
      </c>
      <c r="AI2" s="234" t="e">
        <f>SUM(MDB!#REF!)</f>
        <v>#REF!</v>
      </c>
      <c r="AJ2" s="247" t="e">
        <f>SUM(MDB!#REF!)</f>
        <v>#REF!</v>
      </c>
      <c r="AK2" s="251"/>
    </row>
    <row r="3" spans="2:37" x14ac:dyDescent="0.25">
      <c r="B3" s="53"/>
      <c r="C3" s="236" t="s">
        <v>1733</v>
      </c>
      <c r="D3" s="234" t="e">
        <f>SUM(MDB!#REF!)</f>
        <v>#REF!</v>
      </c>
      <c r="E3" s="234" t="e">
        <f>SUM(MDB!#REF!)</f>
        <v>#REF!</v>
      </c>
      <c r="F3" s="234" t="e">
        <f>SUM(MDB!#REF!)</f>
        <v>#REF!</v>
      </c>
      <c r="G3" s="234" t="e">
        <f>SUM(MDB!#REF!)</f>
        <v>#REF!</v>
      </c>
      <c r="H3" s="234" t="e">
        <f>SUM(MDB!#REF!)</f>
        <v>#REF!</v>
      </c>
      <c r="I3" s="234" t="e">
        <f>SUM(MDB!#REF!)</f>
        <v>#REF!</v>
      </c>
      <c r="J3" s="234" t="e">
        <f>SUM(MDB!#REF!)</f>
        <v>#REF!</v>
      </c>
      <c r="K3" s="234" t="e">
        <f>SUM(MDB!#REF!)</f>
        <v>#REF!</v>
      </c>
      <c r="L3" s="234" t="e">
        <f>SUM(MDB!#REF!)</f>
        <v>#REF!</v>
      </c>
      <c r="M3" s="234" t="e">
        <f>SUM(MDB!#REF!)</f>
        <v>#REF!</v>
      </c>
      <c r="N3" s="286" t="e">
        <f>SUM(MDB!#REF!)</f>
        <v>#REF!</v>
      </c>
      <c r="O3" s="234">
        <f>SUM(MDB!AJ68:AJ94)</f>
        <v>0</v>
      </c>
      <c r="P3" s="234">
        <f>SUM(MDB!AK68:AK94)</f>
        <v>0</v>
      </c>
      <c r="Q3" s="234">
        <f>SUM(MDB!AL68:AL94)</f>
        <v>0</v>
      </c>
      <c r="R3" s="234">
        <f>SUM(MDB!AM68:AM94)</f>
        <v>0</v>
      </c>
      <c r="S3" s="234">
        <f>SUM(MDB!AN68:AN94)</f>
        <v>0</v>
      </c>
      <c r="T3" s="234">
        <f>SUM(MDB!AO68:AO94)</f>
        <v>0</v>
      </c>
      <c r="U3" s="234">
        <f>SUM(MDB!AP68:AP94)</f>
        <v>0</v>
      </c>
      <c r="V3" s="234">
        <f>SUM(MDB!AQ68:AQ94)</f>
        <v>0</v>
      </c>
      <c r="W3" s="234" t="e">
        <f>SUM(MDB!#REF!)</f>
        <v>#REF!</v>
      </c>
      <c r="X3" s="234" t="e">
        <f>SUM(MDB!#REF!)</f>
        <v>#REF!</v>
      </c>
      <c r="Y3" s="234" t="e">
        <f>SUM(MDB!#REF!)</f>
        <v>#REF!</v>
      </c>
      <c r="Z3" s="234" t="e">
        <f>SUM(MDB!#REF!)</f>
        <v>#REF!</v>
      </c>
      <c r="AA3" s="234" t="e">
        <f>SUM(MDB!#REF!)</f>
        <v>#REF!</v>
      </c>
      <c r="AB3" s="234" t="e">
        <f>SUM(MDB!#REF!)</f>
        <v>#REF!</v>
      </c>
      <c r="AC3" s="234" t="e">
        <f>SUM(MDB!#REF!)</f>
        <v>#REF!</v>
      </c>
      <c r="AD3" s="234" t="e">
        <f>SUM(MDB!#REF!)</f>
        <v>#REF!</v>
      </c>
      <c r="AE3" s="234" t="e">
        <f>SUM(MDB!#REF!)</f>
        <v>#REF!</v>
      </c>
      <c r="AF3" s="234" t="e">
        <f>SUM(MDB!#REF!)</f>
        <v>#REF!</v>
      </c>
      <c r="AG3" s="234" t="e">
        <f>SUM(MDB!#REF!)</f>
        <v>#REF!</v>
      </c>
      <c r="AH3" s="234" t="e">
        <f>SUM(MDB!#REF!)</f>
        <v>#REF!</v>
      </c>
      <c r="AI3" s="234" t="e">
        <f>SUM(MDB!#REF!)</f>
        <v>#REF!</v>
      </c>
      <c r="AJ3" s="247" t="e">
        <f>SUM(MDB!#REF!)</f>
        <v>#REF!</v>
      </c>
      <c r="AK3" s="251"/>
    </row>
    <row r="4" spans="2:37" x14ac:dyDescent="0.25">
      <c r="B4" s="53"/>
      <c r="C4" s="234" t="s">
        <v>1734</v>
      </c>
      <c r="D4" s="234" t="e">
        <f>SUM(MDB!#REF!)</f>
        <v>#REF!</v>
      </c>
      <c r="E4" s="234" t="e">
        <f>SUM(MDB!#REF!)</f>
        <v>#REF!</v>
      </c>
      <c r="F4" s="234" t="e">
        <f>SUM(MDB!#REF!)</f>
        <v>#REF!</v>
      </c>
      <c r="G4" s="234" t="e">
        <f>SUM(MDB!#REF!)</f>
        <v>#REF!</v>
      </c>
      <c r="H4" s="234" t="e">
        <f>SUM(MDB!#REF!)</f>
        <v>#REF!</v>
      </c>
      <c r="I4" s="234" t="e">
        <f>SUM(MDB!#REF!)</f>
        <v>#REF!</v>
      </c>
      <c r="J4" s="234" t="e">
        <f>SUM(MDB!#REF!)</f>
        <v>#REF!</v>
      </c>
      <c r="K4" s="234" t="e">
        <f>SUM(MDB!#REF!)</f>
        <v>#REF!</v>
      </c>
      <c r="L4" s="234" t="e">
        <f>SUM(MDB!#REF!)</f>
        <v>#REF!</v>
      </c>
      <c r="M4" s="234" t="e">
        <f>SUM(MDB!#REF!)</f>
        <v>#REF!</v>
      </c>
      <c r="N4" s="234" t="e">
        <f>SUM(MDB!#REF!)</f>
        <v>#REF!</v>
      </c>
      <c r="O4" s="234">
        <f>SUM(MDB!AJ139:AJ156)</f>
        <v>0</v>
      </c>
      <c r="P4" s="234">
        <f>SUM(MDB!AK139:AK156)</f>
        <v>0</v>
      </c>
      <c r="Q4" s="234">
        <f>SUM(MDB!AL139:AL156)</f>
        <v>0</v>
      </c>
      <c r="R4" s="234">
        <f>SUM(MDB!AM139:AM156)</f>
        <v>0</v>
      </c>
      <c r="S4" s="234">
        <f>SUM(MDB!AN139:AN156)</f>
        <v>0</v>
      </c>
      <c r="T4" s="234">
        <f>SUM(MDB!AO139:AO156)</f>
        <v>0</v>
      </c>
      <c r="U4" s="234">
        <f>SUM(MDB!AP139:AP156)</f>
        <v>0</v>
      </c>
      <c r="V4" s="234">
        <f>SUM(MDB!AQ139:AQ156)</f>
        <v>0</v>
      </c>
      <c r="W4" s="234" t="e">
        <f>SUM(MDB!#REF!)</f>
        <v>#REF!</v>
      </c>
      <c r="X4" s="234" t="e">
        <f>SUM(MDB!#REF!)</f>
        <v>#REF!</v>
      </c>
      <c r="Y4" s="234" t="e">
        <f>SUM(MDB!#REF!)</f>
        <v>#REF!</v>
      </c>
      <c r="Z4" s="234" t="e">
        <f>SUM(MDB!#REF!)</f>
        <v>#REF!</v>
      </c>
      <c r="AA4" s="234" t="e">
        <f>SUM(MDB!#REF!)</f>
        <v>#REF!</v>
      </c>
      <c r="AB4" s="234" t="e">
        <f>SUM(MDB!#REF!)</f>
        <v>#REF!</v>
      </c>
      <c r="AC4" s="234" t="e">
        <f>SUM(MDB!#REF!)</f>
        <v>#REF!</v>
      </c>
      <c r="AD4" s="234" t="e">
        <f>SUM(MDB!#REF!)</f>
        <v>#REF!</v>
      </c>
      <c r="AE4" s="234" t="e">
        <f>SUM(MDB!#REF!)</f>
        <v>#REF!</v>
      </c>
      <c r="AF4" s="234" t="e">
        <f>SUM(MDB!#REF!)</f>
        <v>#REF!</v>
      </c>
      <c r="AG4" s="234" t="e">
        <f>SUM(MDB!#REF!)</f>
        <v>#REF!</v>
      </c>
      <c r="AH4" s="234" t="e">
        <f>SUM(MDB!#REF!)</f>
        <v>#REF!</v>
      </c>
      <c r="AI4" s="234" t="e">
        <f>SUM(MDB!#REF!)</f>
        <v>#REF!</v>
      </c>
      <c r="AJ4" s="234">
        <f>SUM(MDB!AS139:AS156)</f>
        <v>0</v>
      </c>
      <c r="AK4" s="251"/>
    </row>
    <row r="5" spans="2:37" x14ac:dyDescent="0.25">
      <c r="B5" s="53"/>
      <c r="C5" s="234" t="s">
        <v>1735</v>
      </c>
      <c r="D5" s="234" t="e">
        <f>SUM(MDB!#REF!)</f>
        <v>#REF!</v>
      </c>
      <c r="E5" s="234" t="e">
        <f>SUM(MDB!#REF!)</f>
        <v>#REF!</v>
      </c>
      <c r="F5" s="234" t="e">
        <f>SUM(MDB!#REF!)</f>
        <v>#REF!</v>
      </c>
      <c r="G5" s="234" t="e">
        <f>SUM(MDB!#REF!)</f>
        <v>#REF!</v>
      </c>
      <c r="H5" s="234" t="e">
        <f>SUM(MDB!#REF!)</f>
        <v>#REF!</v>
      </c>
      <c r="I5" s="234" t="e">
        <f>SUM(MDB!#REF!)</f>
        <v>#REF!</v>
      </c>
      <c r="J5" s="234" t="e">
        <f>SUM(MDB!#REF!)</f>
        <v>#REF!</v>
      </c>
      <c r="K5" s="234" t="e">
        <f>SUM(MDB!#REF!)</f>
        <v>#REF!</v>
      </c>
      <c r="L5" s="234" t="e">
        <f>SUM(MDB!#REF!)</f>
        <v>#REF!</v>
      </c>
      <c r="M5" s="234" t="e">
        <f>SUM(MDB!#REF!)</f>
        <v>#REF!</v>
      </c>
      <c r="N5" s="234" t="e">
        <f>SUM(MDB!#REF!)</f>
        <v>#REF!</v>
      </c>
      <c r="O5" s="234">
        <f>SUM(MDB!AJ293:AJ310)</f>
        <v>0</v>
      </c>
      <c r="P5" s="234">
        <f>SUM(MDB!AK293:AK310)</f>
        <v>0</v>
      </c>
      <c r="Q5" s="234">
        <f>SUM(MDB!AL293:AL310)</f>
        <v>0</v>
      </c>
      <c r="R5" s="234">
        <f>SUM(MDB!AM293:AM310)</f>
        <v>0</v>
      </c>
      <c r="S5" s="234">
        <f>SUM(MDB!AN293:AN310)</f>
        <v>0</v>
      </c>
      <c r="T5" s="234">
        <f>SUM(MDB!AO293:AO310)</f>
        <v>0</v>
      </c>
      <c r="U5" s="234">
        <f>SUM(MDB!AP293:AP310)</f>
        <v>0</v>
      </c>
      <c r="V5" s="234">
        <f>SUM(MDB!AQ293:AQ310)</f>
        <v>0</v>
      </c>
      <c r="W5" s="234" t="e">
        <f>SUM(MDB!#REF!)</f>
        <v>#REF!</v>
      </c>
      <c r="X5" s="234" t="e">
        <f>SUM(MDB!#REF!)</f>
        <v>#REF!</v>
      </c>
      <c r="Y5" s="234" t="e">
        <f>SUM(MDB!#REF!)</f>
        <v>#REF!</v>
      </c>
      <c r="Z5" s="234" t="e">
        <f>SUM(MDB!#REF!)</f>
        <v>#REF!</v>
      </c>
      <c r="AA5" s="234" t="e">
        <f>SUM(MDB!#REF!)</f>
        <v>#REF!</v>
      </c>
      <c r="AB5" s="234" t="e">
        <f>SUM(MDB!#REF!)</f>
        <v>#REF!</v>
      </c>
      <c r="AC5" s="234" t="e">
        <f>SUM(MDB!#REF!)</f>
        <v>#REF!</v>
      </c>
      <c r="AD5" s="234" t="e">
        <f>SUM(MDB!#REF!)</f>
        <v>#REF!</v>
      </c>
      <c r="AE5" s="234" t="e">
        <f>SUM(MDB!#REF!)</f>
        <v>#REF!</v>
      </c>
      <c r="AF5" s="234" t="e">
        <f>SUM(MDB!#REF!)</f>
        <v>#REF!</v>
      </c>
      <c r="AG5" s="234" t="e">
        <f>SUM(MDB!#REF!)</f>
        <v>#REF!</v>
      </c>
      <c r="AH5" s="234" t="e">
        <f>SUM(MDB!#REF!)</f>
        <v>#REF!</v>
      </c>
      <c r="AI5" s="234" t="e">
        <f>SUM(MDB!#REF!)</f>
        <v>#REF!</v>
      </c>
      <c r="AJ5" s="234">
        <f>SUM(MDB!AS293:AS310)</f>
        <v>0</v>
      </c>
      <c r="AK5" s="237"/>
    </row>
    <row r="6" spans="2:37" x14ac:dyDescent="0.25">
      <c r="B6" s="53"/>
      <c r="C6" s="234" t="s">
        <v>1736</v>
      </c>
      <c r="D6" s="234" t="e">
        <f>MDB!#REF!+SUM(MDB!#REF!)</f>
        <v>#REF!</v>
      </c>
      <c r="E6" s="234" t="e">
        <f>MDB!#REF!+SUM(MDB!#REF!)</f>
        <v>#REF!</v>
      </c>
      <c r="F6" s="234" t="e">
        <f>MDB!#REF!+SUM(MDB!#REF!)</f>
        <v>#REF!</v>
      </c>
      <c r="G6" s="234" t="e">
        <f>MDB!#REF!+SUM(MDB!#REF!)</f>
        <v>#REF!</v>
      </c>
      <c r="H6" s="234" t="e">
        <f>MDB!#REF!+SUM(MDB!#REF!)</f>
        <v>#REF!</v>
      </c>
      <c r="I6" s="234" t="e">
        <f>MDB!#REF!+SUM(MDB!#REF!)</f>
        <v>#REF!</v>
      </c>
      <c r="J6" s="234" t="e">
        <f>MDB!#REF!+SUM(MDB!#REF!)</f>
        <v>#REF!</v>
      </c>
      <c r="K6" s="234" t="e">
        <f>MDB!#REF!</f>
        <v>#REF!</v>
      </c>
      <c r="L6" s="234" t="e">
        <f>MDB!#REF!+SUM(MDB!#REF!)</f>
        <v>#REF!</v>
      </c>
      <c r="M6" s="234">
        <v>0</v>
      </c>
      <c r="N6" s="234">
        <v>0</v>
      </c>
      <c r="O6" s="234">
        <f>MDB!AJ456+SUM(MDB!AJ458:AJ504)</f>
        <v>0</v>
      </c>
      <c r="P6" s="234">
        <f>MDB!AK456+SUM(MDB!AK458:AK504)</f>
        <v>0</v>
      </c>
      <c r="Q6" s="234">
        <f>MDB!AL456+SUM(MDB!AL458:AL504)</f>
        <v>0</v>
      </c>
      <c r="R6" s="234">
        <f>MDB!AM456+SUM(MDB!AM458:AM504)</f>
        <v>3847.6400000000003</v>
      </c>
      <c r="S6" s="234">
        <f>MDB!AN456+SUM(MDB!AN458:AN504)</f>
        <v>4150.53</v>
      </c>
      <c r="T6" s="234">
        <f>MDB!AO456+SUM(MDB!AO458:AO504)</f>
        <v>0</v>
      </c>
      <c r="U6" s="234">
        <f>MDB!AP456+SUM(MDB!AP458:AP504)</f>
        <v>0</v>
      </c>
      <c r="V6" s="234">
        <f>MDB!AQ456+SUM(MDB!AQ458:AQ504)</f>
        <v>0</v>
      </c>
      <c r="W6" s="234" t="e">
        <f>MDB!#REF!+SUM(MDB!#REF!)</f>
        <v>#REF!</v>
      </c>
      <c r="X6" s="234" t="e">
        <f>MDB!#REF!+SUM(MDB!#REF!)</f>
        <v>#REF!</v>
      </c>
      <c r="Y6" s="234" t="e">
        <f>MDB!#REF!+SUM(MDB!#REF!)</f>
        <v>#REF!</v>
      </c>
      <c r="Z6" s="234" t="e">
        <f>MDB!#REF!+SUM(MDB!#REF!)</f>
        <v>#REF!</v>
      </c>
      <c r="AA6" s="234" t="e">
        <f>MDB!#REF!+SUM(MDB!#REF!)</f>
        <v>#REF!</v>
      </c>
      <c r="AB6" s="234" t="e">
        <f>MDB!#REF!+SUM(MDB!#REF!)</f>
        <v>#REF!</v>
      </c>
      <c r="AC6" s="234" t="e">
        <f>MDB!#REF!+SUM(MDB!#REF!)</f>
        <v>#REF!</v>
      </c>
      <c r="AD6" s="234" t="e">
        <f>MDB!#REF!+SUM(MDB!#REF!)</f>
        <v>#REF!</v>
      </c>
      <c r="AE6" s="234" t="e">
        <f>SUM(MDB!#REF!)</f>
        <v>#REF!</v>
      </c>
      <c r="AF6" s="234">
        <v>0</v>
      </c>
      <c r="AG6" s="234" t="e">
        <f>MDB!#REF!+SUM(MDB!#REF!)</f>
        <v>#REF!</v>
      </c>
      <c r="AH6" s="234" t="e">
        <f>MDB!#REF!+SUM(MDB!#REF!)</f>
        <v>#REF!</v>
      </c>
      <c r="AI6" s="234" t="e">
        <f>MDB!#REF!+SUM(MDB!#REF!)</f>
        <v>#REF!</v>
      </c>
      <c r="AJ6" s="234">
        <f>MDB!AS456+SUM(MDB!AS458:AS504)</f>
        <v>0</v>
      </c>
      <c r="AK6" s="237"/>
    </row>
    <row r="7" spans="2:37" x14ac:dyDescent="0.25">
      <c r="B7" s="53"/>
      <c r="C7" s="234" t="s">
        <v>1737</v>
      </c>
      <c r="D7" s="234" t="e">
        <f>MDB!#REF!+SUM(MDB!#REF!)</f>
        <v>#REF!</v>
      </c>
      <c r="E7" s="234" t="e">
        <f>SUM(MDB!#REF!)</f>
        <v>#REF!</v>
      </c>
      <c r="F7" s="234" t="e">
        <f>SUM(MDB!#REF!)</f>
        <v>#REF!</v>
      </c>
      <c r="G7" s="234" t="e">
        <f>SUM(MDB!#REF!)</f>
        <v>#REF!</v>
      </c>
      <c r="H7" s="234" t="e">
        <f>SUM(MDB!#REF!)</f>
        <v>#REF!</v>
      </c>
      <c r="I7" s="234" t="e">
        <f>SUM(MDB!#REF!)</f>
        <v>#REF!</v>
      </c>
      <c r="J7" s="234" t="e">
        <f>SUM(MDB!#REF!)</f>
        <v>#REF!</v>
      </c>
      <c r="K7" s="234" t="e">
        <f>SUM(MDB!#REF!)</f>
        <v>#REF!</v>
      </c>
      <c r="L7" s="234" t="e">
        <f>SUM(MDB!#REF!)</f>
        <v>#REF!</v>
      </c>
      <c r="M7" s="234" t="e">
        <f>SUM(MDB!#REF!)</f>
        <v>#REF!</v>
      </c>
      <c r="N7" s="234" t="e">
        <f>SUM(MDB!#REF!)</f>
        <v>#REF!</v>
      </c>
      <c r="O7" s="234">
        <f>SUM(MDB!AJ454:AJ512)</f>
        <v>0</v>
      </c>
      <c r="P7" s="234">
        <f>SUM(MDB!AK454:AK512)</f>
        <v>0</v>
      </c>
      <c r="Q7" s="234">
        <f>SUM(MDB!AL454:AL512)</f>
        <v>0</v>
      </c>
      <c r="R7" s="234">
        <f>SUM(MDB!AM454:AM512)</f>
        <v>3847.6400000000003</v>
      </c>
      <c r="S7" s="234">
        <f>SUM(MDB!AN454:AN512)</f>
        <v>4150.53</v>
      </c>
      <c r="T7" s="234">
        <f>SUM(MDB!AO454:AO512)</f>
        <v>0</v>
      </c>
      <c r="U7" s="234">
        <f>SUM(MDB!AP454:AP512)</f>
        <v>0</v>
      </c>
      <c r="V7" s="234">
        <f>SUM(MDB!AQ454:AQ512)</f>
        <v>0</v>
      </c>
      <c r="W7" s="234" t="e">
        <f>SUM(MDB!#REF!)</f>
        <v>#REF!</v>
      </c>
      <c r="X7" s="234" t="e">
        <f>SUM(MDB!#REF!)</f>
        <v>#REF!</v>
      </c>
      <c r="Y7" s="234" t="e">
        <f>SUM(MDB!#REF!)</f>
        <v>#REF!</v>
      </c>
      <c r="Z7" s="234" t="e">
        <f>SUM(MDB!#REF!)</f>
        <v>#REF!</v>
      </c>
      <c r="AA7" s="234" t="e">
        <f>SUM(MDB!#REF!)</f>
        <v>#REF!</v>
      </c>
      <c r="AB7" s="234" t="e">
        <f>MDB!#REF!+MDB!#REF!+MDB!#REF!+MDB!#REF!+MDB!#REF!+MDB!#REF!+MDB!#REF!+MDB!#REF!+MDB!#REF!+MDB!#REF!+MDB!#REF!+MDB!#REF!</f>
        <v>#REF!</v>
      </c>
      <c r="AC7" s="234" t="e">
        <f>MDB!#REF!+MDB!#REF!+MDB!#REF!+MDB!#REF!+MDB!#REF!+MDB!#REF!+MDB!#REF!+MDB!#REF!+MDB!#REF!+MDB!#REF!+MDB!#REF!+MDB!#REF!</f>
        <v>#REF!</v>
      </c>
      <c r="AD7" s="234" t="e">
        <f>MDB!#REF!+MDB!#REF!+MDB!#REF!+MDB!#REF!+MDB!#REF!+MDB!#REF!+MDB!#REF!+MDB!#REF!+MDB!#REF!+MDB!#REF!+MDB!#REF!+MDB!#REF!</f>
        <v>#REF!</v>
      </c>
      <c r="AE7" s="234" t="e">
        <f>SUM(MDB!#REF!)</f>
        <v>#REF!</v>
      </c>
      <c r="AF7" s="234" t="e">
        <f>SUM(MDB!#REF!)</f>
        <v>#REF!</v>
      </c>
      <c r="AG7" s="234" t="e">
        <f>MDB!#REF!+MDB!#REF!+MDB!#REF!+MDB!#REF!+MDB!#REF!+MDB!#REF!+MDB!#REF!+MDB!#REF!+MDB!#REF!+MDB!#REF!+MDB!#REF!+MDB!#REF!</f>
        <v>#REF!</v>
      </c>
      <c r="AH7" s="234" t="e">
        <f>MDB!#REF!+MDB!#REF!+MDB!#REF!+MDB!#REF!+MDB!AJ468+MDB!AJ470+MDB!AJ471+MDB!AJ472+MDB!AJ473+MDB!#REF!+MDB!#REF!+MDB!#REF!</f>
        <v>#REF!</v>
      </c>
      <c r="AI7" s="234" t="e">
        <f>MDB!#REF!+MDB!#REF!+MDB!#REF!+MDB!#REF!+MDB!AK468+MDB!AK470+MDB!AK471+MDB!AK472+MDB!AK473+MDB!#REF!+MDB!#REF!+MDB!#REF!</f>
        <v>#REF!</v>
      </c>
      <c r="AJ7" s="234">
        <f>MDB!AS454+MDB!AS455+MDB!AS457+MDB!AS465+MDB!AL468+MDB!AL470+MDB!AL471+MDB!AL472+MDB!AL473+MDB!AS505+MDB!AS506+MDB!AS512</f>
        <v>0</v>
      </c>
      <c r="AK7" s="237"/>
    </row>
    <row r="8" spans="2:37" x14ac:dyDescent="0.25">
      <c r="B8" s="53"/>
      <c r="C8" s="234" t="s">
        <v>1738</v>
      </c>
      <c r="D8" s="234" t="e">
        <f>MDB!#REF!+SUM(MDB!#REF!)</f>
        <v>#REF!</v>
      </c>
      <c r="E8" s="234" t="e">
        <f>MDB!#REF!+SUM(MDB!#REF!)</f>
        <v>#REF!</v>
      </c>
      <c r="F8" s="234" t="e">
        <f>MDB!#REF!+SUM(MDB!#REF!)</f>
        <v>#REF!</v>
      </c>
      <c r="G8" s="234" t="e">
        <f>MDB!#REF!+SUM(MDB!#REF!)</f>
        <v>#REF!</v>
      </c>
      <c r="H8" s="234" t="e">
        <f>MDB!#REF!+SUM(MDB!#REF!)</f>
        <v>#REF!</v>
      </c>
      <c r="I8" s="234" t="e">
        <f>MDB!#REF!+SUM(MDB!#REF!)</f>
        <v>#REF!</v>
      </c>
      <c r="J8" s="234" t="e">
        <f>MDB!#REF!+SUM(MDB!#REF!)</f>
        <v>#REF!</v>
      </c>
      <c r="K8" s="234" t="e">
        <f>MDB!#REF!+SUM(MDB!#REF!)</f>
        <v>#REF!</v>
      </c>
      <c r="L8" s="234" t="e">
        <f>MDB!#REF!+SUM(MDB!#REF!)</f>
        <v>#REF!</v>
      </c>
      <c r="M8" s="234">
        <v>0</v>
      </c>
      <c r="N8" s="234">
        <v>0</v>
      </c>
      <c r="O8" s="234">
        <f>MDB!AJ458+SUM(MDB!AJ460:AJ506)</f>
        <v>0</v>
      </c>
      <c r="P8" s="234">
        <f>MDB!AK458+SUM(MDB!AK460:AK506)</f>
        <v>0</v>
      </c>
      <c r="Q8" s="234">
        <f>MDB!AL458+SUM(MDB!AL460:AL506)</f>
        <v>0</v>
      </c>
      <c r="R8" s="234">
        <f>MDB!AM458+SUM(MDB!AM460:AM506)</f>
        <v>3847.6400000000003</v>
      </c>
      <c r="S8" s="234">
        <f>MDB!AN458+SUM(MDB!AN460:AN506)</f>
        <v>4150.53</v>
      </c>
      <c r="T8" s="234">
        <f>MDB!AO458+SUM(MDB!AO460:AO506)</f>
        <v>0</v>
      </c>
      <c r="U8" s="234">
        <f>MDB!AP458+SUM(MDB!AP460:AP506)</f>
        <v>0</v>
      </c>
      <c r="V8" s="234">
        <f>MDB!AQ458+SUM(MDB!AQ460:AQ506)</f>
        <v>0</v>
      </c>
      <c r="W8" s="234">
        <f>MDB!AR458+SUM(MDB!AR460:AR506)</f>
        <v>0</v>
      </c>
      <c r="X8" s="234" t="e">
        <f>MDB!#REF!+SUM(MDB!#REF!)</f>
        <v>#REF!</v>
      </c>
      <c r="Y8" s="234" t="e">
        <f>MDB!#REF!+SUM(MDB!#REF!)</f>
        <v>#REF!</v>
      </c>
      <c r="Z8" s="234" t="e">
        <f>MDB!#REF!+SUM(MDB!#REF!)</f>
        <v>#REF!</v>
      </c>
      <c r="AA8" s="234" t="e">
        <f>MDB!#REF!+SUM(MDB!#REF!)</f>
        <v>#REF!</v>
      </c>
      <c r="AB8" s="234" t="e">
        <f>MDB!#REF!+SUM(MDB!#REF!)</f>
        <v>#REF!</v>
      </c>
      <c r="AC8" s="234" t="e">
        <f>MDB!#REF!+SUM(MDB!#REF!)</f>
        <v>#REF!</v>
      </c>
      <c r="AD8" s="234" t="e">
        <f>MDB!#REF!+SUM(MDB!#REF!)</f>
        <v>#REF!</v>
      </c>
      <c r="AE8" s="234" t="e">
        <f>MDB!#REF!+SUM(MDB!#REF!)</f>
        <v>#REF!</v>
      </c>
      <c r="AF8" s="234" t="e">
        <f>MDB!#REF!+MDB!#REF!+MDB!#REF!+MDB!#REF!+MDB!#REF!+MDB!#REF!+MDB!#REF!+MDB!#REF!+MDB!#REF!+MDB!#REF!+MDB!#REF!+MDB!#REF!</f>
        <v>#REF!</v>
      </c>
      <c r="AG8" s="234" t="e">
        <f>SUM(MDB!#REF!)</f>
        <v>#REF!</v>
      </c>
      <c r="AH8" s="234" t="e">
        <f>SUM(MDB!#REF!)</f>
        <v>#REF!</v>
      </c>
      <c r="AI8" s="234" t="e">
        <f>SUM(MDB!#REF!)</f>
        <v>#REF!</v>
      </c>
      <c r="AJ8" s="234">
        <f>SUM(MDB!AS143:AS159)</f>
        <v>0</v>
      </c>
      <c r="AK8" s="237"/>
    </row>
    <row r="9" spans="2:37" x14ac:dyDescent="0.25">
      <c r="B9" s="53"/>
      <c r="C9" s="237" t="s">
        <v>1739</v>
      </c>
      <c r="D9" s="235" t="e">
        <f t="shared" ref="D9:AE9" si="0">SUM(D2:D7)</f>
        <v>#REF!</v>
      </c>
      <c r="E9" s="235" t="e">
        <f t="shared" si="0"/>
        <v>#REF!</v>
      </c>
      <c r="F9" s="235" t="e">
        <f t="shared" si="0"/>
        <v>#REF!</v>
      </c>
      <c r="G9" s="235" t="e">
        <f t="shared" si="0"/>
        <v>#REF!</v>
      </c>
      <c r="H9" s="235" t="e">
        <f t="shared" si="0"/>
        <v>#REF!</v>
      </c>
      <c r="I9" s="235" t="e">
        <f t="shared" si="0"/>
        <v>#REF!</v>
      </c>
      <c r="J9" s="235" t="e">
        <f t="shared" si="0"/>
        <v>#REF!</v>
      </c>
      <c r="K9" s="235" t="e">
        <f t="shared" si="0"/>
        <v>#REF!</v>
      </c>
      <c r="L9" s="235" t="e">
        <f t="shared" si="0"/>
        <v>#REF!</v>
      </c>
      <c r="M9" s="235" t="e">
        <f t="shared" si="0"/>
        <v>#REF!</v>
      </c>
      <c r="N9" s="235" t="e">
        <f t="shared" si="0"/>
        <v>#REF!</v>
      </c>
      <c r="O9" s="235">
        <f t="shared" si="0"/>
        <v>0</v>
      </c>
      <c r="P9" s="235">
        <f t="shared" si="0"/>
        <v>0</v>
      </c>
      <c r="Q9" s="235">
        <f t="shared" si="0"/>
        <v>0</v>
      </c>
      <c r="R9" s="235">
        <f t="shared" si="0"/>
        <v>7695.2800000000007</v>
      </c>
      <c r="S9" s="235">
        <f t="shared" si="0"/>
        <v>8301.06</v>
      </c>
      <c r="T9" s="235">
        <f t="shared" si="0"/>
        <v>0</v>
      </c>
      <c r="U9" s="235">
        <f t="shared" si="0"/>
        <v>0</v>
      </c>
      <c r="V9" s="235">
        <f t="shared" si="0"/>
        <v>0</v>
      </c>
      <c r="W9" s="235" t="e">
        <f t="shared" si="0"/>
        <v>#REF!</v>
      </c>
      <c r="X9" s="235" t="e">
        <f t="shared" si="0"/>
        <v>#REF!</v>
      </c>
      <c r="Y9" s="235" t="e">
        <f t="shared" si="0"/>
        <v>#REF!</v>
      </c>
      <c r="Z9" s="235" t="e">
        <f t="shared" si="0"/>
        <v>#REF!</v>
      </c>
      <c r="AA9" s="235" t="e">
        <f t="shared" si="0"/>
        <v>#REF!</v>
      </c>
      <c r="AB9" s="235" t="e">
        <f t="shared" si="0"/>
        <v>#REF!</v>
      </c>
      <c r="AC9" s="235" t="e">
        <f t="shared" si="0"/>
        <v>#REF!</v>
      </c>
      <c r="AD9" s="235" t="e">
        <f t="shared" si="0"/>
        <v>#REF!</v>
      </c>
      <c r="AE9" s="235" t="e">
        <f t="shared" si="0"/>
        <v>#REF!</v>
      </c>
      <c r="AF9" s="235" t="e">
        <f>SUM(AF2:AF8)</f>
        <v>#REF!</v>
      </c>
      <c r="AG9" s="235" t="e">
        <f>SUM(AG2:AG7)</f>
        <v>#REF!</v>
      </c>
      <c r="AH9" s="235" t="e">
        <f>SUM(AH2:AH7)</f>
        <v>#REF!</v>
      </c>
      <c r="AI9" s="235" t="e">
        <f>SUM(AI2:AI7)</f>
        <v>#REF!</v>
      </c>
      <c r="AJ9" s="248" t="e">
        <f>SUM(AJ2:AJ7)</f>
        <v>#REF!</v>
      </c>
      <c r="AK9" s="237" t="e">
        <f>SUM(D9:AJ9)</f>
        <v>#REF!</v>
      </c>
    </row>
    <row r="10" spans="2:37" x14ac:dyDescent="0.25">
      <c r="B10" s="53"/>
      <c r="C10" s="234"/>
      <c r="D10" s="235"/>
      <c r="E10" s="235"/>
      <c r="F10" s="235"/>
      <c r="G10" s="235"/>
      <c r="H10" s="235"/>
      <c r="I10" s="235"/>
      <c r="J10" s="235"/>
      <c r="K10" s="235"/>
      <c r="L10" s="235"/>
      <c r="M10" s="235"/>
      <c r="N10" s="235"/>
      <c r="O10" s="235"/>
      <c r="P10" s="235"/>
      <c r="Q10" s="235"/>
      <c r="R10" s="235"/>
      <c r="S10" s="235"/>
      <c r="T10" s="235"/>
      <c r="U10" s="235"/>
      <c r="V10" s="235"/>
      <c r="W10" s="235"/>
      <c r="X10" s="235"/>
      <c r="Y10" s="235"/>
      <c r="Z10" s="235"/>
      <c r="AA10" s="235"/>
      <c r="AB10" s="235"/>
      <c r="AC10" s="235"/>
      <c r="AD10" s="235"/>
      <c r="AE10" s="235"/>
      <c r="AF10" s="235"/>
      <c r="AG10" s="235"/>
      <c r="AH10" s="235"/>
      <c r="AI10" s="235"/>
      <c r="AJ10" s="248"/>
      <c r="AK10" s="237"/>
    </row>
    <row r="11" spans="2:37" x14ac:dyDescent="0.25">
      <c r="B11" s="53"/>
      <c r="C11" s="236" t="s">
        <v>1740</v>
      </c>
      <c r="D11" s="238" t="e">
        <f>SUM(MDB!#REF!)</f>
        <v>#REF!</v>
      </c>
      <c r="E11" s="238" t="e">
        <f>SUM(MDB!#REF!)</f>
        <v>#REF!</v>
      </c>
      <c r="F11" s="238" t="e">
        <f>SUM(MDB!#REF!)</f>
        <v>#REF!</v>
      </c>
      <c r="G11" s="238" t="e">
        <f>SUM(MDB!#REF!)</f>
        <v>#REF!</v>
      </c>
      <c r="H11" s="238" t="e">
        <f>SUM(MDB!#REF!)</f>
        <v>#REF!</v>
      </c>
      <c r="I11" s="238" t="e">
        <f>SUM(MDB!#REF!)</f>
        <v>#REF!</v>
      </c>
      <c r="J11" s="238" t="e">
        <f>SUM(MDB!#REF!)</f>
        <v>#REF!</v>
      </c>
      <c r="K11" s="238" t="e">
        <f>SUM(MDB!#REF!)</f>
        <v>#REF!</v>
      </c>
      <c r="L11" s="238" t="e">
        <f>SUM(MDB!#REF!)</f>
        <v>#REF!</v>
      </c>
      <c r="M11" s="238" t="e">
        <f>SUM(MDB!#REF!)</f>
        <v>#REF!</v>
      </c>
      <c r="N11" s="238" t="e">
        <f>SUM(MDB!#REF!)</f>
        <v>#REF!</v>
      </c>
      <c r="O11" s="238">
        <f>SUM(MDB!AJ5:AJ61)</f>
        <v>0</v>
      </c>
      <c r="P11" s="238">
        <f>SUM(MDB!AK5:AK61)</f>
        <v>0</v>
      </c>
      <c r="Q11" s="238">
        <f>SUM(MDB!AL5:AL61)</f>
        <v>0</v>
      </c>
      <c r="R11" s="238">
        <f>SUM(MDB!AM5:AM61)</f>
        <v>0</v>
      </c>
      <c r="S11" s="238">
        <f>SUM(MDB!AN5:AN61)</f>
        <v>0</v>
      </c>
      <c r="T11" s="238">
        <f>SUM(MDB!AO5:AO61)</f>
        <v>0</v>
      </c>
      <c r="U11" s="238">
        <f>SUM(MDB!AP5:AP61)</f>
        <v>0</v>
      </c>
      <c r="V11" s="238">
        <f>SUM(MDB!AQ5:AQ61)</f>
        <v>0</v>
      </c>
      <c r="W11" s="238">
        <f>SUM(MDB!AR5:AR61)</f>
        <v>0</v>
      </c>
      <c r="X11" s="238" t="e">
        <f>SUM(MDB!#REF!)</f>
        <v>#REF!</v>
      </c>
      <c r="Y11" s="238" t="e">
        <f>SUM(MDB!#REF!)</f>
        <v>#REF!</v>
      </c>
      <c r="Z11" s="238" t="e">
        <f>SUM(MDB!#REF!)</f>
        <v>#REF!</v>
      </c>
      <c r="AA11" s="238" t="e">
        <f>SUM(MDB!#REF!)</f>
        <v>#REF!</v>
      </c>
      <c r="AB11" s="238" t="e">
        <f>SUM(MDB!#REF!)</f>
        <v>#REF!</v>
      </c>
      <c r="AC11" s="238" t="e">
        <f>SUM(MDB!#REF!)</f>
        <v>#REF!</v>
      </c>
      <c r="AD11" s="238" t="e">
        <f>SUM(MDB!#REF!)</f>
        <v>#REF!</v>
      </c>
      <c r="AE11" s="238" t="e">
        <f>SUM(MDB!#REF!)</f>
        <v>#REF!</v>
      </c>
      <c r="AF11" s="238" t="e">
        <f>SUM(MDB!#REF!)</f>
        <v>#REF!</v>
      </c>
      <c r="AG11" s="238" t="e">
        <f>SUM(MDB!#REF!)</f>
        <v>#REF!</v>
      </c>
      <c r="AH11" s="238" t="e">
        <f>SUM(MDB!#REF!)</f>
        <v>#REF!</v>
      </c>
      <c r="AI11" s="238" t="e">
        <f>SUM(MDB!#REF!)</f>
        <v>#REF!</v>
      </c>
      <c r="AJ11" s="238">
        <f>SUM(MDB!AS5:AS61)</f>
        <v>0</v>
      </c>
      <c r="AK11" s="237"/>
    </row>
    <row r="12" spans="2:37" x14ac:dyDescent="0.25">
      <c r="B12" s="53"/>
      <c r="C12" s="234" t="s">
        <v>1741</v>
      </c>
      <c r="D12" s="234" t="e">
        <f>SUM(MDB!#REF!)</f>
        <v>#REF!</v>
      </c>
      <c r="E12" s="238" t="e">
        <f>SUM(MDB!#REF!)</f>
        <v>#REF!</v>
      </c>
      <c r="F12" s="238" t="e">
        <f>SUM(MDB!#REF!)</f>
        <v>#REF!</v>
      </c>
      <c r="G12" s="238" t="e">
        <f>SUM(MDB!#REF!)</f>
        <v>#REF!</v>
      </c>
      <c r="H12" s="234" t="e">
        <f>SUM(MDB!#REF!)</f>
        <v>#REF!</v>
      </c>
      <c r="I12" s="234" t="e">
        <f>SUM(MDB!#REF!)</f>
        <v>#REF!</v>
      </c>
      <c r="J12" s="234" t="e">
        <f>SUM(MDB!#REF!)</f>
        <v>#REF!</v>
      </c>
      <c r="K12" s="234" t="e">
        <f>SUM(MDB!#REF!)</f>
        <v>#REF!</v>
      </c>
      <c r="L12" s="234" t="e">
        <f>SUM(MDB!#REF!)</f>
        <v>#REF!</v>
      </c>
      <c r="M12" s="234" t="e">
        <f>SUM(MDB!#REF!)</f>
        <v>#REF!</v>
      </c>
      <c r="N12" s="238" t="e">
        <f>SUM(MDB!#REF!)</f>
        <v>#REF!</v>
      </c>
      <c r="O12" s="234">
        <f>SUM(MDB!AJ68:AJ121)</f>
        <v>0</v>
      </c>
      <c r="P12" s="238">
        <f>SUM(MDB!AK6:AK61)</f>
        <v>0</v>
      </c>
      <c r="Q12" s="238">
        <f>SUM(MDB!AL6:AL61)</f>
        <v>0</v>
      </c>
      <c r="R12" s="238">
        <f>SUM(MDB!AM6:AM61)</f>
        <v>0</v>
      </c>
      <c r="S12" s="238">
        <f>SUM(MDB!AN6:AN61)</f>
        <v>0</v>
      </c>
      <c r="T12" s="238">
        <f>SUM(MDB!AO6:AO61)</f>
        <v>0</v>
      </c>
      <c r="U12" s="238">
        <f>SUM(MDB!AP6:AP61)</f>
        <v>0</v>
      </c>
      <c r="V12" s="238">
        <f>SUM(MDB!AQ6:AQ61)</f>
        <v>0</v>
      </c>
      <c r="W12" s="238">
        <f>SUM(MDB!AR6:AR61)</f>
        <v>0</v>
      </c>
      <c r="X12" s="238" t="e">
        <f>SUM(MDB!#REF!)</f>
        <v>#REF!</v>
      </c>
      <c r="Y12" s="238" t="e">
        <f>SUM(MDB!#REF!)</f>
        <v>#REF!</v>
      </c>
      <c r="Z12" s="238" t="e">
        <f>SUM(MDB!#REF!)</f>
        <v>#REF!</v>
      </c>
      <c r="AA12" s="238" t="e">
        <f>SUM(MDB!#REF!)</f>
        <v>#REF!</v>
      </c>
      <c r="AB12" s="238" t="e">
        <f>SUM(MDB!#REF!)</f>
        <v>#REF!</v>
      </c>
      <c r="AC12" s="238" t="e">
        <f>SUM(MDB!#REF!)</f>
        <v>#REF!</v>
      </c>
      <c r="AD12" s="238" t="e">
        <f>SUM(MDB!#REF!)</f>
        <v>#REF!</v>
      </c>
      <c r="AE12" s="238" t="e">
        <f>SUM(MDB!#REF!)</f>
        <v>#REF!</v>
      </c>
      <c r="AF12" s="238" t="e">
        <f>SUM(MDB!#REF!)</f>
        <v>#REF!</v>
      </c>
      <c r="AG12" s="238" t="e">
        <f>SUM(MDB!#REF!)</f>
        <v>#REF!</v>
      </c>
      <c r="AH12" s="238" t="e">
        <f>SUM(MDB!#REF!)</f>
        <v>#REF!</v>
      </c>
      <c r="AI12" s="238" t="e">
        <f>SUM(MDB!#REF!)</f>
        <v>#REF!</v>
      </c>
      <c r="AJ12" s="238">
        <f>SUM(MDB!AS6:AS61)</f>
        <v>0</v>
      </c>
      <c r="AK12" s="237"/>
    </row>
    <row r="13" spans="2:37" x14ac:dyDescent="0.25">
      <c r="B13" s="53"/>
      <c r="C13" s="234" t="s">
        <v>1742</v>
      </c>
      <c r="D13" s="234" t="e">
        <f>SUM(MDB!#REF!)</f>
        <v>#REF!</v>
      </c>
      <c r="E13" s="238" t="e">
        <f>SUM(MDB!#REF!)</f>
        <v>#REF!</v>
      </c>
      <c r="F13" s="238" t="e">
        <f>SUM(MDB!#REF!)</f>
        <v>#REF!</v>
      </c>
      <c r="G13" s="238" t="e">
        <f>SUM(MDB!#REF!)</f>
        <v>#REF!</v>
      </c>
      <c r="H13" s="234" t="e">
        <f>SUM(MDB!#REF!)</f>
        <v>#REF!</v>
      </c>
      <c r="I13" s="234" t="e">
        <f>SUM(MDB!#REF!)</f>
        <v>#REF!</v>
      </c>
      <c r="J13" s="234" t="e">
        <f>SUM(MDB!#REF!)</f>
        <v>#REF!</v>
      </c>
      <c r="K13" s="234" t="e">
        <f>SUM(MDB!#REF!)</f>
        <v>#REF!</v>
      </c>
      <c r="L13" s="234" t="e">
        <f>SUM(MDB!#REF!)</f>
        <v>#REF!</v>
      </c>
      <c r="M13" s="234" t="e">
        <f>SUM(MDB!#REF!)</f>
        <v>#REF!</v>
      </c>
      <c r="N13" s="238" t="e">
        <f>SUM(MDB!#REF!)</f>
        <v>#REF!</v>
      </c>
      <c r="O13" s="234">
        <f>SUM(MDB!AJ157:AJ177)</f>
        <v>0</v>
      </c>
      <c r="P13" s="238">
        <f>SUM(MDB!AK7:AK61)</f>
        <v>0</v>
      </c>
      <c r="Q13" s="238">
        <f>SUM(MDB!AL7:AL61)</f>
        <v>0</v>
      </c>
      <c r="R13" s="238">
        <f>SUM(MDB!AM7:AM61)</f>
        <v>0</v>
      </c>
      <c r="S13" s="238">
        <f>SUM(MDB!AN7:AN61)</f>
        <v>0</v>
      </c>
      <c r="T13" s="238">
        <f>SUM(MDB!AO7:AO61)</f>
        <v>0</v>
      </c>
      <c r="U13" s="238">
        <f>SUM(MDB!AP7:AP61)</f>
        <v>0</v>
      </c>
      <c r="V13" s="238">
        <f>SUM(MDB!AQ7:AQ61)</f>
        <v>0</v>
      </c>
      <c r="W13" s="238">
        <f>SUM(MDB!AR7:AR61)</f>
        <v>0</v>
      </c>
      <c r="X13" s="238" t="e">
        <f>SUM(MDB!#REF!)</f>
        <v>#REF!</v>
      </c>
      <c r="Y13" s="238" t="e">
        <f>SUM(MDB!#REF!)</f>
        <v>#REF!</v>
      </c>
      <c r="Z13" s="238" t="e">
        <f>SUM(MDB!#REF!)</f>
        <v>#REF!</v>
      </c>
      <c r="AA13" s="238" t="e">
        <f>SUM(MDB!#REF!)</f>
        <v>#REF!</v>
      </c>
      <c r="AB13" s="238" t="e">
        <f>SUM(MDB!#REF!)</f>
        <v>#REF!</v>
      </c>
      <c r="AC13" s="238" t="e">
        <f>SUM(MDB!#REF!)</f>
        <v>#REF!</v>
      </c>
      <c r="AD13" s="238" t="e">
        <f>SUM(MDB!#REF!)</f>
        <v>#REF!</v>
      </c>
      <c r="AE13" s="238" t="e">
        <f>SUM(MDB!#REF!)</f>
        <v>#REF!</v>
      </c>
      <c r="AF13" s="238" t="e">
        <f>SUM(MDB!#REF!)</f>
        <v>#REF!</v>
      </c>
      <c r="AG13" s="238" t="e">
        <f>SUM(MDB!#REF!)</f>
        <v>#REF!</v>
      </c>
      <c r="AH13" s="238" t="e">
        <f>SUM(MDB!#REF!)</f>
        <v>#REF!</v>
      </c>
      <c r="AI13" s="238" t="e">
        <f>SUM(MDB!#REF!)</f>
        <v>#REF!</v>
      </c>
      <c r="AJ13" s="238">
        <f>SUM(MDB!AS7:AS61)</f>
        <v>0</v>
      </c>
      <c r="AK13" s="237"/>
    </row>
    <row r="14" spans="2:37" x14ac:dyDescent="0.25">
      <c r="B14" s="53"/>
      <c r="C14" s="234" t="s">
        <v>1743</v>
      </c>
      <c r="D14" s="234" t="e">
        <f>SUM(MDB!#REF!)</f>
        <v>#REF!</v>
      </c>
      <c r="E14" s="238" t="e">
        <f>SUM(MDB!#REF!)</f>
        <v>#REF!</v>
      </c>
      <c r="F14" s="238" t="e">
        <f>SUM(MDB!#REF!)</f>
        <v>#REF!</v>
      </c>
      <c r="G14" s="238" t="e">
        <f>SUM(MDB!#REF!)</f>
        <v>#REF!</v>
      </c>
      <c r="H14" s="234" t="e">
        <f>SUM(MDB!#REF!)</f>
        <v>#REF!</v>
      </c>
      <c r="I14" s="234" t="e">
        <f>SUM(MDB!#REF!)</f>
        <v>#REF!</v>
      </c>
      <c r="J14" s="234" t="e">
        <f>SUM(MDB!#REF!)</f>
        <v>#REF!</v>
      </c>
      <c r="K14" s="234" t="e">
        <f>SUM(MDB!#REF!)</f>
        <v>#REF!</v>
      </c>
      <c r="L14" s="234" t="e">
        <f>SUM(MDB!#REF!)</f>
        <v>#REF!</v>
      </c>
      <c r="M14" s="234" t="e">
        <f>SUM(MDB!#REF!)</f>
        <v>#REF!</v>
      </c>
      <c r="N14" s="238" t="e">
        <f>SUM(MDB!#REF!)</f>
        <v>#REF!</v>
      </c>
      <c r="O14" s="234">
        <f>SUM(MDB!AJ312:AJ347)</f>
        <v>0</v>
      </c>
      <c r="P14" s="238">
        <f>SUM(MDB!AK8:AK68)</f>
        <v>0</v>
      </c>
      <c r="Q14" s="238">
        <f>SUM(MDB!AL8:AL68)</f>
        <v>0</v>
      </c>
      <c r="R14" s="238">
        <f>SUM(MDB!AM8:AM68)</f>
        <v>0</v>
      </c>
      <c r="S14" s="238">
        <f>SUM(MDB!AN8:AN68)</f>
        <v>0</v>
      </c>
      <c r="T14" s="238">
        <f>SUM(MDB!AO8:AO68)</f>
        <v>0</v>
      </c>
      <c r="U14" s="238">
        <f>SUM(MDB!AP8:AP68)</f>
        <v>0</v>
      </c>
      <c r="V14" s="238">
        <f>SUM(MDB!AQ8:AQ68)</f>
        <v>0</v>
      </c>
      <c r="W14" s="238">
        <f>SUM(MDB!AR8:AR68)</f>
        <v>0</v>
      </c>
      <c r="X14" s="238" t="e">
        <f>SUM(MDB!#REF!)</f>
        <v>#REF!</v>
      </c>
      <c r="Y14" s="238" t="e">
        <f>SUM(MDB!#REF!)</f>
        <v>#REF!</v>
      </c>
      <c r="Z14" s="238" t="e">
        <f>SUM(MDB!#REF!)</f>
        <v>#REF!</v>
      </c>
      <c r="AA14" s="238" t="e">
        <f>SUM(MDB!#REF!)</f>
        <v>#REF!</v>
      </c>
      <c r="AB14" s="238" t="e">
        <f>SUM(MDB!#REF!)</f>
        <v>#REF!</v>
      </c>
      <c r="AC14" s="238" t="e">
        <f>SUM(MDB!#REF!)</f>
        <v>#REF!</v>
      </c>
      <c r="AD14" s="238" t="e">
        <f>SUM(MDB!#REF!)</f>
        <v>#REF!</v>
      </c>
      <c r="AE14" s="238" t="e">
        <f>SUM(MDB!#REF!)</f>
        <v>#REF!</v>
      </c>
      <c r="AF14" s="238" t="e">
        <f>SUM(MDB!#REF!)</f>
        <v>#REF!</v>
      </c>
      <c r="AG14" s="238" t="e">
        <f>SUM(MDB!#REF!)</f>
        <v>#REF!</v>
      </c>
      <c r="AH14" s="238" t="e">
        <f>SUM(MDB!#REF!)</f>
        <v>#REF!</v>
      </c>
      <c r="AI14" s="238" t="e">
        <f>SUM(MDB!#REF!)</f>
        <v>#REF!</v>
      </c>
      <c r="AJ14" s="238">
        <f>SUM(MDB!AS8:AS68)</f>
        <v>0</v>
      </c>
      <c r="AK14" s="237"/>
    </row>
    <row r="15" spans="2:37" x14ac:dyDescent="0.25">
      <c r="B15" s="53"/>
      <c r="C15" s="234" t="s">
        <v>1744</v>
      </c>
      <c r="D15" s="234" t="e">
        <f>SUM(MDB!#REF!)</f>
        <v>#REF!</v>
      </c>
      <c r="E15" s="238" t="e">
        <f>SUM(MDB!#REF!)</f>
        <v>#REF!</v>
      </c>
      <c r="F15" s="238" t="e">
        <f>SUM(MDB!#REF!)</f>
        <v>#REF!</v>
      </c>
      <c r="G15" s="238" t="e">
        <f>SUM(MDB!#REF!)</f>
        <v>#REF!</v>
      </c>
      <c r="H15" s="236" t="e">
        <f>SUM(MDB!#REF!)</f>
        <v>#REF!</v>
      </c>
      <c r="I15" s="236" t="e">
        <f>SUM(MDB!#REF!)</f>
        <v>#REF!</v>
      </c>
      <c r="J15" s="236" t="e">
        <f>SUM(MDB!#REF!)</f>
        <v>#REF!</v>
      </c>
      <c r="K15" s="236" t="e">
        <f>SUM(MDB!#REF!)</f>
        <v>#REF!</v>
      </c>
      <c r="L15" s="236" t="e">
        <f>SUM(MDB!#REF!)</f>
        <v>#REF!</v>
      </c>
      <c r="M15" s="236" t="e">
        <f>SUM(MDB!#REF!)</f>
        <v>#REF!</v>
      </c>
      <c r="N15" s="238" t="e">
        <f>SUM(MDB!#REF!)</f>
        <v>#REF!</v>
      </c>
      <c r="O15" s="236">
        <v>0</v>
      </c>
      <c r="P15" s="238">
        <f>SUM(MDB!AK9:AK69)</f>
        <v>0</v>
      </c>
      <c r="Q15" s="238">
        <f>SUM(MDB!AL9:AL69)</f>
        <v>0</v>
      </c>
      <c r="R15" s="238">
        <f>SUM(MDB!AM9:AM69)</f>
        <v>0</v>
      </c>
      <c r="S15" s="238">
        <f>SUM(MDB!AN9:AN69)</f>
        <v>0</v>
      </c>
      <c r="T15" s="238">
        <f>SUM(MDB!AO9:AO69)</f>
        <v>0</v>
      </c>
      <c r="U15" s="238">
        <f>SUM(MDB!AP9:AP69)</f>
        <v>0</v>
      </c>
      <c r="V15" s="238">
        <f>SUM(MDB!AQ9:AQ69)</f>
        <v>0</v>
      </c>
      <c r="W15" s="238">
        <f>SUM(MDB!AR9:AR69)</f>
        <v>0</v>
      </c>
      <c r="X15" s="238" t="e">
        <f>SUM(MDB!#REF!)</f>
        <v>#REF!</v>
      </c>
      <c r="Y15" s="238" t="e">
        <f>SUM(MDB!#REF!)</f>
        <v>#REF!</v>
      </c>
      <c r="Z15" s="238" t="e">
        <f>SUM(MDB!#REF!)</f>
        <v>#REF!</v>
      </c>
      <c r="AA15" s="238" t="e">
        <f>SUM(MDB!#REF!)</f>
        <v>#REF!</v>
      </c>
      <c r="AB15" s="238" t="e">
        <f>SUM(MDB!#REF!)</f>
        <v>#REF!</v>
      </c>
      <c r="AC15" s="238" t="e">
        <f>SUM(MDB!#REF!)</f>
        <v>#REF!</v>
      </c>
      <c r="AD15" s="238" t="e">
        <f>SUM(MDB!#REF!)</f>
        <v>#REF!</v>
      </c>
      <c r="AE15" s="238" t="e">
        <f>SUM(MDB!#REF!)</f>
        <v>#REF!</v>
      </c>
      <c r="AF15" s="238" t="e">
        <f>SUM(MDB!#REF!)</f>
        <v>#REF!</v>
      </c>
      <c r="AG15" s="238" t="e">
        <f>SUM(MDB!#REF!)</f>
        <v>#REF!</v>
      </c>
      <c r="AH15" s="238" t="e">
        <f>SUM(MDB!#REF!)</f>
        <v>#REF!</v>
      </c>
      <c r="AI15" s="238" t="e">
        <f>SUM(MDB!#REF!)</f>
        <v>#REF!</v>
      </c>
      <c r="AJ15" s="238">
        <f>SUM(MDB!AS9:AS69)</f>
        <v>0</v>
      </c>
      <c r="AK15" s="237"/>
    </row>
    <row r="16" spans="2:37" x14ac:dyDescent="0.25">
      <c r="B16" s="53"/>
      <c r="C16" s="234" t="s">
        <v>1745</v>
      </c>
      <c r="D16" s="234" t="e">
        <f>SUM(MDB!#REF!)</f>
        <v>#REF!</v>
      </c>
      <c r="E16" s="234" t="e">
        <f>SUM(MDB!#REF!)</f>
        <v>#REF!</v>
      </c>
      <c r="F16" s="234" t="e">
        <f>SUM(MDB!#REF!)</f>
        <v>#REF!</v>
      </c>
      <c r="G16" s="234" t="e">
        <f>SUM(MDB!#REF!)</f>
        <v>#REF!</v>
      </c>
      <c r="H16" s="234" t="e">
        <f>SUM(MDB!#REF!)</f>
        <v>#REF!</v>
      </c>
      <c r="I16" s="234" t="e">
        <f>SUM(MDB!#REF!)</f>
        <v>#REF!</v>
      </c>
      <c r="J16" s="234" t="e">
        <f>SUM(MDB!#REF!)</f>
        <v>#REF!</v>
      </c>
      <c r="K16" s="234" t="e">
        <f>SUM(MDB!#REF!)</f>
        <v>#REF!</v>
      </c>
      <c r="L16" s="234" t="e">
        <f>SUM(MDB!#REF!)</f>
        <v>#REF!</v>
      </c>
      <c r="M16" s="234" t="e">
        <f>SUM(MDB!#REF!)</f>
        <v>#REF!</v>
      </c>
      <c r="N16" s="236" t="e">
        <f>SUM(MDB!#REF!)</f>
        <v>#REF!</v>
      </c>
      <c r="O16" s="236">
        <f>SUM(MDB!AJ513:AJ534)</f>
        <v>0</v>
      </c>
      <c r="P16" s="238">
        <f>SUM(MDB!AK10:AK70)</f>
        <v>0</v>
      </c>
      <c r="Q16" s="238">
        <f>SUM(MDB!AL10:AL70)</f>
        <v>0</v>
      </c>
      <c r="R16" s="238">
        <f>SUM(MDB!AM10:AM70)</f>
        <v>0</v>
      </c>
      <c r="S16" s="238">
        <f>SUM(MDB!AN10:AN70)</f>
        <v>0</v>
      </c>
      <c r="T16" s="238">
        <f>SUM(MDB!AO10:AO70)</f>
        <v>0</v>
      </c>
      <c r="U16" s="238">
        <f>SUM(MDB!AP10:AP70)</f>
        <v>0</v>
      </c>
      <c r="V16" s="238">
        <f>SUM(MDB!AQ10:AQ70)</f>
        <v>0</v>
      </c>
      <c r="W16" s="238">
        <f>SUM(MDB!AR10:AR70)</f>
        <v>0</v>
      </c>
      <c r="X16" s="238" t="e">
        <f>SUM(MDB!#REF!)</f>
        <v>#REF!</v>
      </c>
      <c r="Y16" s="238" t="e">
        <f>SUM(MDB!#REF!)</f>
        <v>#REF!</v>
      </c>
      <c r="Z16" s="238" t="e">
        <f>SUM(MDB!#REF!)</f>
        <v>#REF!</v>
      </c>
      <c r="AA16" s="238" t="e">
        <f>SUM(MDB!#REF!)</f>
        <v>#REF!</v>
      </c>
      <c r="AB16" s="238" t="e">
        <f>SUM(MDB!#REF!)</f>
        <v>#REF!</v>
      </c>
      <c r="AC16" s="238" t="e">
        <f>SUM(MDB!#REF!)</f>
        <v>#REF!</v>
      </c>
      <c r="AD16" s="238" t="e">
        <f>SUM(MDB!#REF!)</f>
        <v>#REF!</v>
      </c>
      <c r="AE16" s="238" t="e">
        <f>SUM(MDB!#REF!)</f>
        <v>#REF!</v>
      </c>
      <c r="AF16" s="238" t="e">
        <f>SUM(MDB!#REF!)</f>
        <v>#REF!</v>
      </c>
      <c r="AG16" s="238" t="e">
        <f>SUM(MDB!#REF!)</f>
        <v>#REF!</v>
      </c>
      <c r="AH16" s="238" t="e">
        <f>SUM(MDB!#REF!)</f>
        <v>#REF!</v>
      </c>
      <c r="AI16" s="238" t="e">
        <f>SUM(MDB!#REF!)</f>
        <v>#REF!</v>
      </c>
      <c r="AJ16" s="238">
        <f>SUM(MDB!AS10:AS70)</f>
        <v>0</v>
      </c>
      <c r="AK16" s="237"/>
    </row>
    <row r="17" spans="2:37" x14ac:dyDescent="0.25">
      <c r="B17" s="53"/>
      <c r="C17" s="234" t="s">
        <v>1746</v>
      </c>
      <c r="D17" s="234" t="e">
        <f>SUM(MDB!#REF!)</f>
        <v>#REF!</v>
      </c>
      <c r="E17" s="234" t="e">
        <f>SUM(MDB!#REF!)</f>
        <v>#REF!</v>
      </c>
      <c r="F17" s="234" t="e">
        <f>SUM(MDB!#REF!)</f>
        <v>#REF!</v>
      </c>
      <c r="G17" s="234" t="e">
        <f>SUM(MDB!#REF!)</f>
        <v>#REF!</v>
      </c>
      <c r="H17" s="234" t="e">
        <f>SUM(MDB!#REF!)</f>
        <v>#REF!</v>
      </c>
      <c r="I17" s="234" t="e">
        <f>SUM(MDB!#REF!)</f>
        <v>#REF!</v>
      </c>
      <c r="J17" s="234" t="e">
        <f>SUM(MDB!#REF!)</f>
        <v>#REF!</v>
      </c>
      <c r="K17" s="234" t="e">
        <f>SUM(MDB!#REF!)</f>
        <v>#REF!</v>
      </c>
      <c r="L17" s="234" t="e">
        <f>SUM(MDB!#REF!)</f>
        <v>#REF!</v>
      </c>
      <c r="M17" s="234" t="e">
        <f>SUM(MDB!#REF!)</f>
        <v>#REF!</v>
      </c>
      <c r="N17" s="236">
        <v>0</v>
      </c>
      <c r="O17" s="236">
        <v>0</v>
      </c>
      <c r="P17" s="238">
        <f>SUM(MDB!AK11:AK71)</f>
        <v>0</v>
      </c>
      <c r="Q17" s="238">
        <f>SUM(MDB!AL11:AL71)</f>
        <v>0</v>
      </c>
      <c r="R17" s="238">
        <f>SUM(MDB!AM11:AM71)</f>
        <v>0</v>
      </c>
      <c r="S17" s="238">
        <f>SUM(MDB!AN11:AN71)</f>
        <v>0</v>
      </c>
      <c r="T17" s="238">
        <f>SUM(MDB!AO11:AO71)</f>
        <v>0</v>
      </c>
      <c r="U17" s="238">
        <f>SUM(MDB!AP11:AP71)</f>
        <v>0</v>
      </c>
      <c r="V17" s="238">
        <f>SUM(MDB!AQ11:AQ71)</f>
        <v>0</v>
      </c>
      <c r="W17" s="238">
        <f>SUM(MDB!AR11:AR71)</f>
        <v>0</v>
      </c>
      <c r="X17" s="238" t="e">
        <f>SUM(MDB!#REF!)</f>
        <v>#REF!</v>
      </c>
      <c r="Y17" s="238" t="e">
        <f>SUM(MDB!#REF!)</f>
        <v>#REF!</v>
      </c>
      <c r="Z17" s="238" t="e">
        <f>SUM(MDB!#REF!)</f>
        <v>#REF!</v>
      </c>
      <c r="AA17" s="238" t="e">
        <f>SUM(MDB!#REF!)</f>
        <v>#REF!</v>
      </c>
      <c r="AB17" s="238" t="e">
        <f>SUM(MDB!#REF!)</f>
        <v>#REF!</v>
      </c>
      <c r="AC17" s="238" t="e">
        <f>SUM(MDB!#REF!)</f>
        <v>#REF!</v>
      </c>
      <c r="AD17" s="238" t="e">
        <f>SUM(MDB!#REF!)</f>
        <v>#REF!</v>
      </c>
      <c r="AE17" s="238" t="e">
        <f>SUM(MDB!#REF!)</f>
        <v>#REF!</v>
      </c>
      <c r="AF17" s="238" t="e">
        <f>SUM(MDB!#REF!)</f>
        <v>#REF!</v>
      </c>
      <c r="AG17" s="238" t="e">
        <f>SUM(MDB!#REF!)</f>
        <v>#REF!</v>
      </c>
      <c r="AH17" s="238" t="e">
        <f>SUM(MDB!#REF!)</f>
        <v>#REF!</v>
      </c>
      <c r="AI17" s="238" t="e">
        <f>SUM(MDB!#REF!)</f>
        <v>#REF!</v>
      </c>
      <c r="AJ17" s="238">
        <f>SUM(MDB!AS11:AS71)</f>
        <v>0</v>
      </c>
      <c r="AK17" s="237"/>
    </row>
    <row r="18" spans="2:37" x14ac:dyDescent="0.25">
      <c r="B18" s="53"/>
      <c r="C18" s="237" t="s">
        <v>1747</v>
      </c>
      <c r="D18" s="237" t="e">
        <f t="shared" ref="D18:AJ18" si="1">SUM(D11:D17)</f>
        <v>#REF!</v>
      </c>
      <c r="E18" s="237" t="e">
        <f t="shared" si="1"/>
        <v>#REF!</v>
      </c>
      <c r="F18" s="237" t="e">
        <f t="shared" si="1"/>
        <v>#REF!</v>
      </c>
      <c r="G18" s="237" t="e">
        <f t="shared" si="1"/>
        <v>#REF!</v>
      </c>
      <c r="H18" s="237" t="e">
        <f t="shared" si="1"/>
        <v>#REF!</v>
      </c>
      <c r="I18" s="237" t="e">
        <f t="shared" si="1"/>
        <v>#REF!</v>
      </c>
      <c r="J18" s="237" t="e">
        <f t="shared" si="1"/>
        <v>#REF!</v>
      </c>
      <c r="K18" s="237" t="e">
        <f t="shared" si="1"/>
        <v>#REF!</v>
      </c>
      <c r="L18" s="237" t="e">
        <f t="shared" si="1"/>
        <v>#REF!</v>
      </c>
      <c r="M18" s="237" t="e">
        <f t="shared" si="1"/>
        <v>#REF!</v>
      </c>
      <c r="N18" s="237" t="e">
        <f t="shared" si="1"/>
        <v>#REF!</v>
      </c>
      <c r="O18" s="237">
        <f t="shared" si="1"/>
        <v>0</v>
      </c>
      <c r="P18" s="237">
        <f t="shared" si="1"/>
        <v>0</v>
      </c>
      <c r="Q18" s="237">
        <f t="shared" si="1"/>
        <v>0</v>
      </c>
      <c r="R18" s="237">
        <f t="shared" si="1"/>
        <v>0</v>
      </c>
      <c r="S18" s="237">
        <f t="shared" si="1"/>
        <v>0</v>
      </c>
      <c r="T18" s="237">
        <f t="shared" si="1"/>
        <v>0</v>
      </c>
      <c r="U18" s="237">
        <f t="shared" si="1"/>
        <v>0</v>
      </c>
      <c r="V18" s="237">
        <f t="shared" si="1"/>
        <v>0</v>
      </c>
      <c r="W18" s="237">
        <f t="shared" si="1"/>
        <v>0</v>
      </c>
      <c r="X18" s="237" t="e">
        <f t="shared" si="1"/>
        <v>#REF!</v>
      </c>
      <c r="Y18" s="237" t="e">
        <f t="shared" si="1"/>
        <v>#REF!</v>
      </c>
      <c r="Z18" s="237" t="e">
        <f t="shared" si="1"/>
        <v>#REF!</v>
      </c>
      <c r="AA18" s="237" t="e">
        <f t="shared" si="1"/>
        <v>#REF!</v>
      </c>
      <c r="AB18" s="237" t="e">
        <f t="shared" si="1"/>
        <v>#REF!</v>
      </c>
      <c r="AC18" s="237" t="e">
        <f t="shared" si="1"/>
        <v>#REF!</v>
      </c>
      <c r="AD18" s="237" t="e">
        <f t="shared" si="1"/>
        <v>#REF!</v>
      </c>
      <c r="AE18" s="237" t="e">
        <f t="shared" si="1"/>
        <v>#REF!</v>
      </c>
      <c r="AF18" s="237" t="e">
        <f t="shared" si="1"/>
        <v>#REF!</v>
      </c>
      <c r="AG18" s="237" t="e">
        <f t="shared" si="1"/>
        <v>#REF!</v>
      </c>
      <c r="AH18" s="237" t="e">
        <f t="shared" si="1"/>
        <v>#REF!</v>
      </c>
      <c r="AI18" s="237" t="e">
        <f t="shared" si="1"/>
        <v>#REF!</v>
      </c>
      <c r="AJ18" s="237">
        <f t="shared" si="1"/>
        <v>0</v>
      </c>
      <c r="AK18" s="237" t="e">
        <f>SUM(D18:AJ18)</f>
        <v>#REF!</v>
      </c>
    </row>
    <row r="19" spans="2:37" x14ac:dyDescent="0.25">
      <c r="B19" s="53"/>
      <c r="C19" s="234"/>
      <c r="D19" s="237"/>
      <c r="E19" s="237"/>
      <c r="F19" s="237"/>
      <c r="G19" s="237"/>
      <c r="H19" s="237"/>
      <c r="I19" s="237"/>
      <c r="J19" s="237"/>
      <c r="K19" s="237"/>
      <c r="L19" s="237"/>
      <c r="M19" s="237"/>
      <c r="N19" s="237"/>
      <c r="O19" s="237"/>
      <c r="P19" s="237"/>
      <c r="Q19" s="237"/>
      <c r="R19" s="237"/>
      <c r="S19" s="237"/>
      <c r="T19" s="237"/>
      <c r="U19" s="237"/>
      <c r="V19" s="237"/>
      <c r="W19" s="237"/>
      <c r="X19" s="237"/>
      <c r="Y19" s="237"/>
      <c r="Z19" s="237"/>
      <c r="AA19" s="237"/>
      <c r="AB19" s="237"/>
      <c r="AC19" s="237"/>
      <c r="AD19" s="237"/>
      <c r="AE19" s="237"/>
      <c r="AF19" s="237"/>
      <c r="AG19" s="237"/>
      <c r="AH19" s="237"/>
      <c r="AI19" s="237"/>
      <c r="AJ19" s="249"/>
      <c r="AK19" s="237"/>
    </row>
    <row r="20" spans="2:37" x14ac:dyDescent="0.25">
      <c r="B20" s="53"/>
      <c r="C20" s="234" t="s">
        <v>1748</v>
      </c>
      <c r="D20" s="234" t="e">
        <f>SUM(MDB!#REF!)</f>
        <v>#REF!</v>
      </c>
      <c r="E20" s="234" t="e">
        <f>SUM(MDB!#REF!)</f>
        <v>#REF!</v>
      </c>
      <c r="F20" s="234" t="e">
        <f>SUM(MDB!#REF!)</f>
        <v>#REF!</v>
      </c>
      <c r="G20" s="234" t="e">
        <f>SUM(MDB!#REF!)</f>
        <v>#REF!</v>
      </c>
      <c r="H20" s="234" t="e">
        <f>SUM(MDB!#REF!)</f>
        <v>#REF!</v>
      </c>
      <c r="I20" s="234" t="e">
        <f>SUM(MDB!#REF!)</f>
        <v>#REF!</v>
      </c>
      <c r="J20" s="234" t="e">
        <f>SUM(MDB!#REF!)</f>
        <v>#REF!</v>
      </c>
      <c r="K20" s="234" t="e">
        <f>SUM(MDB!#REF!)</f>
        <v>#REF!</v>
      </c>
      <c r="L20" s="234" t="e">
        <f>SUM(MDB!#REF!)</f>
        <v>#REF!</v>
      </c>
      <c r="M20" s="234" t="e">
        <f>SUM(MDB!#REF!)</f>
        <v>#REF!</v>
      </c>
      <c r="N20" s="234" t="e">
        <f>SUM(MDB!#REF!)</f>
        <v>#REF!</v>
      </c>
      <c r="O20" s="234">
        <f>SUM(MDB!AJ178:AJ292)</f>
        <v>0</v>
      </c>
      <c r="P20" s="234">
        <f>SUM(MDB!AK178:AK292)</f>
        <v>0</v>
      </c>
      <c r="Q20" s="234">
        <f>SUM(MDB!AL178:AL292)</f>
        <v>0</v>
      </c>
      <c r="R20" s="234">
        <f>SUM(MDB!AM178:AM292)</f>
        <v>0</v>
      </c>
      <c r="S20" s="234">
        <f>SUM(MDB!AN178:AN292)</f>
        <v>0</v>
      </c>
      <c r="T20" s="234">
        <f>SUM(MDB!AO178:AO292)</f>
        <v>0</v>
      </c>
      <c r="U20" s="234">
        <f>SUM(MDB!AP178:AP292)</f>
        <v>0</v>
      </c>
      <c r="V20" s="234">
        <f>SUM(MDB!AQ178:AQ292)</f>
        <v>0</v>
      </c>
      <c r="W20" s="234">
        <f>SUM(MDB!AR178:AR292)</f>
        <v>0</v>
      </c>
      <c r="X20" s="234" t="e">
        <f>SUM(MDB!#REF!)</f>
        <v>#REF!</v>
      </c>
      <c r="Y20" s="234" t="e">
        <f>SUM(MDB!#REF!)</f>
        <v>#REF!</v>
      </c>
      <c r="Z20" s="234" t="e">
        <f>SUM(MDB!#REF!)</f>
        <v>#REF!</v>
      </c>
      <c r="AA20" s="234" t="e">
        <f>SUM(MDB!#REF!)</f>
        <v>#REF!</v>
      </c>
      <c r="AB20" s="234" t="e">
        <f>SUM(MDB!#REF!)</f>
        <v>#REF!</v>
      </c>
      <c r="AC20" s="234" t="e">
        <f>SUM(MDB!#REF!)</f>
        <v>#REF!</v>
      </c>
      <c r="AD20" s="234" t="e">
        <f>SUM(MDB!#REF!)</f>
        <v>#REF!</v>
      </c>
      <c r="AE20" s="234" t="e">
        <f>SUM(MDB!#REF!)</f>
        <v>#REF!</v>
      </c>
      <c r="AF20" s="234" t="e">
        <f>SUM(MDB!#REF!)</f>
        <v>#REF!</v>
      </c>
      <c r="AG20" s="234" t="e">
        <f>SUM(MDB!#REF!)</f>
        <v>#REF!</v>
      </c>
      <c r="AH20" s="234" t="e">
        <f>SUM(MDB!#REF!)</f>
        <v>#REF!</v>
      </c>
      <c r="AI20" s="234" t="e">
        <f>SUM(MDB!#REF!)</f>
        <v>#REF!</v>
      </c>
      <c r="AJ20" s="234">
        <f>SUM(MDB!AS178:AS292)</f>
        <v>0</v>
      </c>
      <c r="AK20" s="237"/>
    </row>
    <row r="21" spans="2:37" x14ac:dyDescent="0.25">
      <c r="B21" s="53"/>
      <c r="C21" s="234" t="s">
        <v>1749</v>
      </c>
      <c r="D21" s="234" t="e">
        <f>SUM(MDB!#REF!)+SUM(MDB!#REF!)</f>
        <v>#REF!</v>
      </c>
      <c r="E21" s="234" t="e">
        <f>SUM(MDB!#REF!)+SUM(MDB!#REF!)</f>
        <v>#REF!</v>
      </c>
      <c r="F21" s="234" t="e">
        <f>SUM(MDB!#REF!)+SUM(MDB!#REF!)</f>
        <v>#REF!</v>
      </c>
      <c r="G21" s="234" t="e">
        <f>SUM(MDB!#REF!)+SUM(MDB!#REF!)</f>
        <v>#REF!</v>
      </c>
      <c r="H21" s="234" t="e">
        <f>SUM(MDB!#REF!)+SUM(MDB!#REF!)</f>
        <v>#REF!</v>
      </c>
      <c r="I21" s="234" t="e">
        <f>SUM(MDB!#REF!)+SUM(MDB!#REF!)</f>
        <v>#REF!</v>
      </c>
      <c r="J21" s="234" t="e">
        <f>SUM(MDB!#REF!)</f>
        <v>#REF!</v>
      </c>
      <c r="K21" s="234" t="e">
        <f>SUM(MDB!#REF!)+SUM(MDB!#REF!)</f>
        <v>#REF!</v>
      </c>
      <c r="L21" s="234" t="e">
        <f>SUM(MDB!#REF!)+SUM(MDB!#REF!)</f>
        <v>#REF!</v>
      </c>
      <c r="M21" s="234" t="e">
        <f>SUM(MDB!#REF!)</f>
        <v>#REF!</v>
      </c>
      <c r="N21" s="234" t="e">
        <f>SUM(MDB!#REF!)</f>
        <v>#REF!</v>
      </c>
      <c r="O21" s="234">
        <f>SUM(MDB!AJ182:AJ292)</f>
        <v>0</v>
      </c>
      <c r="P21" s="234">
        <f>SUM(MDB!AK182:AK292)</f>
        <v>0</v>
      </c>
      <c r="Q21" s="234">
        <f>SUM(MDB!AL182:AL292)</f>
        <v>0</v>
      </c>
      <c r="R21" s="234">
        <f>SUM(MDB!AM182:AM292)</f>
        <v>0</v>
      </c>
      <c r="S21" s="234">
        <f>SUM(MDB!AN182:AN292)</f>
        <v>0</v>
      </c>
      <c r="T21" s="234">
        <f>SUM(MDB!AO182:AO292)</f>
        <v>0</v>
      </c>
      <c r="U21" s="234">
        <f>SUM(MDB!AP182:AP292)</f>
        <v>0</v>
      </c>
      <c r="V21" s="234">
        <f>SUM(MDB!AQ182:AQ292)</f>
        <v>0</v>
      </c>
      <c r="W21" s="234">
        <f>SUM(MDB!AR182:AR292)</f>
        <v>0</v>
      </c>
      <c r="X21" s="234" t="e">
        <f>SUM(MDB!#REF!)</f>
        <v>#REF!</v>
      </c>
      <c r="Y21" s="234" t="e">
        <f>SUM(MDB!#REF!)</f>
        <v>#REF!</v>
      </c>
      <c r="Z21" s="234" t="e">
        <f>SUM(MDB!#REF!)</f>
        <v>#REF!</v>
      </c>
      <c r="AA21" s="234" t="e">
        <f>SUM(MDB!#REF!)</f>
        <v>#REF!</v>
      </c>
      <c r="AB21" s="234" t="e">
        <f>SUM(MDB!#REF!)</f>
        <v>#REF!</v>
      </c>
      <c r="AC21" s="234" t="e">
        <f>SUM(MDB!#REF!)</f>
        <v>#REF!</v>
      </c>
      <c r="AD21" s="234" t="e">
        <f>SUM(MDB!#REF!)</f>
        <v>#REF!</v>
      </c>
      <c r="AE21" s="234" t="e">
        <f>SUM(MDB!#REF!)</f>
        <v>#REF!</v>
      </c>
      <c r="AF21" s="234" t="e">
        <f>SUM(MDB!#REF!)</f>
        <v>#REF!</v>
      </c>
      <c r="AG21" s="234" t="e">
        <f>SUM(MDB!#REF!)</f>
        <v>#REF!</v>
      </c>
      <c r="AH21" s="234" t="e">
        <f>SUM(MDB!#REF!)</f>
        <v>#REF!</v>
      </c>
      <c r="AI21" s="234" t="e">
        <f>SUM(MDB!#REF!)</f>
        <v>#REF!</v>
      </c>
      <c r="AJ21" s="234">
        <f>SUM(MDB!AS182:AS292)</f>
        <v>0</v>
      </c>
      <c r="AK21" s="237"/>
    </row>
    <row r="22" spans="2:37" x14ac:dyDescent="0.25">
      <c r="B22" s="53"/>
      <c r="C22" s="234" t="s">
        <v>1750</v>
      </c>
      <c r="D22" s="234" t="e">
        <f>SUM(MDB!#REF!)</f>
        <v>#REF!</v>
      </c>
      <c r="E22" s="234" t="e">
        <f>SUM(MDB!#REF!)</f>
        <v>#REF!</v>
      </c>
      <c r="F22" s="234" t="e">
        <f>SUM(MDB!#REF!)</f>
        <v>#REF!</v>
      </c>
      <c r="G22" s="234" t="e">
        <f>SUM(MDB!#REF!)</f>
        <v>#REF!</v>
      </c>
      <c r="H22" s="234" t="e">
        <f>SUM(MDB!#REF!)</f>
        <v>#REF!</v>
      </c>
      <c r="I22" s="234" t="e">
        <f>SUM(MDB!#REF!)</f>
        <v>#REF!</v>
      </c>
      <c r="J22" s="234" t="e">
        <f>SUM(MDB!#REF!)</f>
        <v>#REF!</v>
      </c>
      <c r="K22" s="234" t="e">
        <f>SUM(MDB!#REF!)+SUM(K2:K2)</f>
        <v>#REF!</v>
      </c>
      <c r="L22" s="234" t="e">
        <f>SUM(MDB!#REF!)</f>
        <v>#REF!</v>
      </c>
      <c r="M22" s="234" t="e">
        <f>SUM(MDB!#REF!)</f>
        <v>#REF!</v>
      </c>
      <c r="N22" s="234" t="e">
        <f>SUM(MDB!#REF!)</f>
        <v>#REF!</v>
      </c>
      <c r="O22" s="234">
        <f>SUM(MDB!AJ183:AJ292)</f>
        <v>0</v>
      </c>
      <c r="P22" s="234">
        <f>SUM(MDB!AK183:AK292)</f>
        <v>0</v>
      </c>
      <c r="Q22" s="234">
        <f>SUM(MDB!AL183:AL292)</f>
        <v>0</v>
      </c>
      <c r="R22" s="234">
        <f>SUM(MDB!AM183:AM292)</f>
        <v>0</v>
      </c>
      <c r="S22" s="234">
        <f>SUM(MDB!AN183:AN292)</f>
        <v>0</v>
      </c>
      <c r="T22" s="234">
        <f>SUM(MDB!AO183:AO292)</f>
        <v>0</v>
      </c>
      <c r="U22" s="234">
        <f>SUM(MDB!AP183:AP292)</f>
        <v>0</v>
      </c>
      <c r="V22" s="234">
        <f>SUM(MDB!AQ183:AQ292)</f>
        <v>0</v>
      </c>
      <c r="W22" s="234">
        <f>SUM(MDB!AR183:AR292)</f>
        <v>0</v>
      </c>
      <c r="X22" s="234" t="e">
        <f>SUM(MDB!#REF!)</f>
        <v>#REF!</v>
      </c>
      <c r="Y22" s="234" t="e">
        <f>SUM(MDB!#REF!)</f>
        <v>#REF!</v>
      </c>
      <c r="Z22" s="234" t="e">
        <f>SUM(MDB!#REF!)</f>
        <v>#REF!</v>
      </c>
      <c r="AA22" s="234" t="e">
        <f>SUM(MDB!#REF!)</f>
        <v>#REF!</v>
      </c>
      <c r="AB22" s="234" t="e">
        <f>SUM(MDB!#REF!)</f>
        <v>#REF!</v>
      </c>
      <c r="AC22" s="234" t="e">
        <f>SUM(MDB!#REF!)</f>
        <v>#REF!</v>
      </c>
      <c r="AD22" s="234" t="e">
        <f>SUM(MDB!#REF!)</f>
        <v>#REF!</v>
      </c>
      <c r="AE22" s="234" t="e">
        <f>SUM(MDB!#REF!)</f>
        <v>#REF!</v>
      </c>
      <c r="AF22" s="234" t="e">
        <f>SUM(MDB!#REF!)</f>
        <v>#REF!</v>
      </c>
      <c r="AG22" s="234" t="e">
        <f>SUM(MDB!#REF!)</f>
        <v>#REF!</v>
      </c>
      <c r="AH22" s="234" t="e">
        <f>SUM(MDB!#REF!)</f>
        <v>#REF!</v>
      </c>
      <c r="AI22" s="234" t="e">
        <f>SUM(MDB!#REF!)</f>
        <v>#REF!</v>
      </c>
      <c r="AJ22" s="234">
        <f>SUM(MDB!AS183:AS292)</f>
        <v>0</v>
      </c>
      <c r="AK22" s="237"/>
    </row>
    <row r="23" spans="2:37" x14ac:dyDescent="0.25">
      <c r="B23" s="53"/>
      <c r="C23" s="234" t="s">
        <v>1751</v>
      </c>
      <c r="D23" s="234" t="e">
        <f>SUM(MDB!#REF!)</f>
        <v>#REF!</v>
      </c>
      <c r="E23" s="234" t="e">
        <f>SUM(MDB!#REF!)</f>
        <v>#REF!</v>
      </c>
      <c r="F23" s="234" t="e">
        <f>SUM(MDB!#REF!)</f>
        <v>#REF!</v>
      </c>
      <c r="G23" s="234" t="e">
        <f>SUM(MDB!#REF!)</f>
        <v>#REF!</v>
      </c>
      <c r="H23" s="234" t="e">
        <f>SUM(MDB!#REF!)</f>
        <v>#REF!</v>
      </c>
      <c r="I23" s="234" t="e">
        <f>SUM(MDB!#REF!)</f>
        <v>#REF!</v>
      </c>
      <c r="J23" s="234" t="e">
        <f>SUM(MDB!#REF!)</f>
        <v>#REF!</v>
      </c>
      <c r="K23" s="234" t="e">
        <f>SUM(MDB!#REF!)+SUM(K2:K3)</f>
        <v>#REF!</v>
      </c>
      <c r="L23" s="234">
        <v>0</v>
      </c>
      <c r="M23" s="234" t="e">
        <f>SUM(MDB!#REF!)</f>
        <v>#REF!</v>
      </c>
      <c r="N23" s="234" t="e">
        <f>SUM(MDB!#REF!)</f>
        <v>#REF!</v>
      </c>
      <c r="O23" s="234">
        <f>SUM(MDB!AJ184:AJ293)</f>
        <v>0</v>
      </c>
      <c r="P23" s="234">
        <f>SUM(MDB!AK184:AK293)</f>
        <v>0</v>
      </c>
      <c r="Q23" s="234">
        <f>SUM(MDB!AL184:AL293)</f>
        <v>0</v>
      </c>
      <c r="R23" s="234">
        <f>SUM(MDB!AM184:AM293)</f>
        <v>0</v>
      </c>
      <c r="S23" s="234">
        <f>SUM(MDB!AN184:AN293)</f>
        <v>0</v>
      </c>
      <c r="T23" s="234">
        <f>SUM(MDB!AO184:AO293)</f>
        <v>0</v>
      </c>
      <c r="U23" s="234">
        <f>SUM(MDB!AP184:AP293)</f>
        <v>0</v>
      </c>
      <c r="V23" s="234">
        <f>SUM(MDB!AQ184:AQ293)</f>
        <v>0</v>
      </c>
      <c r="W23" s="234">
        <f>SUM(MDB!AR184:AR293)</f>
        <v>0</v>
      </c>
      <c r="X23" s="234" t="e">
        <f>SUM(MDB!#REF!)</f>
        <v>#REF!</v>
      </c>
      <c r="Y23" s="234" t="e">
        <f>SUM(MDB!#REF!)</f>
        <v>#REF!</v>
      </c>
      <c r="Z23" s="234" t="e">
        <f>SUM(MDB!#REF!)</f>
        <v>#REF!</v>
      </c>
      <c r="AA23" s="234" t="e">
        <f>SUM(MDB!#REF!)</f>
        <v>#REF!</v>
      </c>
      <c r="AB23" s="234" t="e">
        <f>SUM(MDB!#REF!)</f>
        <v>#REF!</v>
      </c>
      <c r="AC23" s="234" t="e">
        <f>SUM(MDB!#REF!)</f>
        <v>#REF!</v>
      </c>
      <c r="AD23" s="234" t="e">
        <f>SUM(MDB!#REF!)</f>
        <v>#REF!</v>
      </c>
      <c r="AE23" s="234" t="e">
        <f>SUM(MDB!#REF!)</f>
        <v>#REF!</v>
      </c>
      <c r="AF23" s="234" t="e">
        <f>SUM(MDB!#REF!)</f>
        <v>#REF!</v>
      </c>
      <c r="AG23" s="234" t="e">
        <f>SUM(MDB!#REF!)</f>
        <v>#REF!</v>
      </c>
      <c r="AH23" s="234" t="e">
        <f>SUM(MDB!#REF!)</f>
        <v>#REF!</v>
      </c>
      <c r="AI23" s="234" t="e">
        <f>SUM(MDB!#REF!)</f>
        <v>#REF!</v>
      </c>
      <c r="AJ23" s="234">
        <f>SUM(MDB!AS184:AS293)</f>
        <v>0</v>
      </c>
      <c r="AK23" s="237"/>
    </row>
    <row r="24" spans="2:37" x14ac:dyDescent="0.25">
      <c r="B24" s="53"/>
      <c r="C24" s="234" t="s">
        <v>1752</v>
      </c>
      <c r="D24" s="234" t="e">
        <f>SUM(MDB!#REF!)</f>
        <v>#REF!</v>
      </c>
      <c r="E24" s="234" t="e">
        <f>SUM(MDB!#REF!)</f>
        <v>#REF!</v>
      </c>
      <c r="F24" s="234" t="e">
        <f>SUM(MDB!#REF!)</f>
        <v>#REF!</v>
      </c>
      <c r="G24" s="234" t="e">
        <f>SUM(MDB!#REF!)</f>
        <v>#REF!</v>
      </c>
      <c r="H24" s="234" t="e">
        <f>SUM(MDB!#REF!)</f>
        <v>#REF!</v>
      </c>
      <c r="I24" s="234" t="e">
        <f>SUM(MDB!#REF!)</f>
        <v>#REF!</v>
      </c>
      <c r="J24" s="234" t="e">
        <f>SUM(MDB!#REF!)</f>
        <v>#REF!</v>
      </c>
      <c r="K24" s="234">
        <v>0</v>
      </c>
      <c r="L24" s="234">
        <v>0</v>
      </c>
      <c r="M24" s="234" t="e">
        <f>SUM(MDB!#REF!)</f>
        <v>#REF!</v>
      </c>
      <c r="N24" s="234" t="e">
        <f>SUM(MDB!#REF!)</f>
        <v>#REF!</v>
      </c>
      <c r="O24" s="234">
        <f>SUM(MDB!AJ185:AJ294)</f>
        <v>0</v>
      </c>
      <c r="P24" s="234">
        <f>SUM(MDB!AK185:AK294)</f>
        <v>0</v>
      </c>
      <c r="Q24" s="234">
        <f>SUM(MDB!AL185:AL294)</f>
        <v>0</v>
      </c>
      <c r="R24" s="234">
        <f>SUM(MDB!AM185:AM294)</f>
        <v>0</v>
      </c>
      <c r="S24" s="234">
        <f>SUM(MDB!AN185:AN294)</f>
        <v>0</v>
      </c>
      <c r="T24" s="234">
        <f>SUM(MDB!AO185:AO294)</f>
        <v>0</v>
      </c>
      <c r="U24" s="234">
        <f>SUM(MDB!AP185:AP294)</f>
        <v>0</v>
      </c>
      <c r="V24" s="234">
        <f>SUM(MDB!AQ185:AQ294)</f>
        <v>0</v>
      </c>
      <c r="W24" s="234">
        <f>SUM(MDB!AR185:AR294)</f>
        <v>0</v>
      </c>
      <c r="X24" s="234" t="e">
        <f>SUM(MDB!#REF!)</f>
        <v>#REF!</v>
      </c>
      <c r="Y24" s="234" t="e">
        <f>SUM(MDB!#REF!)</f>
        <v>#REF!</v>
      </c>
      <c r="Z24" s="234" t="e">
        <f>SUM(MDB!#REF!)</f>
        <v>#REF!</v>
      </c>
      <c r="AA24" s="234" t="e">
        <f>SUM(MDB!#REF!)</f>
        <v>#REF!</v>
      </c>
      <c r="AB24" s="234" t="e">
        <f>SUM(MDB!#REF!)</f>
        <v>#REF!</v>
      </c>
      <c r="AC24" s="234" t="e">
        <f>SUM(MDB!#REF!)</f>
        <v>#REF!</v>
      </c>
      <c r="AD24" s="234" t="e">
        <f>SUM(MDB!#REF!)</f>
        <v>#REF!</v>
      </c>
      <c r="AE24" s="234" t="e">
        <f>SUM(MDB!#REF!)</f>
        <v>#REF!</v>
      </c>
      <c r="AF24" s="234" t="e">
        <f>SUM(MDB!#REF!)</f>
        <v>#REF!</v>
      </c>
      <c r="AG24" s="234">
        <v>0</v>
      </c>
      <c r="AH24" s="234" t="e">
        <f>SUM(MDB!#REF!)</f>
        <v>#REF!</v>
      </c>
      <c r="AI24" s="234" t="e">
        <f>SUM(MDB!#REF!)</f>
        <v>#REF!</v>
      </c>
      <c r="AJ24" s="234">
        <f>SUM(MDB!AS185:AS294)</f>
        <v>0</v>
      </c>
      <c r="AK24" s="237"/>
    </row>
    <row r="25" spans="2:37" x14ac:dyDescent="0.25">
      <c r="B25" s="53"/>
      <c r="C25" s="237" t="s">
        <v>1753</v>
      </c>
      <c r="D25" s="237" t="e">
        <f t="shared" ref="D25:AJ25" si="2">SUM(D20:D24)</f>
        <v>#REF!</v>
      </c>
      <c r="E25" s="237" t="e">
        <f t="shared" si="2"/>
        <v>#REF!</v>
      </c>
      <c r="F25" s="237" t="e">
        <f t="shared" si="2"/>
        <v>#REF!</v>
      </c>
      <c r="G25" s="237" t="e">
        <f t="shared" si="2"/>
        <v>#REF!</v>
      </c>
      <c r="H25" s="237" t="e">
        <f t="shared" si="2"/>
        <v>#REF!</v>
      </c>
      <c r="I25" s="237" t="e">
        <f t="shared" si="2"/>
        <v>#REF!</v>
      </c>
      <c r="J25" s="237" t="e">
        <f t="shared" si="2"/>
        <v>#REF!</v>
      </c>
      <c r="K25" s="237" t="e">
        <f t="shared" si="2"/>
        <v>#REF!</v>
      </c>
      <c r="L25" s="237" t="e">
        <f t="shared" si="2"/>
        <v>#REF!</v>
      </c>
      <c r="M25" s="237" t="e">
        <f t="shared" si="2"/>
        <v>#REF!</v>
      </c>
      <c r="N25" s="237" t="e">
        <f t="shared" si="2"/>
        <v>#REF!</v>
      </c>
      <c r="O25" s="237">
        <f t="shared" si="2"/>
        <v>0</v>
      </c>
      <c r="P25" s="237">
        <f t="shared" si="2"/>
        <v>0</v>
      </c>
      <c r="Q25" s="237">
        <f t="shared" si="2"/>
        <v>0</v>
      </c>
      <c r="R25" s="237">
        <f t="shared" si="2"/>
        <v>0</v>
      </c>
      <c r="S25" s="237">
        <f t="shared" si="2"/>
        <v>0</v>
      </c>
      <c r="T25" s="237">
        <f t="shared" si="2"/>
        <v>0</v>
      </c>
      <c r="U25" s="237">
        <f t="shared" si="2"/>
        <v>0</v>
      </c>
      <c r="V25" s="237">
        <f t="shared" si="2"/>
        <v>0</v>
      </c>
      <c r="W25" s="237">
        <f t="shared" si="2"/>
        <v>0</v>
      </c>
      <c r="X25" s="237" t="e">
        <f t="shared" si="2"/>
        <v>#REF!</v>
      </c>
      <c r="Y25" s="237" t="e">
        <f t="shared" si="2"/>
        <v>#REF!</v>
      </c>
      <c r="Z25" s="237" t="e">
        <f t="shared" si="2"/>
        <v>#REF!</v>
      </c>
      <c r="AA25" s="237" t="e">
        <f t="shared" si="2"/>
        <v>#REF!</v>
      </c>
      <c r="AB25" s="237" t="e">
        <f t="shared" si="2"/>
        <v>#REF!</v>
      </c>
      <c r="AC25" s="237" t="e">
        <f t="shared" si="2"/>
        <v>#REF!</v>
      </c>
      <c r="AD25" s="237" t="e">
        <f t="shared" si="2"/>
        <v>#REF!</v>
      </c>
      <c r="AE25" s="237" t="e">
        <f t="shared" si="2"/>
        <v>#REF!</v>
      </c>
      <c r="AF25" s="237" t="e">
        <f t="shared" si="2"/>
        <v>#REF!</v>
      </c>
      <c r="AG25" s="237" t="e">
        <f t="shared" si="2"/>
        <v>#REF!</v>
      </c>
      <c r="AH25" s="237" t="e">
        <f t="shared" si="2"/>
        <v>#REF!</v>
      </c>
      <c r="AI25" s="237" t="e">
        <f t="shared" si="2"/>
        <v>#REF!</v>
      </c>
      <c r="AJ25" s="237">
        <f t="shared" si="2"/>
        <v>0</v>
      </c>
      <c r="AK25" s="237" t="e">
        <f>SUM(D25:AJ25)</f>
        <v>#REF!</v>
      </c>
    </row>
    <row r="26" spans="2:37" x14ac:dyDescent="0.25">
      <c r="B26" s="244"/>
      <c r="C26" s="245"/>
      <c r="D26" s="245"/>
      <c r="E26" s="245"/>
      <c r="F26" s="245"/>
      <c r="G26" s="245"/>
      <c r="H26" s="245"/>
      <c r="I26" s="245"/>
      <c r="J26" s="245"/>
      <c r="K26" s="245"/>
      <c r="L26" s="245"/>
      <c r="M26" s="245"/>
      <c r="N26" s="245"/>
      <c r="O26" s="245"/>
      <c r="P26" s="245"/>
      <c r="Q26" s="245"/>
      <c r="R26" s="245"/>
      <c r="S26" s="245"/>
      <c r="T26" s="245"/>
      <c r="U26" s="245"/>
      <c r="V26" s="245"/>
      <c r="W26" s="245"/>
      <c r="X26" s="245"/>
      <c r="Y26" s="245"/>
      <c r="Z26" s="245"/>
      <c r="AA26" s="245"/>
      <c r="AB26" s="245"/>
      <c r="AC26" s="245"/>
      <c r="AD26" s="245"/>
      <c r="AE26" s="245"/>
      <c r="AF26" s="245"/>
      <c r="AG26" s="245"/>
      <c r="AH26" s="245"/>
      <c r="AI26" s="245"/>
      <c r="AJ26" s="250"/>
      <c r="AK26" s="237" t="e">
        <f>AK9+AK18+AK25</f>
        <v>#REF!</v>
      </c>
    </row>
    <row r="27" spans="2:37" x14ac:dyDescent="0.25">
      <c r="B27" s="237" t="s">
        <v>1754</v>
      </c>
      <c r="C27" s="237" t="s">
        <v>1755</v>
      </c>
      <c r="D27" s="234" t="e">
        <f>SUM(MDB!#REF!)</f>
        <v>#REF!</v>
      </c>
      <c r="E27" s="234" t="e">
        <f>SUM(MDB!#REF!)</f>
        <v>#REF!</v>
      </c>
      <c r="F27" s="234" t="e">
        <f>SUM(MDB!#REF!)</f>
        <v>#REF!</v>
      </c>
      <c r="G27" s="234" t="e">
        <f>SUM(MDB!#REF!)</f>
        <v>#REF!</v>
      </c>
      <c r="H27" s="234" t="e">
        <f>SUM(MDB!#REF!)</f>
        <v>#REF!</v>
      </c>
      <c r="I27" s="234" t="e">
        <f>SUM(MDB!#REF!)</f>
        <v>#REF!</v>
      </c>
      <c r="J27" s="234" t="e">
        <f>SUM(MDB!#REF!)</f>
        <v>#REF!</v>
      </c>
      <c r="K27" s="234" t="e">
        <f>SUM(MDB!#REF!)</f>
        <v>#REF!</v>
      </c>
      <c r="L27" s="234" t="e">
        <f>SUM(MDB!#REF!)</f>
        <v>#REF!</v>
      </c>
      <c r="M27" s="234" t="e">
        <f>SUM(MDB!#REF!)</f>
        <v>#REF!</v>
      </c>
      <c r="N27" s="234" t="e">
        <f>SUM(MDB!#REF!)</f>
        <v>#REF!</v>
      </c>
      <c r="O27" s="234">
        <f>SUM(MDB!AJ186:AJ296)</f>
        <v>0</v>
      </c>
      <c r="P27" s="234">
        <f>SUM(MDB!AK186:AK296)</f>
        <v>0</v>
      </c>
      <c r="Q27" s="234">
        <f>SUM(MDB!AL186:AL296)</f>
        <v>0</v>
      </c>
      <c r="R27" s="234">
        <f>SUM(MDB!AM186:AM296)</f>
        <v>0</v>
      </c>
      <c r="S27" s="234">
        <f>SUM(MDB!AN186:AN296)</f>
        <v>0</v>
      </c>
      <c r="T27" s="234">
        <f>SUM(MDB!AO186:AO296)</f>
        <v>0</v>
      </c>
      <c r="U27" s="234">
        <f>SUM(MDB!AP186:AP296)</f>
        <v>0</v>
      </c>
      <c r="V27" s="234">
        <f>SUM(MDB!AQ186:AQ296)</f>
        <v>0</v>
      </c>
      <c r="W27" s="234">
        <f>SUM(MDB!AR186:AR296)</f>
        <v>0</v>
      </c>
      <c r="X27" s="234" t="e">
        <f>SUM(MDB!#REF!)</f>
        <v>#REF!</v>
      </c>
      <c r="Y27" s="234" t="e">
        <f>SUM(MDB!#REF!)</f>
        <v>#REF!</v>
      </c>
      <c r="Z27" s="234" t="e">
        <f>SUM(MDB!#REF!)</f>
        <v>#REF!</v>
      </c>
      <c r="AA27" s="234" t="e">
        <f>SUM(MDB!#REF!)</f>
        <v>#REF!</v>
      </c>
      <c r="AB27" s="234" t="e">
        <f>SUM(MDB!#REF!)</f>
        <v>#REF!</v>
      </c>
      <c r="AC27" s="234" t="e">
        <f>SUM(MDB!#REF!)</f>
        <v>#REF!</v>
      </c>
      <c r="AD27" s="234" t="e">
        <f>SUM(MDB!#REF!)</f>
        <v>#REF!</v>
      </c>
      <c r="AE27" s="234" t="e">
        <f>SUM(MDB!#REF!)</f>
        <v>#REF!</v>
      </c>
      <c r="AF27" s="234" t="e">
        <f>SUM(MDB!#REF!)</f>
        <v>#REF!</v>
      </c>
      <c r="AG27" s="234" t="e">
        <f>SUM(MDB!#REF!)</f>
        <v>#REF!</v>
      </c>
      <c r="AH27" s="234" t="e">
        <f>SUM(MDB!#REF!)</f>
        <v>#REF!</v>
      </c>
      <c r="AI27" s="234" t="e">
        <f>SUM(MDB!#REF!)</f>
        <v>#REF!</v>
      </c>
      <c r="AJ27" s="247" t="e">
        <f>SUM(MDB!#REF!)</f>
        <v>#REF!</v>
      </c>
      <c r="AK27" s="237"/>
    </row>
    <row r="28" spans="2:37" x14ac:dyDescent="0.25">
      <c r="B28" s="237" t="s">
        <v>1754</v>
      </c>
      <c r="C28" s="237" t="s">
        <v>1755</v>
      </c>
      <c r="D28" s="234" t="e">
        <f>SUM(MDB!#REF!)</f>
        <v>#REF!</v>
      </c>
      <c r="E28" s="234" t="e">
        <f>SUM(MDB!#REF!)</f>
        <v>#REF!</v>
      </c>
      <c r="F28" s="234" t="e">
        <f>SUM(MDB!#REF!)</f>
        <v>#REF!</v>
      </c>
      <c r="G28" s="234" t="e">
        <f>SUM(MDB!#REF!)</f>
        <v>#REF!</v>
      </c>
      <c r="H28" s="234" t="e">
        <f>SUM(MDB!#REF!)</f>
        <v>#REF!</v>
      </c>
      <c r="I28" s="234" t="e">
        <f>SUM(MDB!#REF!)</f>
        <v>#REF!</v>
      </c>
      <c r="J28" s="234" t="e">
        <f>SUM(MDB!#REF!)</f>
        <v>#REF!</v>
      </c>
      <c r="K28" s="234">
        <v>0</v>
      </c>
      <c r="L28" s="234">
        <v>0</v>
      </c>
      <c r="M28" s="234">
        <v>0</v>
      </c>
      <c r="N28" s="234" t="e">
        <f>SUM(MDB!#REF!)</f>
        <v>#REF!</v>
      </c>
      <c r="O28" s="234">
        <f>SUM(MDB!AJ187:AJ297)</f>
        <v>0</v>
      </c>
      <c r="P28" s="234">
        <f>SUM(MDB!AK187:AK297)</f>
        <v>0</v>
      </c>
      <c r="Q28" s="234">
        <f>SUM(MDB!AL187:AL297)</f>
        <v>0</v>
      </c>
      <c r="R28" s="234">
        <f>SUM(MDB!AM187:AM297)</f>
        <v>0</v>
      </c>
      <c r="S28" s="234">
        <f>SUM(MDB!AN187:AN297)</f>
        <v>0</v>
      </c>
      <c r="T28" s="234">
        <f>SUM(MDB!AO187:AO297)</f>
        <v>0</v>
      </c>
      <c r="U28" s="234">
        <f>SUM(MDB!AP187:AP297)</f>
        <v>0</v>
      </c>
      <c r="V28" s="234">
        <f>SUM(MDB!AQ187:AQ297)</f>
        <v>0</v>
      </c>
      <c r="W28" s="234">
        <f>SUM(MDB!AR187:AR297)</f>
        <v>0</v>
      </c>
      <c r="X28" s="234" t="e">
        <f>SUM(MDB!#REF!)</f>
        <v>#REF!</v>
      </c>
      <c r="Y28" s="234" t="e">
        <f>SUM(MDB!#REF!)</f>
        <v>#REF!</v>
      </c>
      <c r="Z28" s="234" t="e">
        <f>SUM(MDB!#REF!)</f>
        <v>#REF!</v>
      </c>
      <c r="AA28" s="234" t="e">
        <f>SUM(MDB!#REF!)</f>
        <v>#REF!</v>
      </c>
      <c r="AB28" s="234" t="e">
        <f>SUM(MDB!#REF!)</f>
        <v>#REF!</v>
      </c>
      <c r="AC28" s="234" t="e">
        <f>SUM(MDB!#REF!)</f>
        <v>#REF!</v>
      </c>
      <c r="AD28" s="234" t="e">
        <f>SUM(MDB!#REF!)</f>
        <v>#REF!</v>
      </c>
      <c r="AE28" s="234" t="e">
        <f>SUM(MDB!#REF!)</f>
        <v>#REF!</v>
      </c>
      <c r="AF28" s="234" t="e">
        <f>SUM(MDB!#REF!)</f>
        <v>#REF!</v>
      </c>
      <c r="AG28" s="234" t="e">
        <f>SUM(MDB!#REF!)</f>
        <v>#REF!</v>
      </c>
      <c r="AH28" s="234" t="e">
        <f>SUM(MDB!#REF!)</f>
        <v>#REF!</v>
      </c>
      <c r="AI28" s="234" t="e">
        <f>SUM(MDB!#REF!)</f>
        <v>#REF!</v>
      </c>
      <c r="AJ28" s="247" t="e">
        <f>SUM(MDB!#REF!)</f>
        <v>#REF!</v>
      </c>
      <c r="AK28" s="237"/>
    </row>
    <row r="29" spans="2:37" x14ac:dyDescent="0.25">
      <c r="B29" s="237" t="s">
        <v>1754</v>
      </c>
      <c r="C29" s="237" t="s">
        <v>1755</v>
      </c>
      <c r="D29" s="234" t="e">
        <f>SUM(MDB!#REF!)</f>
        <v>#REF!</v>
      </c>
      <c r="E29" s="234" t="e">
        <f>SUM(MDB!#REF!)</f>
        <v>#REF!</v>
      </c>
      <c r="F29" s="234" t="e">
        <f>SUM(MDB!#REF!)</f>
        <v>#REF!</v>
      </c>
      <c r="G29" s="234" t="e">
        <f>SUM(MDB!#REF!)</f>
        <v>#REF!</v>
      </c>
      <c r="H29" s="234" t="e">
        <f>SUM(MDB!#REF!)</f>
        <v>#REF!</v>
      </c>
      <c r="I29" s="234" t="e">
        <f>SUM(MDB!#REF!)</f>
        <v>#REF!</v>
      </c>
      <c r="J29" s="234">
        <v>94646.75</v>
      </c>
      <c r="K29" s="234">
        <v>0</v>
      </c>
      <c r="L29" s="234">
        <v>0</v>
      </c>
      <c r="M29" s="234">
        <v>0</v>
      </c>
      <c r="N29" s="234" t="e">
        <f>SUM(MDB!#REF!)</f>
        <v>#REF!</v>
      </c>
      <c r="O29" s="234">
        <f>SUM(MDB!AJ188:AJ298)</f>
        <v>0</v>
      </c>
      <c r="P29" s="234">
        <f>SUM(MDB!AK188:AK298)</f>
        <v>0</v>
      </c>
      <c r="Q29" s="234">
        <f>SUM(MDB!AL188:AL298)</f>
        <v>0</v>
      </c>
      <c r="R29" s="234">
        <f>SUM(MDB!AM188:AM298)</f>
        <v>0</v>
      </c>
      <c r="S29" s="234">
        <f>SUM(MDB!AN188:AN298)</f>
        <v>0</v>
      </c>
      <c r="T29" s="234">
        <f>SUM(MDB!AO188:AO298)</f>
        <v>0</v>
      </c>
      <c r="U29" s="234">
        <f>SUM(MDB!AP188:AP298)</f>
        <v>0</v>
      </c>
      <c r="V29" s="234">
        <f>SUM(MDB!AQ188:AQ298)</f>
        <v>0</v>
      </c>
      <c r="W29" s="234">
        <f>SUM(MDB!AR188:AR298)</f>
        <v>0</v>
      </c>
      <c r="X29" s="234" t="e">
        <f>SUM(MDB!#REF!)</f>
        <v>#REF!</v>
      </c>
      <c r="Y29" s="234" t="e">
        <f>SUM(MDB!#REF!)</f>
        <v>#REF!</v>
      </c>
      <c r="Z29" s="234" t="e">
        <f>SUM(MDB!#REF!)</f>
        <v>#REF!</v>
      </c>
      <c r="AA29" s="234" t="e">
        <f>SUM(MDB!#REF!)</f>
        <v>#REF!</v>
      </c>
      <c r="AB29" s="234" t="e">
        <f>SUM(MDB!#REF!)</f>
        <v>#REF!</v>
      </c>
      <c r="AC29" s="234" t="e">
        <f>SUM(MDB!#REF!)</f>
        <v>#REF!</v>
      </c>
      <c r="AD29" s="234" t="e">
        <f>SUM(MDB!#REF!)</f>
        <v>#REF!</v>
      </c>
      <c r="AE29" s="234" t="e">
        <f>SUM(MDB!#REF!)</f>
        <v>#REF!</v>
      </c>
      <c r="AF29" s="234" t="e">
        <f>SUM(MDB!#REF!)</f>
        <v>#REF!</v>
      </c>
      <c r="AG29" s="234" t="e">
        <f>SUM(MDB!#REF!)</f>
        <v>#REF!</v>
      </c>
      <c r="AH29" s="234" t="e">
        <f>SUM(MDB!#REF!)</f>
        <v>#REF!</v>
      </c>
      <c r="AI29" s="234" t="e">
        <f>SUM(MDB!#REF!)</f>
        <v>#REF!</v>
      </c>
      <c r="AJ29" s="247" t="e">
        <f>SUM(MDB!#REF!)</f>
        <v>#REF!</v>
      </c>
      <c r="AK29" s="237"/>
    </row>
    <row r="30" spans="2:37" x14ac:dyDescent="0.25">
      <c r="B30" s="237" t="s">
        <v>1754</v>
      </c>
      <c r="C30" s="237" t="s">
        <v>1755</v>
      </c>
      <c r="D30" s="234" t="e">
        <f>SUM(MDB!#REF!)</f>
        <v>#REF!</v>
      </c>
      <c r="E30" s="234" t="e">
        <f>SUM(MDB!#REF!)</f>
        <v>#REF!</v>
      </c>
      <c r="F30" s="234" t="e">
        <f>SUM(MDB!#REF!)</f>
        <v>#REF!</v>
      </c>
      <c r="G30" s="234" t="e">
        <f>SUM(MDB!#REF!)</f>
        <v>#REF!</v>
      </c>
      <c r="H30" s="234" t="e">
        <f>SUM(MDB!#REF!)</f>
        <v>#REF!</v>
      </c>
      <c r="I30" s="234" t="e">
        <f>SUM(MDB!#REF!)</f>
        <v>#REF!</v>
      </c>
      <c r="J30" s="234" t="e">
        <f>SUM(MDB!#REF!)</f>
        <v>#REF!</v>
      </c>
      <c r="K30" s="234">
        <v>0</v>
      </c>
      <c r="L30" s="234">
        <v>0</v>
      </c>
      <c r="M30" s="234">
        <v>94646.75</v>
      </c>
      <c r="N30" s="234" t="e">
        <f>SUM(MDB!#REF!)</f>
        <v>#REF!</v>
      </c>
      <c r="O30" s="234">
        <f>SUM(MDB!AJ189:AJ299)</f>
        <v>0</v>
      </c>
      <c r="P30" s="234">
        <f>SUM(MDB!AK189:AK299)</f>
        <v>0</v>
      </c>
      <c r="Q30" s="234">
        <f>SUM(MDB!AL189:AL299)</f>
        <v>0</v>
      </c>
      <c r="R30" s="234">
        <f>SUM(MDB!AM189:AM299)</f>
        <v>0</v>
      </c>
      <c r="S30" s="234">
        <f>SUM(MDB!AN189:AN299)</f>
        <v>0</v>
      </c>
      <c r="T30" s="234">
        <f>SUM(MDB!AO189:AO299)</f>
        <v>0</v>
      </c>
      <c r="U30" s="234">
        <f>SUM(MDB!AP189:AP299)</f>
        <v>0</v>
      </c>
      <c r="V30" s="234">
        <f>SUM(MDB!AQ189:AQ299)</f>
        <v>0</v>
      </c>
      <c r="W30" s="234">
        <f>SUM(MDB!AR189:AR299)</f>
        <v>0</v>
      </c>
      <c r="X30" s="234" t="e">
        <f>SUM(MDB!#REF!)</f>
        <v>#REF!</v>
      </c>
      <c r="Y30" s="234" t="e">
        <f>SUM(MDB!#REF!)</f>
        <v>#REF!</v>
      </c>
      <c r="Z30" s="234" t="e">
        <f>SUM(MDB!#REF!)</f>
        <v>#REF!</v>
      </c>
      <c r="AA30" s="234" t="e">
        <f>SUM(MDB!#REF!)</f>
        <v>#REF!</v>
      </c>
      <c r="AB30" s="234" t="e">
        <f>SUM(MDB!#REF!)</f>
        <v>#REF!</v>
      </c>
      <c r="AC30" s="234" t="e">
        <f>SUM(MDB!#REF!)</f>
        <v>#REF!</v>
      </c>
      <c r="AD30" s="234" t="e">
        <f>SUM(MDB!#REF!)</f>
        <v>#REF!</v>
      </c>
      <c r="AE30" s="234" t="e">
        <f>SUM(MDB!#REF!)</f>
        <v>#REF!</v>
      </c>
      <c r="AF30" s="234" t="e">
        <f>SUM(MDB!#REF!)</f>
        <v>#REF!</v>
      </c>
      <c r="AG30" s="234" t="e">
        <f>SUM(MDB!#REF!)</f>
        <v>#REF!</v>
      </c>
      <c r="AH30" s="234" t="e">
        <f>SUM(MDB!#REF!)</f>
        <v>#REF!</v>
      </c>
      <c r="AI30" s="234" t="e">
        <f>SUM(MDB!#REF!)</f>
        <v>#REF!</v>
      </c>
      <c r="AJ30" s="247" t="e">
        <f>SUM(MDB!#REF!)</f>
        <v>#REF!</v>
      </c>
      <c r="AK30" s="237"/>
    </row>
    <row r="31" spans="2:37" x14ac:dyDescent="0.25">
      <c r="B31" s="237" t="s">
        <v>1754</v>
      </c>
      <c r="C31" s="237" t="s">
        <v>1755</v>
      </c>
      <c r="D31" s="234" t="e">
        <f>SUM(MDB!#REF!)</f>
        <v>#REF!</v>
      </c>
      <c r="E31" s="234" t="e">
        <f>SUM(MDB!#REF!)</f>
        <v>#REF!</v>
      </c>
      <c r="F31" s="234" t="e">
        <f>SUM(MDB!#REF!)</f>
        <v>#REF!</v>
      </c>
      <c r="G31" s="234" t="e">
        <f>SUM(MDB!#REF!)</f>
        <v>#REF!</v>
      </c>
      <c r="H31" s="234" t="e">
        <f>SUM(MDB!#REF!)</f>
        <v>#REF!</v>
      </c>
      <c r="I31" s="234" t="e">
        <f>SUM(MDB!#REF!)</f>
        <v>#REF!</v>
      </c>
      <c r="J31" s="234" t="e">
        <f>SUM(MDB!#REF!)</f>
        <v>#REF!</v>
      </c>
      <c r="K31" s="234">
        <v>0</v>
      </c>
      <c r="L31" s="234">
        <v>0</v>
      </c>
      <c r="M31" s="234">
        <v>0</v>
      </c>
      <c r="N31" s="234" t="e">
        <f>SUM(MDB!#REF!)</f>
        <v>#REF!</v>
      </c>
      <c r="O31" s="234">
        <v>37858.699999999997</v>
      </c>
      <c r="P31" s="234">
        <f>SUM(MDB!AK190:AK299)</f>
        <v>0</v>
      </c>
      <c r="Q31" s="234">
        <f>SUM(MDB!AL190:AL299)</f>
        <v>0</v>
      </c>
      <c r="R31" s="234">
        <f>SUM(MDB!AM190:AM299)</f>
        <v>0</v>
      </c>
      <c r="S31" s="234">
        <f>SUM(MDB!AN190:AN299)</f>
        <v>0</v>
      </c>
      <c r="T31" s="234">
        <f>SUM(MDB!AO190:AO299)</f>
        <v>0</v>
      </c>
      <c r="U31" s="234">
        <f>SUM(MDB!AP190:AP299)</f>
        <v>0</v>
      </c>
      <c r="V31" s="234">
        <f>SUM(MDB!AQ190:AQ299)</f>
        <v>0</v>
      </c>
      <c r="W31" s="234">
        <f>SUM(MDB!AR190:AR299)</f>
        <v>0</v>
      </c>
      <c r="X31" s="234" t="e">
        <f>SUM(MDB!#REF!)</f>
        <v>#REF!</v>
      </c>
      <c r="Y31" s="234" t="e">
        <f>SUM(MDB!#REF!)</f>
        <v>#REF!</v>
      </c>
      <c r="Z31" s="234" t="e">
        <f>SUM(MDB!#REF!)</f>
        <v>#REF!</v>
      </c>
      <c r="AA31" s="234" t="e">
        <f>SUM(MDB!#REF!)</f>
        <v>#REF!</v>
      </c>
      <c r="AB31" s="234" t="e">
        <f>SUM(MDB!#REF!)</f>
        <v>#REF!</v>
      </c>
      <c r="AC31" s="234" t="e">
        <f>SUM(MDB!#REF!)</f>
        <v>#REF!</v>
      </c>
      <c r="AD31" s="234" t="e">
        <f>SUM(MDB!#REF!)</f>
        <v>#REF!</v>
      </c>
      <c r="AE31" s="234" t="e">
        <f>SUM(MDB!#REF!)</f>
        <v>#REF!</v>
      </c>
      <c r="AF31" s="234" t="e">
        <f>SUM(MDB!#REF!)</f>
        <v>#REF!</v>
      </c>
      <c r="AG31" s="234" t="e">
        <f>SUM(MDB!#REF!)</f>
        <v>#REF!</v>
      </c>
      <c r="AH31" s="234" t="e">
        <f>SUM(MDB!#REF!)</f>
        <v>#REF!</v>
      </c>
      <c r="AI31" s="234" t="e">
        <f>SUM(MDB!#REF!)</f>
        <v>#REF!</v>
      </c>
      <c r="AJ31" s="247" t="e">
        <f>SUM(MDB!#REF!)</f>
        <v>#REF!</v>
      </c>
      <c r="AK31" s="237"/>
    </row>
    <row r="32" spans="2:37" x14ac:dyDescent="0.25">
      <c r="B32" s="237" t="s">
        <v>1754</v>
      </c>
      <c r="C32" s="237" t="s">
        <v>1755</v>
      </c>
      <c r="D32" s="234" t="e">
        <f>SUM(MDB!#REF!)</f>
        <v>#REF!</v>
      </c>
      <c r="E32" s="234" t="e">
        <f>SUM(MDB!#REF!)</f>
        <v>#REF!</v>
      </c>
      <c r="F32" s="234" t="e">
        <f>SUM(MDB!#REF!)</f>
        <v>#REF!</v>
      </c>
      <c r="G32" s="234" t="e">
        <f>SUM(MDB!#REF!)</f>
        <v>#REF!</v>
      </c>
      <c r="H32" s="234" t="e">
        <f>SUM(MDB!#REF!)</f>
        <v>#REF!</v>
      </c>
      <c r="I32" s="234" t="e">
        <f>SUM(MDB!#REF!)</f>
        <v>#REF!</v>
      </c>
      <c r="J32" s="234" t="e">
        <f>SUM(MDB!#REF!)</f>
        <v>#REF!</v>
      </c>
      <c r="K32" s="234">
        <v>0</v>
      </c>
      <c r="L32" s="234">
        <v>0</v>
      </c>
      <c r="M32" s="234">
        <v>0</v>
      </c>
      <c r="N32" s="234" t="e">
        <f>SUM(MDB!#REF!)</f>
        <v>#REF!</v>
      </c>
      <c r="O32" s="234">
        <v>18929.349999999999</v>
      </c>
      <c r="P32" s="234">
        <f>SUM(MDB!AK191:AK300)</f>
        <v>0</v>
      </c>
      <c r="Q32" s="234">
        <f>SUM(MDB!AL191:AL300)</f>
        <v>0</v>
      </c>
      <c r="R32" s="234">
        <f>SUM(MDB!AM191:AM300)</f>
        <v>0</v>
      </c>
      <c r="S32" s="234">
        <f>SUM(MDB!AN191:AN300)</f>
        <v>0</v>
      </c>
      <c r="T32" s="234">
        <f>SUM(MDB!AO191:AO300)</f>
        <v>0</v>
      </c>
      <c r="U32" s="234">
        <f>SUM(MDB!AP191:AP300)</f>
        <v>0</v>
      </c>
      <c r="V32" s="234">
        <f>SUM(MDB!AQ191:AQ300)</f>
        <v>0</v>
      </c>
      <c r="W32" s="234">
        <f>SUM(MDB!AR191:AR300)</f>
        <v>0</v>
      </c>
      <c r="X32" s="234" t="e">
        <f>SUM(MDB!#REF!)</f>
        <v>#REF!</v>
      </c>
      <c r="Y32" s="234" t="e">
        <f>SUM(MDB!#REF!)</f>
        <v>#REF!</v>
      </c>
      <c r="Z32" s="234" t="e">
        <f>SUM(MDB!#REF!)</f>
        <v>#REF!</v>
      </c>
      <c r="AA32" s="234" t="e">
        <f>SUM(MDB!#REF!)</f>
        <v>#REF!</v>
      </c>
      <c r="AB32" s="234" t="e">
        <f>SUM(MDB!#REF!)</f>
        <v>#REF!</v>
      </c>
      <c r="AC32" s="234" t="e">
        <f>SUM(MDB!#REF!)</f>
        <v>#REF!</v>
      </c>
      <c r="AD32" s="234" t="e">
        <f>SUM(MDB!#REF!)</f>
        <v>#REF!</v>
      </c>
      <c r="AE32" s="234" t="e">
        <f>SUM(MDB!#REF!)</f>
        <v>#REF!</v>
      </c>
      <c r="AF32" s="234" t="e">
        <f>SUM(MDB!#REF!)</f>
        <v>#REF!</v>
      </c>
      <c r="AG32" s="234" t="e">
        <f>SUM(MDB!#REF!)</f>
        <v>#REF!</v>
      </c>
      <c r="AH32" s="234" t="e">
        <f>SUM(MDB!#REF!)</f>
        <v>#REF!</v>
      </c>
      <c r="AI32" s="234" t="e">
        <f>SUM(MDB!#REF!)</f>
        <v>#REF!</v>
      </c>
      <c r="AJ32" s="247" t="e">
        <f>SUM(MDB!#REF!)</f>
        <v>#REF!</v>
      </c>
      <c r="AK32" s="237"/>
    </row>
    <row r="33" spans="2:37" x14ac:dyDescent="0.25">
      <c r="B33" s="237" t="s">
        <v>1754</v>
      </c>
      <c r="C33" s="237" t="s">
        <v>1755</v>
      </c>
      <c r="D33" s="234" t="e">
        <f>SUM(MDB!#REF!)</f>
        <v>#REF!</v>
      </c>
      <c r="E33" s="234" t="e">
        <f>SUM(MDB!#REF!)</f>
        <v>#REF!</v>
      </c>
      <c r="F33" s="234" t="e">
        <f>SUM(MDB!#REF!)</f>
        <v>#REF!</v>
      </c>
      <c r="G33" s="234" t="e">
        <f>SUM(MDB!#REF!)</f>
        <v>#REF!</v>
      </c>
      <c r="H33" s="234" t="e">
        <f>SUM(MDB!#REF!)</f>
        <v>#REF!</v>
      </c>
      <c r="I33" s="234" t="e">
        <f>SUM(MDB!#REF!)</f>
        <v>#REF!</v>
      </c>
      <c r="J33" s="234" t="e">
        <f>SUM(MDB!#REF!)</f>
        <v>#REF!</v>
      </c>
      <c r="K33" s="234">
        <v>0</v>
      </c>
      <c r="L33" s="234">
        <v>0</v>
      </c>
      <c r="M33" s="234">
        <v>0</v>
      </c>
      <c r="N33" s="234" t="e">
        <f>SUM(MDB!#REF!)</f>
        <v>#REF!</v>
      </c>
      <c r="O33" s="234">
        <f>SUM(MDB!AJ192:AJ301)</f>
        <v>0</v>
      </c>
      <c r="P33" s="234">
        <f>SUM(MDB!AK192:AK301)</f>
        <v>0</v>
      </c>
      <c r="Q33" s="234">
        <f>SUM(MDB!AL192:AL301)</f>
        <v>0</v>
      </c>
      <c r="R33" s="234">
        <f>SUM(MDB!AM192:AM301)</f>
        <v>0</v>
      </c>
      <c r="S33" s="234">
        <f>SUM(MDB!AN192:AN301)</f>
        <v>0</v>
      </c>
      <c r="T33" s="234">
        <f>SUM(MDB!AO192:AO301)</f>
        <v>0</v>
      </c>
      <c r="U33" s="234">
        <f>SUM(MDB!AP192:AP301)</f>
        <v>0</v>
      </c>
      <c r="V33" s="234">
        <f>SUM(MDB!AQ192:AQ301)</f>
        <v>0</v>
      </c>
      <c r="W33" s="234">
        <f>SUM(MDB!AR192:AR301)</f>
        <v>0</v>
      </c>
      <c r="X33" s="234" t="e">
        <f>SUM(MDB!#REF!)</f>
        <v>#REF!</v>
      </c>
      <c r="Y33" s="234" t="e">
        <f>SUM(MDB!#REF!)</f>
        <v>#REF!</v>
      </c>
      <c r="Z33" s="234" t="e">
        <f>SUM(MDB!#REF!)</f>
        <v>#REF!</v>
      </c>
      <c r="AA33" s="234" t="e">
        <f>SUM(MDB!#REF!)</f>
        <v>#REF!</v>
      </c>
      <c r="AB33" s="234" t="e">
        <f>SUM(MDB!#REF!)</f>
        <v>#REF!</v>
      </c>
      <c r="AC33" s="234" t="e">
        <f>SUM(MDB!#REF!)</f>
        <v>#REF!</v>
      </c>
      <c r="AD33" s="234" t="e">
        <f>SUM(MDB!#REF!)</f>
        <v>#REF!</v>
      </c>
      <c r="AE33" s="234" t="e">
        <f>SUM(MDB!#REF!)</f>
        <v>#REF!</v>
      </c>
      <c r="AF33" s="234" t="e">
        <f>SUM(MDB!#REF!)</f>
        <v>#REF!</v>
      </c>
      <c r="AG33" s="234" t="e">
        <f>SUM(MDB!#REF!)</f>
        <v>#REF!</v>
      </c>
      <c r="AH33" s="234" t="e">
        <f>SUM(MDB!#REF!)</f>
        <v>#REF!</v>
      </c>
      <c r="AI33" s="234" t="e">
        <f>SUM(MDB!#REF!)</f>
        <v>#REF!</v>
      </c>
      <c r="AJ33" s="247" t="e">
        <f>SUM(MDB!#REF!)</f>
        <v>#REF!</v>
      </c>
      <c r="AK33" s="237"/>
    </row>
    <row r="34" spans="2:37" x14ac:dyDescent="0.25">
      <c r="B34" s="237" t="s">
        <v>1754</v>
      </c>
      <c r="C34" s="237" t="s">
        <v>1755</v>
      </c>
      <c r="D34" s="234" t="e">
        <f>SUM(MDB!#REF!)</f>
        <v>#REF!</v>
      </c>
      <c r="E34" s="234" t="e">
        <f>SUM(MDB!#REF!)</f>
        <v>#REF!</v>
      </c>
      <c r="F34" s="234" t="e">
        <f>SUM(MDB!#REF!)</f>
        <v>#REF!</v>
      </c>
      <c r="G34" s="234" t="e">
        <f>SUM(MDB!#REF!)</f>
        <v>#REF!</v>
      </c>
      <c r="H34" s="234" t="e">
        <f>SUM(MDB!#REF!)</f>
        <v>#REF!</v>
      </c>
      <c r="I34" s="234" t="e">
        <f>SUM(MDB!#REF!)</f>
        <v>#REF!</v>
      </c>
      <c r="J34" s="234" t="e">
        <f>SUM(MDB!#REF!)</f>
        <v>#REF!</v>
      </c>
      <c r="K34" s="234">
        <v>0</v>
      </c>
      <c r="L34" s="234">
        <v>0</v>
      </c>
      <c r="M34" s="234">
        <v>0</v>
      </c>
      <c r="N34" s="234" t="e">
        <f>SUM(MDB!#REF!)</f>
        <v>#REF!</v>
      </c>
      <c r="O34" s="234">
        <f>SUM(MDB!AJ193:AJ302)</f>
        <v>0</v>
      </c>
      <c r="P34" s="234">
        <f>SUM(MDB!AK193:AK302)</f>
        <v>0</v>
      </c>
      <c r="Q34" s="234">
        <f>SUM(MDB!AL193:AL302)</f>
        <v>0</v>
      </c>
      <c r="R34" s="234">
        <f>SUM(MDB!AM193:AM302)</f>
        <v>0</v>
      </c>
      <c r="S34" s="234">
        <f>SUM(MDB!AN193:AN302)</f>
        <v>0</v>
      </c>
      <c r="T34" s="234">
        <f>SUM(MDB!AO193:AO302)</f>
        <v>0</v>
      </c>
      <c r="U34" s="234">
        <f>SUM(MDB!AP193:AP302)</f>
        <v>0</v>
      </c>
      <c r="V34" s="234">
        <f>SUM(MDB!AQ193:AQ302)</f>
        <v>0</v>
      </c>
      <c r="W34" s="234">
        <f>SUM(MDB!AR193:AR302)</f>
        <v>0</v>
      </c>
      <c r="X34" s="234" t="e">
        <f>SUM(MDB!#REF!)</f>
        <v>#REF!</v>
      </c>
      <c r="Y34" s="234" t="e">
        <f>SUM(MDB!#REF!)</f>
        <v>#REF!</v>
      </c>
      <c r="Z34" s="234" t="e">
        <f>SUM(MDB!#REF!)</f>
        <v>#REF!</v>
      </c>
      <c r="AA34" s="234" t="e">
        <f>SUM(MDB!#REF!)</f>
        <v>#REF!</v>
      </c>
      <c r="AB34" s="234" t="e">
        <f>SUM(MDB!#REF!)</f>
        <v>#REF!</v>
      </c>
      <c r="AC34" s="234" t="e">
        <f>SUM(MDB!#REF!)</f>
        <v>#REF!</v>
      </c>
      <c r="AD34" s="234" t="e">
        <f>SUM(MDB!#REF!)</f>
        <v>#REF!</v>
      </c>
      <c r="AE34" s="234" t="e">
        <f>SUM(MDB!#REF!)</f>
        <v>#REF!</v>
      </c>
      <c r="AF34" s="234" t="e">
        <f>SUM(MDB!#REF!)</f>
        <v>#REF!</v>
      </c>
      <c r="AG34" s="234" t="e">
        <f>SUM(MDB!#REF!)</f>
        <v>#REF!</v>
      </c>
      <c r="AH34" s="234" t="e">
        <f>SUM(MDB!#REF!)</f>
        <v>#REF!</v>
      </c>
      <c r="AI34" s="234" t="e">
        <f>SUM(MDB!#REF!)</f>
        <v>#REF!</v>
      </c>
      <c r="AJ34" s="247" t="e">
        <f>SUM(MDB!#REF!)</f>
        <v>#REF!</v>
      </c>
      <c r="AK34" s="237"/>
    </row>
    <row r="35" spans="2:37" x14ac:dyDescent="0.25">
      <c r="B35" s="237" t="s">
        <v>1754</v>
      </c>
      <c r="C35" s="237" t="s">
        <v>1755</v>
      </c>
      <c r="D35" s="234" t="e">
        <f>SUM(MDB!#REF!)</f>
        <v>#REF!</v>
      </c>
      <c r="E35" s="234" t="e">
        <f>SUM(MDB!#REF!)</f>
        <v>#REF!</v>
      </c>
      <c r="F35" s="234" t="e">
        <f>SUM(MDB!#REF!)</f>
        <v>#REF!</v>
      </c>
      <c r="G35" s="234" t="e">
        <f>SUM(MDB!#REF!)</f>
        <v>#REF!</v>
      </c>
      <c r="H35" s="234" t="e">
        <f>SUM(MDB!#REF!)</f>
        <v>#REF!</v>
      </c>
      <c r="I35" s="234" t="e">
        <f>SUM(MDB!#REF!)</f>
        <v>#REF!</v>
      </c>
      <c r="J35" s="234">
        <v>111698.75</v>
      </c>
      <c r="K35" s="234">
        <v>0</v>
      </c>
      <c r="L35" s="234">
        <v>0</v>
      </c>
      <c r="M35" s="234">
        <v>0</v>
      </c>
      <c r="N35" s="234" t="e">
        <f>SUM(MDB!#REF!)</f>
        <v>#REF!</v>
      </c>
      <c r="O35" s="234">
        <f>SUM(MDB!AJ194:AJ303)</f>
        <v>0</v>
      </c>
      <c r="P35" s="234">
        <f>SUM(MDB!AK194:AK303)</f>
        <v>0</v>
      </c>
      <c r="Q35" s="234">
        <f>SUM(MDB!AL194:AL303)</f>
        <v>0</v>
      </c>
      <c r="R35" s="234">
        <f>SUM(MDB!AM194:AM303)</f>
        <v>0</v>
      </c>
      <c r="S35" s="234">
        <f>SUM(MDB!AN194:AN303)</f>
        <v>0</v>
      </c>
      <c r="T35" s="234">
        <f>SUM(MDB!AO194:AO303)</f>
        <v>0</v>
      </c>
      <c r="U35" s="234">
        <f>SUM(MDB!AP194:AP303)</f>
        <v>0</v>
      </c>
      <c r="V35" s="234">
        <f>SUM(MDB!AQ194:AQ303)</f>
        <v>0</v>
      </c>
      <c r="W35" s="234">
        <f>SUM(MDB!AR194:AR303)</f>
        <v>0</v>
      </c>
      <c r="X35" s="234" t="e">
        <f>SUM(MDB!#REF!)</f>
        <v>#REF!</v>
      </c>
      <c r="Y35" s="234" t="e">
        <f>SUM(MDB!#REF!)</f>
        <v>#REF!</v>
      </c>
      <c r="Z35" s="234" t="e">
        <f>SUM(MDB!#REF!)</f>
        <v>#REF!</v>
      </c>
      <c r="AA35" s="234" t="e">
        <f>SUM(MDB!#REF!)</f>
        <v>#REF!</v>
      </c>
      <c r="AB35" s="234" t="e">
        <f>SUM(MDB!#REF!)</f>
        <v>#REF!</v>
      </c>
      <c r="AC35" s="234" t="e">
        <f>SUM(MDB!#REF!)</f>
        <v>#REF!</v>
      </c>
      <c r="AD35" s="234" t="e">
        <f>SUM(MDB!#REF!)</f>
        <v>#REF!</v>
      </c>
      <c r="AE35" s="234" t="e">
        <f>SUM(MDB!#REF!)</f>
        <v>#REF!</v>
      </c>
      <c r="AF35" s="234" t="e">
        <f>SUM(MDB!#REF!)</f>
        <v>#REF!</v>
      </c>
      <c r="AG35" s="234" t="e">
        <f>SUM(MDB!#REF!)</f>
        <v>#REF!</v>
      </c>
      <c r="AH35" s="234" t="e">
        <f>SUM(MDB!#REF!)</f>
        <v>#REF!</v>
      </c>
      <c r="AI35" s="234" t="e">
        <f>SUM(MDB!#REF!)</f>
        <v>#REF!</v>
      </c>
      <c r="AJ35" s="247" t="e">
        <f>SUM(MDB!#REF!)</f>
        <v>#REF!</v>
      </c>
      <c r="AK35" s="237"/>
    </row>
    <row r="36" spans="2:37" x14ac:dyDescent="0.25">
      <c r="B36" s="237" t="s">
        <v>1754</v>
      </c>
      <c r="C36" s="237" t="s">
        <v>1755</v>
      </c>
      <c r="D36" s="234" t="e">
        <f>SUM(MDB!#REF!)</f>
        <v>#REF!</v>
      </c>
      <c r="E36" s="234" t="e">
        <f>SUM(MDB!#REF!)</f>
        <v>#REF!</v>
      </c>
      <c r="F36" s="234" t="e">
        <f>SUM(MDB!#REF!)</f>
        <v>#REF!</v>
      </c>
      <c r="G36" s="234" t="e">
        <f>SUM(MDB!#REF!)</f>
        <v>#REF!</v>
      </c>
      <c r="H36" s="234" t="e">
        <f>SUM(MDB!#REF!)</f>
        <v>#REF!</v>
      </c>
      <c r="I36" s="234" t="e">
        <f>SUM(MDB!#REF!)</f>
        <v>#REF!</v>
      </c>
      <c r="J36" s="234" t="e">
        <f>SUM(MDB!#REF!)</f>
        <v>#REF!</v>
      </c>
      <c r="K36" s="234">
        <v>0</v>
      </c>
      <c r="L36" s="234">
        <v>0</v>
      </c>
      <c r="M36" s="234">
        <v>111698.75</v>
      </c>
      <c r="N36" s="234" t="e">
        <f>SUM(MDB!#REF!)</f>
        <v>#REF!</v>
      </c>
      <c r="O36" s="234">
        <f>SUM(MDB!AJ195:AJ304)</f>
        <v>0</v>
      </c>
      <c r="P36" s="234">
        <f>SUM(MDB!AK195:AK304)</f>
        <v>0</v>
      </c>
      <c r="Q36" s="234">
        <f>SUM(MDB!AL195:AL304)</f>
        <v>0</v>
      </c>
      <c r="R36" s="234">
        <f>SUM(MDB!AM195:AM304)</f>
        <v>0</v>
      </c>
      <c r="S36" s="234">
        <f>SUM(MDB!AN195:AN304)</f>
        <v>0</v>
      </c>
      <c r="T36" s="234">
        <f>SUM(MDB!AO195:AO304)</f>
        <v>0</v>
      </c>
      <c r="U36" s="234">
        <f>SUM(MDB!AP195:AP304)</f>
        <v>0</v>
      </c>
      <c r="V36" s="234">
        <f>SUM(MDB!AQ195:AQ304)</f>
        <v>0</v>
      </c>
      <c r="W36" s="234">
        <f>SUM(MDB!AR195:AR304)</f>
        <v>0</v>
      </c>
      <c r="X36" s="234" t="e">
        <f>SUM(MDB!#REF!)</f>
        <v>#REF!</v>
      </c>
      <c r="Y36" s="234" t="e">
        <f>SUM(MDB!#REF!)</f>
        <v>#REF!</v>
      </c>
      <c r="Z36" s="234" t="e">
        <f>SUM(MDB!#REF!)</f>
        <v>#REF!</v>
      </c>
      <c r="AA36" s="234" t="e">
        <f>SUM(MDB!#REF!)</f>
        <v>#REF!</v>
      </c>
      <c r="AB36" s="234" t="e">
        <f>SUM(MDB!#REF!)</f>
        <v>#REF!</v>
      </c>
      <c r="AC36" s="234" t="e">
        <f>SUM(MDB!#REF!)</f>
        <v>#REF!</v>
      </c>
      <c r="AD36" s="234" t="e">
        <f>SUM(MDB!#REF!)</f>
        <v>#REF!</v>
      </c>
      <c r="AE36" s="234" t="e">
        <f>SUM(MDB!#REF!)</f>
        <v>#REF!</v>
      </c>
      <c r="AF36" s="234" t="e">
        <f>SUM(MDB!#REF!)</f>
        <v>#REF!</v>
      </c>
      <c r="AG36" s="234" t="e">
        <f>SUM(MDB!#REF!)</f>
        <v>#REF!</v>
      </c>
      <c r="AH36" s="234" t="e">
        <f>SUM(MDB!#REF!)</f>
        <v>#REF!</v>
      </c>
      <c r="AI36" s="234" t="e">
        <f>SUM(MDB!#REF!)</f>
        <v>#REF!</v>
      </c>
      <c r="AJ36" s="247" t="e">
        <f>SUM(MDB!#REF!)</f>
        <v>#REF!</v>
      </c>
      <c r="AK36" s="237"/>
    </row>
    <row r="37" spans="2:37" x14ac:dyDescent="0.25">
      <c r="B37" s="237" t="s">
        <v>1754</v>
      </c>
      <c r="C37" s="237" t="s">
        <v>1755</v>
      </c>
      <c r="D37" s="234" t="e">
        <f>SUM(MDB!#REF!)</f>
        <v>#REF!</v>
      </c>
      <c r="E37" s="234" t="e">
        <f>SUM(MDB!#REF!)</f>
        <v>#REF!</v>
      </c>
      <c r="F37" s="234" t="e">
        <f>SUM(MDB!#REF!)</f>
        <v>#REF!</v>
      </c>
      <c r="G37" s="234" t="e">
        <f>SUM(MDB!#REF!)</f>
        <v>#REF!</v>
      </c>
      <c r="H37" s="234" t="e">
        <f>SUM(MDB!#REF!)</f>
        <v>#REF!</v>
      </c>
      <c r="I37" s="234" t="e">
        <f>SUM(MDB!#REF!)</f>
        <v>#REF!</v>
      </c>
      <c r="J37" s="234" t="e">
        <f>SUM(MDB!#REF!)</f>
        <v>#REF!</v>
      </c>
      <c r="K37" s="234">
        <v>0</v>
      </c>
      <c r="L37" s="234">
        <v>0</v>
      </c>
      <c r="M37" s="234">
        <v>0</v>
      </c>
      <c r="N37" s="234" t="e">
        <f>SUM(MDB!#REF!)</f>
        <v>#REF!</v>
      </c>
      <c r="O37" s="234">
        <v>44679.5</v>
      </c>
      <c r="P37" s="234">
        <f>SUM(MDB!AK196:AK305)</f>
        <v>0</v>
      </c>
      <c r="Q37" s="234">
        <f>SUM(MDB!AL196:AL305)</f>
        <v>0</v>
      </c>
      <c r="R37" s="234">
        <f>SUM(MDB!AM196:AM305)</f>
        <v>0</v>
      </c>
      <c r="S37" s="234">
        <f>SUM(MDB!AN196:AN305)</f>
        <v>0</v>
      </c>
      <c r="T37" s="234">
        <f>SUM(MDB!AO196:AO305)</f>
        <v>0</v>
      </c>
      <c r="U37" s="234">
        <f>SUM(MDB!AP196:AP305)</f>
        <v>0</v>
      </c>
      <c r="V37" s="234">
        <f>SUM(MDB!AQ196:AQ305)</f>
        <v>0</v>
      </c>
      <c r="W37" s="234">
        <f>SUM(MDB!AR196:AR305)</f>
        <v>0</v>
      </c>
      <c r="X37" s="234" t="e">
        <f>SUM(MDB!#REF!)</f>
        <v>#REF!</v>
      </c>
      <c r="Y37" s="234" t="e">
        <f>SUM(MDB!#REF!)</f>
        <v>#REF!</v>
      </c>
      <c r="Z37" s="234" t="e">
        <f>SUM(MDB!#REF!)</f>
        <v>#REF!</v>
      </c>
      <c r="AA37" s="234" t="e">
        <f>SUM(MDB!#REF!)</f>
        <v>#REF!</v>
      </c>
      <c r="AB37" s="234" t="e">
        <f>SUM(MDB!#REF!)</f>
        <v>#REF!</v>
      </c>
      <c r="AC37" s="234" t="e">
        <f>SUM(MDB!#REF!)</f>
        <v>#REF!</v>
      </c>
      <c r="AD37" s="234" t="e">
        <f>SUM(MDB!#REF!)</f>
        <v>#REF!</v>
      </c>
      <c r="AE37" s="234" t="e">
        <f>SUM(MDB!#REF!)</f>
        <v>#REF!</v>
      </c>
      <c r="AF37" s="234" t="e">
        <f>SUM(MDB!#REF!)</f>
        <v>#REF!</v>
      </c>
      <c r="AG37" s="234" t="e">
        <f>SUM(MDB!#REF!)</f>
        <v>#REF!</v>
      </c>
      <c r="AH37" s="234" t="e">
        <f>SUM(MDB!#REF!)</f>
        <v>#REF!</v>
      </c>
      <c r="AI37" s="234" t="e">
        <f>SUM(MDB!#REF!)</f>
        <v>#REF!</v>
      </c>
      <c r="AJ37" s="247" t="e">
        <f>SUM(MDB!#REF!)</f>
        <v>#REF!</v>
      </c>
      <c r="AK37" s="237"/>
    </row>
    <row r="38" spans="2:37" x14ac:dyDescent="0.25">
      <c r="B38" s="237" t="s">
        <v>1754</v>
      </c>
      <c r="C38" s="237" t="s">
        <v>1755</v>
      </c>
      <c r="D38" s="234" t="e">
        <f>SUM(MDB!#REF!)</f>
        <v>#REF!</v>
      </c>
      <c r="E38" s="234" t="e">
        <f>SUM(MDB!#REF!)</f>
        <v>#REF!</v>
      </c>
      <c r="F38" s="234" t="e">
        <f>SUM(MDB!#REF!)</f>
        <v>#REF!</v>
      </c>
      <c r="G38" s="234" t="e">
        <f>SUM(MDB!#REF!)</f>
        <v>#REF!</v>
      </c>
      <c r="H38" s="234" t="e">
        <f>SUM(MDB!#REF!)</f>
        <v>#REF!</v>
      </c>
      <c r="I38" s="234" t="e">
        <f>SUM(MDB!#REF!)</f>
        <v>#REF!</v>
      </c>
      <c r="J38" s="234" t="e">
        <f>SUM(MDB!#REF!)</f>
        <v>#REF!</v>
      </c>
      <c r="K38" s="234">
        <v>0</v>
      </c>
      <c r="L38" s="234">
        <v>0</v>
      </c>
      <c r="M38" s="234">
        <v>0</v>
      </c>
      <c r="N38" s="234" t="e">
        <f>SUM(MDB!#REF!)</f>
        <v>#REF!</v>
      </c>
      <c r="O38" s="234">
        <f>SUM(MDB!AJ197:AJ306)</f>
        <v>0</v>
      </c>
      <c r="P38" s="234">
        <v>22339.75</v>
      </c>
      <c r="Q38" s="234">
        <f>SUM(MDB!AL197:AL306)</f>
        <v>0</v>
      </c>
      <c r="R38" s="234">
        <f>SUM(MDB!AM197:AM306)</f>
        <v>0</v>
      </c>
      <c r="S38" s="234">
        <f>SUM(MDB!AN197:AN306)</f>
        <v>0</v>
      </c>
      <c r="T38" s="234">
        <f>SUM(MDB!AO197:AO306)</f>
        <v>0</v>
      </c>
      <c r="U38" s="234">
        <f>SUM(MDB!AP197:AP306)</f>
        <v>0</v>
      </c>
      <c r="V38" s="234">
        <f>SUM(MDB!AQ197:AQ306)</f>
        <v>0</v>
      </c>
      <c r="W38" s="234">
        <f>SUM(MDB!AR197:AR306)</f>
        <v>0</v>
      </c>
      <c r="X38" s="234" t="e">
        <f>SUM(MDB!#REF!)</f>
        <v>#REF!</v>
      </c>
      <c r="Y38" s="234" t="e">
        <f>SUM(MDB!#REF!)</f>
        <v>#REF!</v>
      </c>
      <c r="Z38" s="234" t="e">
        <f>SUM(MDB!#REF!)</f>
        <v>#REF!</v>
      </c>
      <c r="AA38" s="234" t="e">
        <f>SUM(MDB!#REF!)</f>
        <v>#REF!</v>
      </c>
      <c r="AB38" s="234" t="e">
        <f>SUM(MDB!#REF!)</f>
        <v>#REF!</v>
      </c>
      <c r="AC38" s="234" t="e">
        <f>SUM(MDB!#REF!)</f>
        <v>#REF!</v>
      </c>
      <c r="AD38" s="234" t="e">
        <f>SUM(MDB!#REF!)</f>
        <v>#REF!</v>
      </c>
      <c r="AE38" s="234" t="e">
        <f>SUM(MDB!#REF!)</f>
        <v>#REF!</v>
      </c>
      <c r="AF38" s="234" t="e">
        <f>SUM(MDB!#REF!)</f>
        <v>#REF!</v>
      </c>
      <c r="AG38" s="234" t="e">
        <f>SUM(MDB!#REF!)</f>
        <v>#REF!</v>
      </c>
      <c r="AH38" s="234" t="e">
        <f>SUM(MDB!#REF!)</f>
        <v>#REF!</v>
      </c>
      <c r="AI38" s="234" t="e">
        <f>SUM(MDB!#REF!)</f>
        <v>#REF!</v>
      </c>
      <c r="AJ38" s="247" t="e">
        <f>SUM(MDB!#REF!)</f>
        <v>#REF!</v>
      </c>
      <c r="AK38" s="237"/>
    </row>
    <row r="39" spans="2:37" x14ac:dyDescent="0.25">
      <c r="B39" s="237" t="s">
        <v>1754</v>
      </c>
      <c r="C39" s="237" t="s">
        <v>1755</v>
      </c>
      <c r="D39" s="234" t="e">
        <f>SUM(MDB!#REF!)</f>
        <v>#REF!</v>
      </c>
      <c r="E39" s="234" t="e">
        <f>SUM(MDB!#REF!)</f>
        <v>#REF!</v>
      </c>
      <c r="F39" s="234" t="e">
        <f>SUM(MDB!#REF!)</f>
        <v>#REF!</v>
      </c>
      <c r="G39" s="234" t="e">
        <f>SUM(MDB!#REF!)</f>
        <v>#REF!</v>
      </c>
      <c r="H39" s="234" t="e">
        <f>SUM(MDB!#REF!)</f>
        <v>#REF!</v>
      </c>
      <c r="I39" s="234" t="e">
        <f>SUM(MDB!#REF!)</f>
        <v>#REF!</v>
      </c>
      <c r="J39" s="234" t="e">
        <f>SUM(MDB!#REF!)</f>
        <v>#REF!</v>
      </c>
      <c r="K39" s="234">
        <v>0</v>
      </c>
      <c r="L39" s="234">
        <v>0</v>
      </c>
      <c r="M39" s="234">
        <v>0</v>
      </c>
      <c r="N39" s="234" t="e">
        <f>SUM(MDB!#REF!)</f>
        <v>#REF!</v>
      </c>
      <c r="O39" s="234">
        <f>SUM(MDB!AJ198:AJ307)</f>
        <v>0</v>
      </c>
      <c r="P39" s="234">
        <f>SUM(MDB!AK198:AK307)</f>
        <v>0</v>
      </c>
      <c r="Q39" s="234">
        <f>SUM(MDB!AL198:AL307)</f>
        <v>0</v>
      </c>
      <c r="R39" s="234">
        <f>SUM(MDB!AM198:AM307)</f>
        <v>0</v>
      </c>
      <c r="S39" s="234">
        <f>SUM(MDB!AN198:AN307)</f>
        <v>0</v>
      </c>
      <c r="T39" s="234">
        <f>SUM(MDB!AO198:AO307)</f>
        <v>0</v>
      </c>
      <c r="U39" s="234">
        <f>SUM(MDB!AP198:AP307)</f>
        <v>0</v>
      </c>
      <c r="V39" s="234">
        <f>SUM(MDB!AQ198:AQ307)</f>
        <v>0</v>
      </c>
      <c r="W39" s="234">
        <f>SUM(MDB!AR198:AR307)</f>
        <v>0</v>
      </c>
      <c r="X39" s="234" t="e">
        <f>SUM(MDB!#REF!)</f>
        <v>#REF!</v>
      </c>
      <c r="Y39" s="234" t="e">
        <f>SUM(MDB!#REF!)</f>
        <v>#REF!</v>
      </c>
      <c r="Z39" s="234" t="e">
        <f>SUM(MDB!#REF!)</f>
        <v>#REF!</v>
      </c>
      <c r="AA39" s="234" t="e">
        <f>SUM(MDB!#REF!)</f>
        <v>#REF!</v>
      </c>
      <c r="AB39" s="234" t="e">
        <f>SUM(MDB!#REF!)</f>
        <v>#REF!</v>
      </c>
      <c r="AC39" s="234" t="e">
        <f>SUM(MDB!#REF!)</f>
        <v>#REF!</v>
      </c>
      <c r="AD39" s="234" t="e">
        <f>SUM(MDB!#REF!)</f>
        <v>#REF!</v>
      </c>
      <c r="AE39" s="234" t="e">
        <f>SUM(MDB!#REF!)</f>
        <v>#REF!</v>
      </c>
      <c r="AF39" s="234" t="e">
        <f>SUM(MDB!#REF!)</f>
        <v>#REF!</v>
      </c>
      <c r="AG39" s="234" t="e">
        <f>SUM(MDB!#REF!)</f>
        <v>#REF!</v>
      </c>
      <c r="AH39" s="234" t="e">
        <f>SUM(MDB!#REF!)</f>
        <v>#REF!</v>
      </c>
      <c r="AI39" s="234" t="e">
        <f>SUM(MDB!#REF!)</f>
        <v>#REF!</v>
      </c>
      <c r="AJ39" s="247" t="e">
        <f>SUM(MDB!#REF!)</f>
        <v>#REF!</v>
      </c>
      <c r="AK39" s="237"/>
    </row>
    <row r="40" spans="2:37" x14ac:dyDescent="0.25">
      <c r="B40" s="237" t="s">
        <v>1683</v>
      </c>
      <c r="C40" s="237" t="s">
        <v>1755</v>
      </c>
      <c r="D40" s="234" t="e">
        <f>SUM(MDB!#REF!)</f>
        <v>#REF!</v>
      </c>
      <c r="E40" s="234">
        <v>0</v>
      </c>
      <c r="F40" s="234">
        <v>0</v>
      </c>
      <c r="G40" s="234" t="e">
        <f>SUM(MDB!#REF!)</f>
        <v>#REF!</v>
      </c>
      <c r="H40" s="234" t="e">
        <f>SUM(MDB!#REF!)</f>
        <v>#REF!</v>
      </c>
      <c r="I40" s="234" t="e">
        <f>SUM(MDB!#REF!)</f>
        <v>#REF!</v>
      </c>
      <c r="J40" s="234" t="e">
        <f>SUM(MDB!#REF!)</f>
        <v>#REF!</v>
      </c>
      <c r="K40" s="234">
        <v>0</v>
      </c>
      <c r="L40" s="234">
        <v>0</v>
      </c>
      <c r="M40" s="234">
        <v>0</v>
      </c>
      <c r="N40" s="234" t="e">
        <f>SUM(MDB!#REF!)</f>
        <v>#REF!</v>
      </c>
      <c r="O40" s="234">
        <f>SUM(MDB!AJ199:AJ308)</f>
        <v>0</v>
      </c>
      <c r="P40" s="234">
        <f>SUM(MDB!AK199:AK308)</f>
        <v>0</v>
      </c>
      <c r="Q40" s="234">
        <f>SUM(MDB!AL199:AL308)</f>
        <v>0</v>
      </c>
      <c r="R40" s="234">
        <f>SUM(MDB!AM199:AM308)</f>
        <v>0</v>
      </c>
      <c r="S40" s="234">
        <f>SUM(MDB!AN199:AN308)</f>
        <v>0</v>
      </c>
      <c r="T40" s="234">
        <f>SUM(MDB!AO199:AO308)</f>
        <v>0</v>
      </c>
      <c r="U40" s="234">
        <f>SUM(MDB!AP199:AP308)</f>
        <v>0</v>
      </c>
      <c r="V40" s="234">
        <f>SUM(MDB!AQ199:AQ308)</f>
        <v>0</v>
      </c>
      <c r="W40" s="234">
        <f>SUM(MDB!AR199:AR308)</f>
        <v>0</v>
      </c>
      <c r="X40" s="234" t="e">
        <f>SUM(MDB!#REF!)</f>
        <v>#REF!</v>
      </c>
      <c r="Y40" s="234" t="e">
        <f>SUM(MDB!#REF!)</f>
        <v>#REF!</v>
      </c>
      <c r="Z40" s="234" t="e">
        <f>SUM(MDB!#REF!)</f>
        <v>#REF!</v>
      </c>
      <c r="AA40" s="234" t="e">
        <f>SUM(MDB!#REF!)</f>
        <v>#REF!</v>
      </c>
      <c r="AB40" s="234" t="e">
        <f>SUM(MDB!#REF!)</f>
        <v>#REF!</v>
      </c>
      <c r="AC40" s="234" t="e">
        <f>SUM(MDB!#REF!)</f>
        <v>#REF!</v>
      </c>
      <c r="AD40" s="234" t="e">
        <f>SUM(MDB!#REF!)</f>
        <v>#REF!</v>
      </c>
      <c r="AE40" s="234" t="e">
        <f>SUM(MDB!#REF!)</f>
        <v>#REF!</v>
      </c>
      <c r="AF40" s="234" t="e">
        <f>SUM(MDB!#REF!)</f>
        <v>#REF!</v>
      </c>
      <c r="AG40" s="234" t="e">
        <f>SUM(MDB!#REF!)</f>
        <v>#REF!</v>
      </c>
      <c r="AH40" s="234" t="e">
        <f>SUM(MDB!#REF!)</f>
        <v>#REF!</v>
      </c>
      <c r="AI40" s="234" t="e">
        <f>SUM(MDB!#REF!)</f>
        <v>#REF!</v>
      </c>
      <c r="AJ40" s="247" t="e">
        <f>SUM(MDB!#REF!)</f>
        <v>#REF!</v>
      </c>
      <c r="AK40" s="237"/>
    </row>
    <row r="41" spans="2:37" x14ac:dyDescent="0.25">
      <c r="B41" s="237" t="s">
        <v>1683</v>
      </c>
      <c r="C41" s="237" t="s">
        <v>1755</v>
      </c>
      <c r="D41" s="234" t="e">
        <f>SUM(MDB!#REF!)</f>
        <v>#REF!</v>
      </c>
      <c r="E41" s="234" t="e">
        <f>SUM(MDB!#REF!)</f>
        <v>#REF!</v>
      </c>
      <c r="F41" s="234">
        <v>0</v>
      </c>
      <c r="G41" s="234" t="e">
        <f>SUM(MDB!#REF!)</f>
        <v>#REF!</v>
      </c>
      <c r="H41" s="234" t="e">
        <f>SUM(MDB!#REF!)</f>
        <v>#REF!</v>
      </c>
      <c r="I41" s="234" t="e">
        <f>SUM(MDB!#REF!)</f>
        <v>#REF!</v>
      </c>
      <c r="J41" s="234" t="e">
        <f>SUM(MDB!#REF!)</f>
        <v>#REF!</v>
      </c>
      <c r="K41" s="234">
        <v>0</v>
      </c>
      <c r="L41" s="234">
        <v>0</v>
      </c>
      <c r="M41" s="234">
        <v>0</v>
      </c>
      <c r="N41" s="234" t="e">
        <f>SUM(MDB!#REF!)</f>
        <v>#REF!</v>
      </c>
      <c r="O41" s="234">
        <f>SUM(MDB!AJ200:AJ309)</f>
        <v>0</v>
      </c>
      <c r="P41" s="234">
        <f>SUM(MDB!AK200:AK309)</f>
        <v>0</v>
      </c>
      <c r="Q41" s="234">
        <f>SUM(MDB!AL200:AL309)</f>
        <v>0</v>
      </c>
      <c r="R41" s="234">
        <f>SUM(MDB!AM200:AM309)</f>
        <v>0</v>
      </c>
      <c r="S41" s="234">
        <f>SUM(MDB!AN200:AN309)</f>
        <v>0</v>
      </c>
      <c r="T41" s="234">
        <f>SUM(MDB!AO200:AO309)</f>
        <v>0</v>
      </c>
      <c r="U41" s="234">
        <f>SUM(MDB!AP200:AP309)</f>
        <v>0</v>
      </c>
      <c r="V41" s="234">
        <f>SUM(MDB!AQ200:AQ309)</f>
        <v>0</v>
      </c>
      <c r="W41" s="234">
        <f>SUM(MDB!AR200:AR309)</f>
        <v>0</v>
      </c>
      <c r="X41" s="234" t="e">
        <f>SUM(MDB!#REF!)</f>
        <v>#REF!</v>
      </c>
      <c r="Y41" s="234" t="e">
        <f>SUM(MDB!#REF!)</f>
        <v>#REF!</v>
      </c>
      <c r="Z41" s="234" t="e">
        <f>SUM(MDB!#REF!)</f>
        <v>#REF!</v>
      </c>
      <c r="AA41" s="234" t="e">
        <f>SUM(MDB!#REF!)</f>
        <v>#REF!</v>
      </c>
      <c r="AB41" s="234" t="e">
        <f>SUM(MDB!#REF!)</f>
        <v>#REF!</v>
      </c>
      <c r="AC41" s="234" t="e">
        <f>SUM(MDB!#REF!)</f>
        <v>#REF!</v>
      </c>
      <c r="AD41" s="234" t="e">
        <f>SUM(MDB!#REF!)</f>
        <v>#REF!</v>
      </c>
      <c r="AE41" s="234" t="e">
        <f>SUM(MDB!#REF!)</f>
        <v>#REF!</v>
      </c>
      <c r="AF41" s="234" t="e">
        <f>SUM(MDB!#REF!)</f>
        <v>#REF!</v>
      </c>
      <c r="AG41" s="234" t="e">
        <f>SUM(MDB!#REF!)</f>
        <v>#REF!</v>
      </c>
      <c r="AH41" s="234" t="e">
        <f>SUM(MDB!#REF!)</f>
        <v>#REF!</v>
      </c>
      <c r="AI41" s="234" t="e">
        <f>SUM(MDB!#REF!)</f>
        <v>#REF!</v>
      </c>
      <c r="AJ41" s="247" t="e">
        <f>SUM(MDB!#REF!)</f>
        <v>#REF!</v>
      </c>
      <c r="AK41" s="237"/>
    </row>
    <row r="42" spans="2:37" x14ac:dyDescent="0.25">
      <c r="B42" s="237" t="s">
        <v>1683</v>
      </c>
      <c r="C42" s="237" t="s">
        <v>1755</v>
      </c>
      <c r="D42" s="234" t="e">
        <f>SUM(MDB!#REF!)</f>
        <v>#REF!</v>
      </c>
      <c r="E42" s="234" t="e">
        <f>SUM(MDB!#REF!)</f>
        <v>#REF!</v>
      </c>
      <c r="F42" s="234" t="e">
        <f>SUM(MDB!#REF!)</f>
        <v>#REF!</v>
      </c>
      <c r="G42" s="234" t="e">
        <f>SUM(MDB!#REF!)</f>
        <v>#REF!</v>
      </c>
      <c r="H42" s="234" t="e">
        <f>SUM(MDB!#REF!)</f>
        <v>#REF!</v>
      </c>
      <c r="I42" s="234">
        <v>554847</v>
      </c>
      <c r="J42" s="234" t="e">
        <f>SUM(MDB!#REF!)</f>
        <v>#REF!</v>
      </c>
      <c r="K42" s="234">
        <v>0</v>
      </c>
      <c r="L42" s="234">
        <v>0</v>
      </c>
      <c r="M42" s="234">
        <v>0</v>
      </c>
      <c r="N42" s="234" t="e">
        <f>SUM(MDB!#REF!)</f>
        <v>#REF!</v>
      </c>
      <c r="O42" s="234">
        <f>SUM(MDB!AJ201:AJ310)</f>
        <v>0</v>
      </c>
      <c r="P42" s="234">
        <f>SUM(MDB!AK201:AK310)</f>
        <v>0</v>
      </c>
      <c r="Q42" s="234">
        <f>SUM(MDB!AL201:AL310)</f>
        <v>0</v>
      </c>
      <c r="R42" s="234">
        <f>SUM(MDB!AM201:AM310)</f>
        <v>0</v>
      </c>
      <c r="S42" s="234">
        <f>SUM(MDB!AN201:AN310)</f>
        <v>0</v>
      </c>
      <c r="T42" s="234">
        <f>SUM(MDB!AO201:AO310)</f>
        <v>0</v>
      </c>
      <c r="U42" s="234">
        <f>SUM(MDB!AP201:AP310)</f>
        <v>0</v>
      </c>
      <c r="V42" s="234">
        <f>SUM(MDB!AQ201:AQ310)</f>
        <v>0</v>
      </c>
      <c r="W42" s="234">
        <f>SUM(MDB!AR201:AR310)</f>
        <v>0</v>
      </c>
      <c r="X42" s="234" t="e">
        <f>SUM(MDB!#REF!)</f>
        <v>#REF!</v>
      </c>
      <c r="Y42" s="234" t="e">
        <f>SUM(MDB!#REF!)</f>
        <v>#REF!</v>
      </c>
      <c r="Z42" s="234" t="e">
        <f>SUM(MDB!#REF!)</f>
        <v>#REF!</v>
      </c>
      <c r="AA42" s="234" t="e">
        <f>SUM(MDB!#REF!)</f>
        <v>#REF!</v>
      </c>
      <c r="AB42" s="234" t="e">
        <f>SUM(MDB!#REF!)</f>
        <v>#REF!</v>
      </c>
      <c r="AC42" s="234" t="e">
        <f>SUM(MDB!#REF!)</f>
        <v>#REF!</v>
      </c>
      <c r="AD42" s="234" t="e">
        <f>SUM(MDB!#REF!)</f>
        <v>#REF!</v>
      </c>
      <c r="AE42" s="234" t="e">
        <f>SUM(MDB!#REF!)</f>
        <v>#REF!</v>
      </c>
      <c r="AF42" s="234" t="e">
        <f>SUM(MDB!#REF!)</f>
        <v>#REF!</v>
      </c>
      <c r="AG42" s="234" t="e">
        <f>SUM(MDB!#REF!)</f>
        <v>#REF!</v>
      </c>
      <c r="AH42" s="234" t="e">
        <f>SUM(MDB!#REF!)</f>
        <v>#REF!</v>
      </c>
      <c r="AI42" s="234" t="e">
        <f>SUM(MDB!#REF!)</f>
        <v>#REF!</v>
      </c>
      <c r="AJ42" s="247" t="e">
        <f>SUM(MDB!#REF!)</f>
        <v>#REF!</v>
      </c>
      <c r="AK42" s="237"/>
    </row>
    <row r="43" spans="2:37" x14ac:dyDescent="0.25">
      <c r="B43" s="237" t="s">
        <v>1683</v>
      </c>
      <c r="C43" s="237" t="s">
        <v>1755</v>
      </c>
      <c r="D43" s="234" t="e">
        <f>SUM(MDB!#REF!)</f>
        <v>#REF!</v>
      </c>
      <c r="E43" s="234" t="e">
        <f>SUM(MDB!#REF!)</f>
        <v>#REF!</v>
      </c>
      <c r="F43" s="234" t="e">
        <f>SUM(MDB!#REF!)</f>
        <v>#REF!</v>
      </c>
      <c r="G43" s="234" t="e">
        <f>SUM(MDB!#REF!)</f>
        <v>#REF!</v>
      </c>
      <c r="H43" s="234" t="e">
        <f>SUM(MDB!#REF!)</f>
        <v>#REF!</v>
      </c>
      <c r="I43" s="234">
        <v>183673</v>
      </c>
      <c r="J43" s="234" t="e">
        <f>SUM(MDB!#REF!)</f>
        <v>#REF!</v>
      </c>
      <c r="K43" s="234">
        <v>0</v>
      </c>
      <c r="L43" s="234">
        <v>0</v>
      </c>
      <c r="M43" s="234">
        <v>0</v>
      </c>
      <c r="N43" s="234" t="e">
        <f>SUM(MDB!#REF!)</f>
        <v>#REF!</v>
      </c>
      <c r="O43" s="234">
        <f>SUM(MDB!AJ202:AJ312)</f>
        <v>0</v>
      </c>
      <c r="P43" s="234">
        <f>SUM(MDB!AK202:AK312)</f>
        <v>0</v>
      </c>
      <c r="Q43" s="234">
        <f>SUM(MDB!AL202:AL312)</f>
        <v>0</v>
      </c>
      <c r="R43" s="234">
        <f>SUM(MDB!AM202:AM312)</f>
        <v>0</v>
      </c>
      <c r="S43" s="234">
        <f>SUM(MDB!AN202:AN312)</f>
        <v>0</v>
      </c>
      <c r="T43" s="234">
        <f>SUM(MDB!AO202:AO312)</f>
        <v>0</v>
      </c>
      <c r="U43" s="234">
        <f>SUM(MDB!AP202:AP312)</f>
        <v>0</v>
      </c>
      <c r="V43" s="234">
        <f>SUM(MDB!AQ202:AQ312)</f>
        <v>0</v>
      </c>
      <c r="W43" s="234">
        <f>SUM(MDB!AR202:AR312)</f>
        <v>0</v>
      </c>
      <c r="X43" s="234" t="e">
        <f>SUM(MDB!#REF!)</f>
        <v>#REF!</v>
      </c>
      <c r="Y43" s="234" t="e">
        <f>SUM(MDB!#REF!)</f>
        <v>#REF!</v>
      </c>
      <c r="Z43" s="234" t="e">
        <f>SUM(MDB!#REF!)</f>
        <v>#REF!</v>
      </c>
      <c r="AA43" s="234" t="e">
        <f>SUM(MDB!#REF!)</f>
        <v>#REF!</v>
      </c>
      <c r="AB43" s="234" t="e">
        <f>SUM(MDB!#REF!)</f>
        <v>#REF!</v>
      </c>
      <c r="AC43" s="234" t="e">
        <f>SUM(MDB!#REF!)</f>
        <v>#REF!</v>
      </c>
      <c r="AD43" s="234" t="e">
        <f>SUM(MDB!#REF!)</f>
        <v>#REF!</v>
      </c>
      <c r="AE43" s="234" t="e">
        <f>SUM(MDB!#REF!)</f>
        <v>#REF!</v>
      </c>
      <c r="AF43" s="234" t="e">
        <f>SUM(MDB!#REF!)</f>
        <v>#REF!</v>
      </c>
      <c r="AG43" s="234" t="e">
        <f>SUM(MDB!#REF!)</f>
        <v>#REF!</v>
      </c>
      <c r="AH43" s="234" t="e">
        <f>SUM(MDB!#REF!)</f>
        <v>#REF!</v>
      </c>
      <c r="AI43" s="234" t="e">
        <f>SUM(MDB!#REF!)</f>
        <v>#REF!</v>
      </c>
      <c r="AJ43" s="247" t="e">
        <f>SUM(MDB!#REF!)</f>
        <v>#REF!</v>
      </c>
      <c r="AK43" s="237"/>
    </row>
    <row r="44" spans="2:37" x14ac:dyDescent="0.25">
      <c r="B44" s="237" t="s">
        <v>1683</v>
      </c>
      <c r="C44" s="237" t="s">
        <v>1755</v>
      </c>
      <c r="D44" s="234" t="e">
        <f>SUM(MDB!#REF!)</f>
        <v>#REF!</v>
      </c>
      <c r="E44" s="234" t="e">
        <f>SUM(MDB!#REF!)</f>
        <v>#REF!</v>
      </c>
      <c r="F44" s="234" t="e">
        <f>SUM(MDB!#REF!)</f>
        <v>#REF!</v>
      </c>
      <c r="G44" s="234" t="e">
        <f>SUM(MDB!#REF!)</f>
        <v>#REF!</v>
      </c>
      <c r="H44" s="234" t="e">
        <f>SUM(MDB!#REF!)</f>
        <v>#REF!</v>
      </c>
      <c r="I44" s="234" t="e">
        <f>SUM(MDB!#REF!)</f>
        <v>#REF!</v>
      </c>
      <c r="J44" s="234" t="e">
        <f>SUM(MDB!#REF!)</f>
        <v>#REF!</v>
      </c>
      <c r="K44" s="234">
        <v>1665817</v>
      </c>
      <c r="L44" s="234">
        <v>0</v>
      </c>
      <c r="M44" s="234">
        <v>0</v>
      </c>
      <c r="N44" s="234" t="e">
        <f>SUM(MDB!#REF!)</f>
        <v>#REF!</v>
      </c>
      <c r="O44" s="234">
        <f>SUM(MDB!AJ203:AJ313)</f>
        <v>0</v>
      </c>
      <c r="P44" s="234">
        <f>SUM(MDB!AK203:AK313)</f>
        <v>0</v>
      </c>
      <c r="Q44" s="234">
        <f>SUM(MDB!AL203:AL313)</f>
        <v>0</v>
      </c>
      <c r="R44" s="234">
        <f>SUM(MDB!AM203:AM313)</f>
        <v>0</v>
      </c>
      <c r="S44" s="234">
        <f>SUM(MDB!AN203:AN313)</f>
        <v>0</v>
      </c>
      <c r="T44" s="234">
        <f>SUM(MDB!AO203:AO313)</f>
        <v>0</v>
      </c>
      <c r="U44" s="234">
        <f>SUM(MDB!AP203:AP313)</f>
        <v>0</v>
      </c>
      <c r="V44" s="234">
        <f>SUM(MDB!AQ203:AQ313)</f>
        <v>0</v>
      </c>
      <c r="W44" s="234">
        <f>SUM(MDB!AR203:AR313)</f>
        <v>0</v>
      </c>
      <c r="X44" s="234" t="e">
        <f>SUM(MDB!#REF!)</f>
        <v>#REF!</v>
      </c>
      <c r="Y44" s="234" t="e">
        <f>SUM(MDB!#REF!)</f>
        <v>#REF!</v>
      </c>
      <c r="Z44" s="234" t="e">
        <f>SUM(MDB!#REF!)</f>
        <v>#REF!</v>
      </c>
      <c r="AA44" s="234" t="e">
        <f>SUM(MDB!#REF!)</f>
        <v>#REF!</v>
      </c>
      <c r="AB44" s="234" t="e">
        <f>SUM(MDB!#REF!)</f>
        <v>#REF!</v>
      </c>
      <c r="AC44" s="234" t="e">
        <f>SUM(MDB!#REF!)</f>
        <v>#REF!</v>
      </c>
      <c r="AD44" s="234" t="e">
        <f>SUM(MDB!#REF!)</f>
        <v>#REF!</v>
      </c>
      <c r="AE44" s="234" t="e">
        <f>SUM(MDB!#REF!)</f>
        <v>#REF!</v>
      </c>
      <c r="AF44" s="234" t="e">
        <f>SUM(MDB!#REF!)</f>
        <v>#REF!</v>
      </c>
      <c r="AG44" s="234" t="e">
        <f>SUM(MDB!#REF!)</f>
        <v>#REF!</v>
      </c>
      <c r="AH44" s="234" t="e">
        <f>SUM(MDB!#REF!)</f>
        <v>#REF!</v>
      </c>
      <c r="AI44" s="234" t="e">
        <f>SUM(MDB!#REF!)</f>
        <v>#REF!</v>
      </c>
      <c r="AJ44" s="247" t="e">
        <f>SUM(MDB!#REF!)</f>
        <v>#REF!</v>
      </c>
      <c r="AK44" s="237"/>
    </row>
    <row r="45" spans="2:37" x14ac:dyDescent="0.25">
      <c r="B45" s="237" t="s">
        <v>1683</v>
      </c>
      <c r="C45" s="237" t="s">
        <v>1755</v>
      </c>
      <c r="D45" s="234" t="e">
        <f>SUM(MDB!#REF!)</f>
        <v>#REF!</v>
      </c>
      <c r="E45" s="234" t="e">
        <f>SUM(MDB!#REF!)</f>
        <v>#REF!</v>
      </c>
      <c r="F45" s="234" t="e">
        <f>SUM(MDB!#REF!)</f>
        <v>#REF!</v>
      </c>
      <c r="G45" s="234" t="e">
        <f>SUM(MDB!#REF!)</f>
        <v>#REF!</v>
      </c>
      <c r="H45" s="234" t="e">
        <f>SUM(MDB!#REF!)</f>
        <v>#REF!</v>
      </c>
      <c r="I45" s="234" t="e">
        <f>SUM(MDB!#REF!)</f>
        <v>#REF!</v>
      </c>
      <c r="J45" s="234" t="e">
        <f>SUM(MDB!#REF!)</f>
        <v>#REF!</v>
      </c>
      <c r="K45" s="234">
        <v>0</v>
      </c>
      <c r="L45" s="234">
        <v>0</v>
      </c>
      <c r="M45" s="234">
        <v>369898</v>
      </c>
      <c r="N45" s="234" t="e">
        <f>SUM(MDB!#REF!)</f>
        <v>#REF!</v>
      </c>
      <c r="O45" s="234">
        <f>SUM(MDB!AJ204:AJ314)</f>
        <v>0</v>
      </c>
      <c r="P45" s="234">
        <f>SUM(MDB!AK204:AK314)</f>
        <v>0</v>
      </c>
      <c r="Q45" s="234">
        <f>SUM(MDB!AL204:AL314)</f>
        <v>0</v>
      </c>
      <c r="R45" s="234">
        <f>SUM(MDB!AM204:AM314)</f>
        <v>0</v>
      </c>
      <c r="S45" s="234">
        <f>SUM(MDB!AN204:AN314)</f>
        <v>0</v>
      </c>
      <c r="T45" s="234">
        <f>SUM(MDB!AO204:AO314)</f>
        <v>0</v>
      </c>
      <c r="U45" s="234">
        <f>SUM(MDB!AP204:AP314)</f>
        <v>0</v>
      </c>
      <c r="V45" s="234">
        <f>SUM(MDB!AQ204:AQ314)</f>
        <v>0</v>
      </c>
      <c r="W45" s="234">
        <f>SUM(MDB!AR204:AR314)</f>
        <v>0</v>
      </c>
      <c r="X45" s="234" t="e">
        <f>SUM(MDB!#REF!)</f>
        <v>#REF!</v>
      </c>
      <c r="Y45" s="234" t="e">
        <f>SUM(MDB!#REF!)</f>
        <v>#REF!</v>
      </c>
      <c r="Z45" s="234" t="e">
        <f>SUM(MDB!#REF!)</f>
        <v>#REF!</v>
      </c>
      <c r="AA45" s="234" t="e">
        <f>SUM(MDB!#REF!)</f>
        <v>#REF!</v>
      </c>
      <c r="AB45" s="234" t="e">
        <f>SUM(MDB!#REF!)</f>
        <v>#REF!</v>
      </c>
      <c r="AC45" s="234" t="e">
        <f>SUM(MDB!#REF!)</f>
        <v>#REF!</v>
      </c>
      <c r="AD45" s="234" t="e">
        <f>SUM(MDB!#REF!)</f>
        <v>#REF!</v>
      </c>
      <c r="AE45" s="234" t="e">
        <f>SUM(MDB!#REF!)</f>
        <v>#REF!</v>
      </c>
      <c r="AF45" s="234" t="e">
        <f>SUM(MDB!#REF!)</f>
        <v>#REF!</v>
      </c>
      <c r="AG45" s="234" t="e">
        <f>SUM(MDB!#REF!)</f>
        <v>#REF!</v>
      </c>
      <c r="AH45" s="234" t="e">
        <f>SUM(MDB!#REF!)</f>
        <v>#REF!</v>
      </c>
      <c r="AI45" s="234" t="e">
        <f>SUM(MDB!#REF!)</f>
        <v>#REF!</v>
      </c>
      <c r="AJ45" s="247" t="e">
        <f>SUM(MDB!#REF!)</f>
        <v>#REF!</v>
      </c>
      <c r="AK45" s="237"/>
    </row>
    <row r="46" spans="2:37" x14ac:dyDescent="0.25">
      <c r="B46" s="237" t="s">
        <v>1756</v>
      </c>
      <c r="C46" s="237" t="s">
        <v>1755</v>
      </c>
      <c r="D46" s="234" t="e">
        <f>SUM(MDB!#REF!)</f>
        <v>#REF!</v>
      </c>
      <c r="E46" s="234" t="e">
        <f>SUM(MDB!#REF!)</f>
        <v>#REF!</v>
      </c>
      <c r="F46" s="234" t="e">
        <f>SUM(MDB!#REF!)</f>
        <v>#REF!</v>
      </c>
      <c r="G46" s="234" t="e">
        <f>SUM(MDB!#REF!)</f>
        <v>#REF!</v>
      </c>
      <c r="H46" s="234">
        <v>50000</v>
      </c>
      <c r="I46" s="234" t="e">
        <f>SUM(MDB!#REF!)</f>
        <v>#REF!</v>
      </c>
      <c r="J46" s="234" t="e">
        <f>SUM(MDB!#REF!)</f>
        <v>#REF!</v>
      </c>
      <c r="K46" s="234">
        <v>0</v>
      </c>
      <c r="L46" s="234">
        <v>0</v>
      </c>
      <c r="M46" s="234">
        <v>0</v>
      </c>
      <c r="N46" s="234" t="e">
        <f>SUM(MDB!#REF!)</f>
        <v>#REF!</v>
      </c>
      <c r="O46" s="234">
        <f>SUM(MDB!AJ205:AJ315)</f>
        <v>0</v>
      </c>
      <c r="P46" s="234">
        <f>SUM(MDB!AK205:AK315)</f>
        <v>0</v>
      </c>
      <c r="Q46" s="234">
        <f>SUM(MDB!AL205:AL315)</f>
        <v>0</v>
      </c>
      <c r="R46" s="234">
        <f>SUM(MDB!AM205:AM315)</f>
        <v>0</v>
      </c>
      <c r="S46" s="234">
        <f>SUM(MDB!AN205:AN315)</f>
        <v>0</v>
      </c>
      <c r="T46" s="234">
        <f>SUM(MDB!AO205:AO315)</f>
        <v>0</v>
      </c>
      <c r="U46" s="234">
        <f>SUM(MDB!AP205:AP315)</f>
        <v>0</v>
      </c>
      <c r="V46" s="234">
        <f>SUM(MDB!AQ205:AQ315)</f>
        <v>0</v>
      </c>
      <c r="W46" s="234">
        <f>SUM(MDB!AR205:AR315)</f>
        <v>0</v>
      </c>
      <c r="X46" s="234" t="e">
        <f>SUM(MDB!#REF!)</f>
        <v>#REF!</v>
      </c>
      <c r="Y46" s="234" t="e">
        <f>SUM(MDB!#REF!)</f>
        <v>#REF!</v>
      </c>
      <c r="Z46" s="234" t="e">
        <f>SUM(MDB!#REF!)</f>
        <v>#REF!</v>
      </c>
      <c r="AA46" s="234" t="e">
        <f>SUM(MDB!#REF!)</f>
        <v>#REF!</v>
      </c>
      <c r="AB46" s="234" t="e">
        <f>SUM(MDB!#REF!)</f>
        <v>#REF!</v>
      </c>
      <c r="AC46" s="234" t="e">
        <f>SUM(MDB!#REF!)</f>
        <v>#REF!</v>
      </c>
      <c r="AD46" s="234" t="e">
        <f>SUM(MDB!#REF!)</f>
        <v>#REF!</v>
      </c>
      <c r="AE46" s="234" t="e">
        <f>SUM(MDB!#REF!)</f>
        <v>#REF!</v>
      </c>
      <c r="AF46" s="234" t="e">
        <f>SUM(MDB!#REF!)</f>
        <v>#REF!</v>
      </c>
      <c r="AG46" s="234" t="e">
        <f>SUM(MDB!#REF!)</f>
        <v>#REF!</v>
      </c>
      <c r="AH46" s="234" t="e">
        <f>SUM(MDB!#REF!)</f>
        <v>#REF!</v>
      </c>
      <c r="AI46" s="234" t="e">
        <f>SUM(MDB!#REF!)</f>
        <v>#REF!</v>
      </c>
      <c r="AJ46" s="247" t="e">
        <f>SUM(MDB!#REF!)</f>
        <v>#REF!</v>
      </c>
      <c r="AK46" s="237"/>
    </row>
    <row r="47" spans="2:37" x14ac:dyDescent="0.25">
      <c r="B47" s="237" t="s">
        <v>1756</v>
      </c>
      <c r="C47" s="237" t="s">
        <v>1755</v>
      </c>
      <c r="D47" s="234" t="e">
        <f>SUM(MDB!#REF!)</f>
        <v>#REF!</v>
      </c>
      <c r="E47" s="234" t="e">
        <f>SUM(MDB!#REF!)</f>
        <v>#REF!</v>
      </c>
      <c r="F47" s="234" t="e">
        <f>SUM(MDB!#REF!)</f>
        <v>#REF!</v>
      </c>
      <c r="G47" s="234" t="e">
        <f>SUM(MDB!#REF!)</f>
        <v>#REF!</v>
      </c>
      <c r="H47" s="234" t="e">
        <f>SUM(MDB!#REF!)</f>
        <v>#REF!</v>
      </c>
      <c r="I47" s="234" t="e">
        <f>SUM(MDB!#REF!)</f>
        <v>#REF!</v>
      </c>
      <c r="J47" s="234" t="e">
        <f>SUM(MDB!#REF!)</f>
        <v>#REF!</v>
      </c>
      <c r="K47" s="234">
        <v>200000</v>
      </c>
      <c r="L47" s="234">
        <v>0</v>
      </c>
      <c r="M47" s="234">
        <v>0</v>
      </c>
      <c r="N47" s="234" t="e">
        <f>SUM(MDB!#REF!)</f>
        <v>#REF!</v>
      </c>
      <c r="O47" s="234">
        <f>SUM(MDB!AJ206:AJ316)</f>
        <v>0</v>
      </c>
      <c r="P47" s="234">
        <f>SUM(MDB!AK206:AK316)</f>
        <v>0</v>
      </c>
      <c r="Q47" s="234">
        <f>SUM(MDB!AL206:AL316)</f>
        <v>0</v>
      </c>
      <c r="R47" s="234">
        <f>SUM(MDB!AM206:AM316)</f>
        <v>0</v>
      </c>
      <c r="S47" s="234">
        <f>SUM(MDB!AN206:AN316)</f>
        <v>0</v>
      </c>
      <c r="T47" s="234">
        <f>SUM(MDB!AO206:AO316)</f>
        <v>0</v>
      </c>
      <c r="U47" s="234">
        <f>SUM(MDB!AP206:AP316)</f>
        <v>0</v>
      </c>
      <c r="V47" s="234">
        <f>SUM(MDB!AQ206:AQ316)</f>
        <v>0</v>
      </c>
      <c r="W47" s="234">
        <f>SUM(MDB!AR206:AR316)</f>
        <v>0</v>
      </c>
      <c r="X47" s="234" t="e">
        <f>SUM(MDB!#REF!)</f>
        <v>#REF!</v>
      </c>
      <c r="Y47" s="234" t="e">
        <f>SUM(MDB!#REF!)</f>
        <v>#REF!</v>
      </c>
      <c r="Z47" s="234" t="e">
        <f>SUM(MDB!#REF!)</f>
        <v>#REF!</v>
      </c>
      <c r="AA47" s="234" t="e">
        <f>SUM(MDB!#REF!)</f>
        <v>#REF!</v>
      </c>
      <c r="AB47" s="234" t="e">
        <f>SUM(MDB!#REF!)</f>
        <v>#REF!</v>
      </c>
      <c r="AC47" s="234" t="e">
        <f>SUM(MDB!#REF!)</f>
        <v>#REF!</v>
      </c>
      <c r="AD47" s="234" t="e">
        <f>SUM(MDB!#REF!)</f>
        <v>#REF!</v>
      </c>
      <c r="AE47" s="234" t="e">
        <f>SUM(MDB!#REF!)</f>
        <v>#REF!</v>
      </c>
      <c r="AF47" s="234" t="e">
        <f>SUM(MDB!#REF!)</f>
        <v>#REF!</v>
      </c>
      <c r="AG47" s="234" t="e">
        <f>SUM(MDB!#REF!)</f>
        <v>#REF!</v>
      </c>
      <c r="AH47" s="234" t="e">
        <f>SUM(MDB!#REF!)</f>
        <v>#REF!</v>
      </c>
      <c r="AI47" s="234" t="e">
        <f>SUM(MDB!#REF!)</f>
        <v>#REF!</v>
      </c>
      <c r="AJ47" s="247" t="e">
        <f>SUM(MDB!#REF!)</f>
        <v>#REF!</v>
      </c>
      <c r="AK47" s="237"/>
    </row>
    <row r="48" spans="2:37" x14ac:dyDescent="0.25">
      <c r="B48" s="237" t="s">
        <v>1756</v>
      </c>
      <c r="C48" s="237" t="s">
        <v>1755</v>
      </c>
      <c r="D48" s="234" t="e">
        <f>SUM(MDB!#REF!)</f>
        <v>#REF!</v>
      </c>
      <c r="E48" s="234" t="e">
        <f>SUM(MDB!#REF!)</f>
        <v>#REF!</v>
      </c>
      <c r="F48" s="234" t="e">
        <f>SUM(MDB!#REF!)</f>
        <v>#REF!</v>
      </c>
      <c r="G48" s="234" t="e">
        <f>SUM(MDB!#REF!)</f>
        <v>#REF!</v>
      </c>
      <c r="H48" s="234" t="e">
        <f>SUM(MDB!#REF!)</f>
        <v>#REF!</v>
      </c>
      <c r="I48" s="234" t="e">
        <f>SUM(MDB!#REF!)</f>
        <v>#REF!</v>
      </c>
      <c r="J48" s="234" t="e">
        <f>SUM(MDB!#REF!)</f>
        <v>#REF!</v>
      </c>
      <c r="K48" s="234">
        <v>100000</v>
      </c>
      <c r="L48" s="234">
        <v>0</v>
      </c>
      <c r="M48" s="234">
        <v>0</v>
      </c>
      <c r="N48" s="234" t="e">
        <f>SUM(MDB!#REF!)</f>
        <v>#REF!</v>
      </c>
      <c r="O48" s="234">
        <f>SUM(MDB!AJ207:AJ320)</f>
        <v>0</v>
      </c>
      <c r="P48" s="234">
        <f>SUM(MDB!AK207:AK320)</f>
        <v>0</v>
      </c>
      <c r="Q48" s="234">
        <f>SUM(MDB!AL207:AL320)</f>
        <v>0</v>
      </c>
      <c r="R48" s="234">
        <f>SUM(MDB!AM207:AM320)</f>
        <v>0</v>
      </c>
      <c r="S48" s="234">
        <f>SUM(MDB!AN207:AN320)</f>
        <v>0</v>
      </c>
      <c r="T48" s="234">
        <f>SUM(MDB!AO207:AO320)</f>
        <v>0</v>
      </c>
      <c r="U48" s="234">
        <f>SUM(MDB!AP207:AP320)</f>
        <v>0</v>
      </c>
      <c r="V48" s="234">
        <f>SUM(MDB!AQ207:AQ320)</f>
        <v>0</v>
      </c>
      <c r="W48" s="234">
        <f>SUM(MDB!AR207:AR320)</f>
        <v>0</v>
      </c>
      <c r="X48" s="234" t="e">
        <f>SUM(MDB!#REF!)</f>
        <v>#REF!</v>
      </c>
      <c r="Y48" s="234" t="e">
        <f>SUM(MDB!#REF!)</f>
        <v>#REF!</v>
      </c>
      <c r="Z48" s="234" t="e">
        <f>SUM(MDB!#REF!)</f>
        <v>#REF!</v>
      </c>
      <c r="AA48" s="234" t="e">
        <f>SUM(MDB!#REF!)</f>
        <v>#REF!</v>
      </c>
      <c r="AB48" s="234" t="e">
        <f>SUM(MDB!#REF!)</f>
        <v>#REF!</v>
      </c>
      <c r="AC48" s="234" t="e">
        <f>SUM(MDB!#REF!)</f>
        <v>#REF!</v>
      </c>
      <c r="AD48" s="234" t="e">
        <f>SUM(MDB!#REF!)</f>
        <v>#REF!</v>
      </c>
      <c r="AE48" s="234" t="e">
        <f>SUM(MDB!#REF!)</f>
        <v>#REF!</v>
      </c>
      <c r="AF48" s="234" t="e">
        <f>SUM(MDB!#REF!)</f>
        <v>#REF!</v>
      </c>
      <c r="AG48" s="234" t="e">
        <f>SUM(MDB!#REF!)</f>
        <v>#REF!</v>
      </c>
      <c r="AH48" s="234" t="e">
        <f>SUM(MDB!#REF!)</f>
        <v>#REF!</v>
      </c>
      <c r="AI48" s="234" t="e">
        <f>SUM(MDB!#REF!)</f>
        <v>#REF!</v>
      </c>
      <c r="AJ48" s="247" t="e">
        <f>SUM(MDB!#REF!)</f>
        <v>#REF!</v>
      </c>
      <c r="AK48" s="237"/>
    </row>
    <row r="49" spans="2:37" x14ac:dyDescent="0.25">
      <c r="B49" s="237" t="s">
        <v>1756</v>
      </c>
      <c r="C49" s="237" t="s">
        <v>1755</v>
      </c>
      <c r="D49" s="234" t="e">
        <f>SUM(MDB!#REF!)</f>
        <v>#REF!</v>
      </c>
      <c r="E49" s="234" t="e">
        <f>SUM(MDB!#REF!)</f>
        <v>#REF!</v>
      </c>
      <c r="F49" s="234" t="e">
        <f>SUM(MDB!#REF!)</f>
        <v>#REF!</v>
      </c>
      <c r="G49" s="234" t="e">
        <f>SUM(MDB!#REF!)</f>
        <v>#REF!</v>
      </c>
      <c r="H49" s="234" t="e">
        <f>SUM(MDB!#REF!)</f>
        <v>#REF!</v>
      </c>
      <c r="I49" s="234" t="e">
        <f>SUM(MDB!#REF!)</f>
        <v>#REF!</v>
      </c>
      <c r="J49" s="234" t="e">
        <f>SUM(MDB!#REF!)</f>
        <v>#REF!</v>
      </c>
      <c r="K49" s="234">
        <v>0</v>
      </c>
      <c r="L49" s="234">
        <v>0</v>
      </c>
      <c r="M49" s="234">
        <v>150000</v>
      </c>
      <c r="N49" s="234" t="e">
        <f>SUM(MDB!#REF!)</f>
        <v>#REF!</v>
      </c>
      <c r="O49" s="234">
        <f>SUM(MDB!AJ208:AJ323)</f>
        <v>0</v>
      </c>
      <c r="P49" s="234">
        <f>SUM(MDB!AK208:AK323)</f>
        <v>0</v>
      </c>
      <c r="Q49" s="234">
        <f>SUM(MDB!AL208:AL323)</f>
        <v>0</v>
      </c>
      <c r="R49" s="234">
        <f>SUM(MDB!AM208:AM323)</f>
        <v>0</v>
      </c>
      <c r="S49" s="234">
        <f>SUM(MDB!AN208:AN323)</f>
        <v>0</v>
      </c>
      <c r="T49" s="234">
        <f>SUM(MDB!AO208:AO323)</f>
        <v>0</v>
      </c>
      <c r="U49" s="234">
        <f>SUM(MDB!AP208:AP323)</f>
        <v>0</v>
      </c>
      <c r="V49" s="234">
        <f>SUM(MDB!AQ208:AQ323)</f>
        <v>0</v>
      </c>
      <c r="W49" s="234">
        <f>SUM(MDB!AR208:AR323)</f>
        <v>0</v>
      </c>
      <c r="X49" s="234" t="e">
        <f>SUM(MDB!#REF!)</f>
        <v>#REF!</v>
      </c>
      <c r="Y49" s="234" t="e">
        <f>SUM(MDB!#REF!)</f>
        <v>#REF!</v>
      </c>
      <c r="Z49" s="234" t="e">
        <f>SUM(MDB!#REF!)</f>
        <v>#REF!</v>
      </c>
      <c r="AA49" s="234" t="e">
        <f>SUM(MDB!#REF!)</f>
        <v>#REF!</v>
      </c>
      <c r="AB49" s="234" t="e">
        <f>SUM(MDB!#REF!)</f>
        <v>#REF!</v>
      </c>
      <c r="AC49" s="234" t="e">
        <f>SUM(MDB!#REF!)</f>
        <v>#REF!</v>
      </c>
      <c r="AD49" s="234" t="e">
        <f>SUM(MDB!#REF!)</f>
        <v>#REF!</v>
      </c>
      <c r="AE49" s="234" t="e">
        <f>SUM(MDB!#REF!)</f>
        <v>#REF!</v>
      </c>
      <c r="AF49" s="234" t="e">
        <f>SUM(MDB!#REF!)</f>
        <v>#REF!</v>
      </c>
      <c r="AG49" s="234" t="e">
        <f>SUM(MDB!#REF!)</f>
        <v>#REF!</v>
      </c>
      <c r="AH49" s="234" t="e">
        <f>SUM(MDB!#REF!)</f>
        <v>#REF!</v>
      </c>
      <c r="AI49" s="234" t="e">
        <f>SUM(MDB!#REF!)</f>
        <v>#REF!</v>
      </c>
      <c r="AJ49" s="247" t="e">
        <f>SUM(MDB!#REF!)</f>
        <v>#REF!</v>
      </c>
      <c r="AK49" s="237"/>
    </row>
    <row r="50" spans="2:37" x14ac:dyDescent="0.25">
      <c r="B50" s="237"/>
      <c r="C50" s="237" t="s">
        <v>33</v>
      </c>
      <c r="D50" s="237" t="e">
        <f t="shared" ref="D50:AJ50" si="3">SUM(D27:D49)</f>
        <v>#REF!</v>
      </c>
      <c r="E50" s="237" t="e">
        <f t="shared" si="3"/>
        <v>#REF!</v>
      </c>
      <c r="F50" s="237" t="e">
        <f t="shared" si="3"/>
        <v>#REF!</v>
      </c>
      <c r="G50" s="237" t="e">
        <f t="shared" si="3"/>
        <v>#REF!</v>
      </c>
      <c r="H50" s="237" t="e">
        <f t="shared" si="3"/>
        <v>#REF!</v>
      </c>
      <c r="I50" s="237" t="e">
        <f t="shared" si="3"/>
        <v>#REF!</v>
      </c>
      <c r="J50" s="237" t="e">
        <f t="shared" si="3"/>
        <v>#REF!</v>
      </c>
      <c r="K50" s="237" t="e">
        <f t="shared" si="3"/>
        <v>#REF!</v>
      </c>
      <c r="L50" s="237" t="e">
        <f t="shared" si="3"/>
        <v>#REF!</v>
      </c>
      <c r="M50" s="237" t="e">
        <f t="shared" si="3"/>
        <v>#REF!</v>
      </c>
      <c r="N50" s="237" t="e">
        <f t="shared" si="3"/>
        <v>#REF!</v>
      </c>
      <c r="O50" s="237">
        <f t="shared" si="3"/>
        <v>101467.54999999999</v>
      </c>
      <c r="P50" s="237">
        <f t="shared" si="3"/>
        <v>22339.75</v>
      </c>
      <c r="Q50" s="237">
        <f t="shared" si="3"/>
        <v>0</v>
      </c>
      <c r="R50" s="237">
        <f t="shared" si="3"/>
        <v>0</v>
      </c>
      <c r="S50" s="237">
        <f t="shared" si="3"/>
        <v>0</v>
      </c>
      <c r="T50" s="237">
        <f t="shared" si="3"/>
        <v>0</v>
      </c>
      <c r="U50" s="237">
        <f t="shared" si="3"/>
        <v>0</v>
      </c>
      <c r="V50" s="237">
        <f t="shared" si="3"/>
        <v>0</v>
      </c>
      <c r="W50" s="237">
        <f t="shared" si="3"/>
        <v>0</v>
      </c>
      <c r="X50" s="237" t="e">
        <f t="shared" si="3"/>
        <v>#REF!</v>
      </c>
      <c r="Y50" s="237" t="e">
        <f t="shared" si="3"/>
        <v>#REF!</v>
      </c>
      <c r="Z50" s="237" t="e">
        <f t="shared" si="3"/>
        <v>#REF!</v>
      </c>
      <c r="AA50" s="237" t="e">
        <f t="shared" si="3"/>
        <v>#REF!</v>
      </c>
      <c r="AB50" s="237" t="e">
        <f t="shared" si="3"/>
        <v>#REF!</v>
      </c>
      <c r="AC50" s="237" t="e">
        <f t="shared" si="3"/>
        <v>#REF!</v>
      </c>
      <c r="AD50" s="237" t="e">
        <f t="shared" si="3"/>
        <v>#REF!</v>
      </c>
      <c r="AE50" s="237" t="e">
        <f t="shared" si="3"/>
        <v>#REF!</v>
      </c>
      <c r="AF50" s="237" t="e">
        <f t="shared" si="3"/>
        <v>#REF!</v>
      </c>
      <c r="AG50" s="237" t="e">
        <f t="shared" si="3"/>
        <v>#REF!</v>
      </c>
      <c r="AH50" s="237" t="e">
        <f t="shared" si="3"/>
        <v>#REF!</v>
      </c>
      <c r="AI50" s="237" t="e">
        <f t="shared" si="3"/>
        <v>#REF!</v>
      </c>
      <c r="AJ50" s="249" t="e">
        <f t="shared" si="3"/>
        <v>#REF!</v>
      </c>
      <c r="AK50" s="237" t="e">
        <f>SUM(E50:AJ50)</f>
        <v>#REF!</v>
      </c>
    </row>
    <row r="51" spans="2:37" x14ac:dyDescent="0.25">
      <c r="B51" s="237"/>
      <c r="C51" s="237"/>
      <c r="D51" s="237"/>
      <c r="E51" s="237"/>
      <c r="F51" s="237"/>
      <c r="G51" s="237"/>
      <c r="H51" s="237"/>
      <c r="I51" s="237"/>
      <c r="J51" s="237"/>
      <c r="K51" s="237"/>
      <c r="L51" s="237"/>
      <c r="M51" s="237"/>
      <c r="N51" s="237"/>
      <c r="O51" s="237"/>
      <c r="P51" s="237"/>
      <c r="Q51" s="237"/>
      <c r="R51" s="237"/>
      <c r="S51" s="237"/>
      <c r="T51" s="237"/>
      <c r="U51" s="237"/>
      <c r="V51" s="237"/>
      <c r="W51" s="237"/>
      <c r="X51" s="237"/>
      <c r="Y51" s="237"/>
      <c r="Z51" s="237"/>
      <c r="AA51" s="237"/>
      <c r="AB51" s="237"/>
      <c r="AC51" s="237"/>
      <c r="AD51" s="237"/>
      <c r="AE51" s="237"/>
      <c r="AF51" s="237"/>
      <c r="AG51" s="237"/>
      <c r="AH51" s="237"/>
      <c r="AI51" s="237"/>
      <c r="AJ51" s="249"/>
      <c r="AK51" s="237"/>
    </row>
    <row r="52" spans="2:37" x14ac:dyDescent="0.25">
      <c r="B52" s="237" t="s">
        <v>1690</v>
      </c>
      <c r="C52" s="237" t="s">
        <v>1757</v>
      </c>
      <c r="D52" s="234">
        <v>0</v>
      </c>
      <c r="E52" s="234">
        <v>0</v>
      </c>
      <c r="F52" s="234">
        <v>0</v>
      </c>
      <c r="G52" s="234">
        <v>0</v>
      </c>
      <c r="H52" s="234">
        <v>0</v>
      </c>
      <c r="I52" s="234">
        <v>0</v>
      </c>
      <c r="J52" s="234">
        <v>0</v>
      </c>
      <c r="K52" s="234">
        <v>0</v>
      </c>
      <c r="L52" s="234">
        <v>0</v>
      </c>
      <c r="M52" s="234">
        <v>0</v>
      </c>
      <c r="N52" s="234">
        <v>0</v>
      </c>
      <c r="O52" s="234">
        <v>0</v>
      </c>
      <c r="P52" s="234">
        <v>0</v>
      </c>
      <c r="Q52" s="234">
        <v>0</v>
      </c>
      <c r="R52" s="234">
        <v>0</v>
      </c>
      <c r="S52" s="234">
        <v>0</v>
      </c>
      <c r="T52" s="234">
        <v>0</v>
      </c>
      <c r="U52" s="234">
        <v>0</v>
      </c>
      <c r="V52" s="234">
        <v>0</v>
      </c>
      <c r="W52" s="234">
        <v>0</v>
      </c>
      <c r="X52" s="234">
        <v>0</v>
      </c>
      <c r="Y52" s="234">
        <v>0</v>
      </c>
      <c r="Z52" s="234">
        <v>0</v>
      </c>
      <c r="AA52" s="234">
        <v>0</v>
      </c>
      <c r="AB52" s="234">
        <v>0</v>
      </c>
      <c r="AC52" s="234">
        <v>0</v>
      </c>
      <c r="AD52" s="234">
        <v>0</v>
      </c>
      <c r="AE52" s="234">
        <v>0</v>
      </c>
      <c r="AF52" s="234">
        <v>0</v>
      </c>
      <c r="AG52" s="234">
        <v>0</v>
      </c>
      <c r="AH52" s="234">
        <v>0</v>
      </c>
      <c r="AI52" s="234">
        <v>0</v>
      </c>
      <c r="AJ52" s="247">
        <v>0</v>
      </c>
      <c r="AK52" s="237"/>
    </row>
    <row r="53" spans="2:37" x14ac:dyDescent="0.25">
      <c r="B53" s="237" t="s">
        <v>1690</v>
      </c>
      <c r="C53" s="237" t="s">
        <v>1757</v>
      </c>
      <c r="D53" s="234">
        <v>0</v>
      </c>
      <c r="E53" s="234">
        <v>0</v>
      </c>
      <c r="F53" s="234">
        <v>0</v>
      </c>
      <c r="G53" s="234">
        <v>0</v>
      </c>
      <c r="H53" s="234">
        <v>0</v>
      </c>
      <c r="I53" s="234">
        <v>0</v>
      </c>
      <c r="J53" s="234">
        <v>0</v>
      </c>
      <c r="K53" s="234">
        <v>0</v>
      </c>
      <c r="L53" s="234">
        <v>0</v>
      </c>
      <c r="M53" s="234">
        <v>0</v>
      </c>
      <c r="N53" s="234">
        <v>0</v>
      </c>
      <c r="O53" s="234">
        <v>0</v>
      </c>
      <c r="P53" s="234">
        <v>0</v>
      </c>
      <c r="Q53" s="234">
        <v>0</v>
      </c>
      <c r="R53" s="234">
        <v>0</v>
      </c>
      <c r="S53" s="234">
        <v>0</v>
      </c>
      <c r="T53" s="234">
        <v>0</v>
      </c>
      <c r="U53" s="234">
        <v>0</v>
      </c>
      <c r="V53" s="234">
        <v>0</v>
      </c>
      <c r="W53" s="234">
        <v>0</v>
      </c>
      <c r="X53" s="234">
        <v>0</v>
      </c>
      <c r="Y53" s="234">
        <v>0</v>
      </c>
      <c r="Z53" s="234">
        <v>0</v>
      </c>
      <c r="AA53" s="234">
        <v>0</v>
      </c>
      <c r="AB53" s="234">
        <v>0</v>
      </c>
      <c r="AC53" s="234">
        <v>0</v>
      </c>
      <c r="AD53" s="234">
        <v>0</v>
      </c>
      <c r="AE53" s="234">
        <v>0</v>
      </c>
      <c r="AF53" s="234">
        <v>0</v>
      </c>
      <c r="AG53" s="234">
        <v>0</v>
      </c>
      <c r="AH53" s="234">
        <v>0</v>
      </c>
      <c r="AI53" s="234">
        <v>0</v>
      </c>
      <c r="AJ53" s="247">
        <v>0</v>
      </c>
      <c r="AK53" s="237"/>
    </row>
    <row r="54" spans="2:37" x14ac:dyDescent="0.25">
      <c r="B54" s="237" t="s">
        <v>1690</v>
      </c>
      <c r="C54" s="237" t="s">
        <v>1757</v>
      </c>
      <c r="D54" s="234">
        <v>0</v>
      </c>
      <c r="E54" s="234">
        <v>0</v>
      </c>
      <c r="F54" s="234">
        <v>0</v>
      </c>
      <c r="G54" s="234">
        <v>0</v>
      </c>
      <c r="H54" s="234">
        <v>0</v>
      </c>
      <c r="I54" s="234">
        <v>0</v>
      </c>
      <c r="J54" s="234">
        <v>0</v>
      </c>
      <c r="K54" s="234">
        <v>0</v>
      </c>
      <c r="L54" s="234">
        <v>0</v>
      </c>
      <c r="M54" s="234">
        <v>0</v>
      </c>
      <c r="N54" s="234">
        <v>0</v>
      </c>
      <c r="O54" s="234">
        <v>0</v>
      </c>
      <c r="P54" s="234">
        <v>0</v>
      </c>
      <c r="Q54" s="234">
        <v>0</v>
      </c>
      <c r="R54" s="234">
        <v>0</v>
      </c>
      <c r="S54" s="234">
        <v>0</v>
      </c>
      <c r="T54" s="234">
        <v>0</v>
      </c>
      <c r="U54" s="234">
        <v>0</v>
      </c>
      <c r="V54" s="234">
        <v>0</v>
      </c>
      <c r="W54" s="234">
        <v>0</v>
      </c>
      <c r="X54" s="234">
        <v>0</v>
      </c>
      <c r="Y54" s="234">
        <v>0</v>
      </c>
      <c r="Z54" s="234">
        <v>0</v>
      </c>
      <c r="AA54" s="234">
        <v>0</v>
      </c>
      <c r="AB54" s="234">
        <v>0</v>
      </c>
      <c r="AC54" s="234">
        <v>0</v>
      </c>
      <c r="AD54" s="234">
        <v>0</v>
      </c>
      <c r="AE54" s="234">
        <v>0</v>
      </c>
      <c r="AF54" s="234">
        <v>0</v>
      </c>
      <c r="AG54" s="234">
        <v>0</v>
      </c>
      <c r="AH54" s="234">
        <v>0</v>
      </c>
      <c r="AI54" s="234">
        <v>0</v>
      </c>
      <c r="AJ54" s="247">
        <v>0</v>
      </c>
      <c r="AK54" s="237"/>
    </row>
    <row r="55" spans="2:37" x14ac:dyDescent="0.25">
      <c r="B55" s="237" t="s">
        <v>1690</v>
      </c>
      <c r="C55" s="237" t="s">
        <v>1757</v>
      </c>
      <c r="D55" s="234">
        <v>0</v>
      </c>
      <c r="E55" s="234">
        <v>0</v>
      </c>
      <c r="F55" s="234">
        <v>0</v>
      </c>
      <c r="G55" s="234">
        <v>0</v>
      </c>
      <c r="H55" s="234">
        <v>0</v>
      </c>
      <c r="I55" s="234">
        <v>0</v>
      </c>
      <c r="J55" s="234">
        <v>0</v>
      </c>
      <c r="K55" s="234">
        <v>0</v>
      </c>
      <c r="L55" s="234">
        <v>0</v>
      </c>
      <c r="M55" s="234">
        <v>0</v>
      </c>
      <c r="N55" s="234">
        <v>0</v>
      </c>
      <c r="O55" s="234">
        <v>0</v>
      </c>
      <c r="P55" s="234">
        <v>0</v>
      </c>
      <c r="Q55" s="234">
        <v>0</v>
      </c>
      <c r="R55" s="234">
        <v>0</v>
      </c>
      <c r="S55" s="234">
        <v>0</v>
      </c>
      <c r="T55" s="234">
        <v>0</v>
      </c>
      <c r="U55" s="234">
        <v>0</v>
      </c>
      <c r="V55" s="234">
        <v>0</v>
      </c>
      <c r="W55" s="234">
        <v>0</v>
      </c>
      <c r="X55" s="234">
        <v>0</v>
      </c>
      <c r="Y55" s="234">
        <v>0</v>
      </c>
      <c r="Z55" s="234">
        <v>0</v>
      </c>
      <c r="AA55" s="234">
        <v>0</v>
      </c>
      <c r="AB55" s="234">
        <v>0</v>
      </c>
      <c r="AC55" s="234">
        <v>0</v>
      </c>
      <c r="AD55" s="234">
        <v>0</v>
      </c>
      <c r="AE55" s="234">
        <v>0</v>
      </c>
      <c r="AF55" s="234">
        <v>0</v>
      </c>
      <c r="AG55" s="234">
        <v>0</v>
      </c>
      <c r="AH55" s="234">
        <v>0</v>
      </c>
      <c r="AI55" s="234">
        <v>0</v>
      </c>
      <c r="AJ55" s="247">
        <v>0</v>
      </c>
      <c r="AK55" s="237"/>
    </row>
    <row r="56" spans="2:37" x14ac:dyDescent="0.25">
      <c r="B56" s="237" t="s">
        <v>1690</v>
      </c>
      <c r="C56" s="237" t="s">
        <v>1757</v>
      </c>
      <c r="D56" s="234">
        <v>0</v>
      </c>
      <c r="E56" s="234">
        <v>0</v>
      </c>
      <c r="F56" s="234">
        <v>0</v>
      </c>
      <c r="G56" s="234">
        <v>0</v>
      </c>
      <c r="H56" s="234">
        <v>0</v>
      </c>
      <c r="I56" s="234">
        <v>0</v>
      </c>
      <c r="J56" s="234">
        <v>0</v>
      </c>
      <c r="K56" s="234">
        <v>0</v>
      </c>
      <c r="L56" s="234">
        <v>0</v>
      </c>
      <c r="M56" s="234">
        <v>0</v>
      </c>
      <c r="N56" s="234">
        <v>0</v>
      </c>
      <c r="O56" s="234">
        <v>0</v>
      </c>
      <c r="P56" s="234">
        <v>0</v>
      </c>
      <c r="Q56" s="234">
        <v>0</v>
      </c>
      <c r="R56" s="234">
        <v>0</v>
      </c>
      <c r="S56" s="234">
        <v>0</v>
      </c>
      <c r="T56" s="234">
        <v>0</v>
      </c>
      <c r="U56" s="234">
        <v>0</v>
      </c>
      <c r="V56" s="234">
        <v>0</v>
      </c>
      <c r="W56" s="234">
        <v>0</v>
      </c>
      <c r="X56" s="234">
        <v>0</v>
      </c>
      <c r="Y56" s="234">
        <v>0</v>
      </c>
      <c r="Z56" s="234">
        <v>0</v>
      </c>
      <c r="AA56" s="234">
        <v>0</v>
      </c>
      <c r="AB56" s="234">
        <v>0</v>
      </c>
      <c r="AC56" s="234">
        <v>0</v>
      </c>
      <c r="AD56" s="234">
        <v>0</v>
      </c>
      <c r="AE56" s="234">
        <v>0</v>
      </c>
      <c r="AF56" s="234">
        <v>0</v>
      </c>
      <c r="AG56" s="234">
        <v>0</v>
      </c>
      <c r="AH56" s="234">
        <v>0</v>
      </c>
      <c r="AI56" s="234">
        <v>0</v>
      </c>
      <c r="AJ56" s="247">
        <v>0</v>
      </c>
      <c r="AK56" s="237"/>
    </row>
    <row r="57" spans="2:37" x14ac:dyDescent="0.25">
      <c r="B57" s="237" t="s">
        <v>1690</v>
      </c>
      <c r="C57" s="237" t="s">
        <v>1757</v>
      </c>
      <c r="D57" s="234">
        <v>0</v>
      </c>
      <c r="E57" s="234">
        <v>0</v>
      </c>
      <c r="F57" s="234">
        <v>0</v>
      </c>
      <c r="G57" s="234">
        <v>0</v>
      </c>
      <c r="H57" s="234">
        <v>0</v>
      </c>
      <c r="I57" s="234">
        <v>0</v>
      </c>
      <c r="J57" s="234">
        <v>0</v>
      </c>
      <c r="K57" s="234">
        <v>263083.8</v>
      </c>
      <c r="L57" s="234">
        <v>0</v>
      </c>
      <c r="M57" s="234">
        <v>0</v>
      </c>
      <c r="N57" s="234">
        <v>0</v>
      </c>
      <c r="O57" s="234">
        <v>0</v>
      </c>
      <c r="P57" s="234">
        <v>0</v>
      </c>
      <c r="Q57" s="234">
        <v>0</v>
      </c>
      <c r="R57" s="234">
        <v>0</v>
      </c>
      <c r="S57" s="234">
        <v>0</v>
      </c>
      <c r="T57" s="234">
        <v>0</v>
      </c>
      <c r="U57" s="234">
        <v>0</v>
      </c>
      <c r="V57" s="234">
        <v>0</v>
      </c>
      <c r="W57" s="234">
        <v>0</v>
      </c>
      <c r="X57" s="234">
        <v>0</v>
      </c>
      <c r="Y57" s="234">
        <v>0</v>
      </c>
      <c r="Z57" s="234">
        <v>0</v>
      </c>
      <c r="AA57" s="234">
        <v>0</v>
      </c>
      <c r="AB57" s="234">
        <v>0</v>
      </c>
      <c r="AC57" s="234">
        <v>0</v>
      </c>
      <c r="AD57" s="234">
        <v>0</v>
      </c>
      <c r="AE57" s="234">
        <v>0</v>
      </c>
      <c r="AF57" s="234">
        <v>0</v>
      </c>
      <c r="AG57" s="234">
        <v>0</v>
      </c>
      <c r="AH57" s="234">
        <v>0</v>
      </c>
      <c r="AI57" s="234">
        <v>0</v>
      </c>
      <c r="AJ57" s="247">
        <v>0</v>
      </c>
      <c r="AK57" s="237"/>
    </row>
    <row r="58" spans="2:37" x14ac:dyDescent="0.25">
      <c r="B58" s="237" t="s">
        <v>1690</v>
      </c>
      <c r="C58" s="237" t="s">
        <v>1757</v>
      </c>
      <c r="D58" s="234">
        <v>0</v>
      </c>
      <c r="E58" s="234">
        <v>0</v>
      </c>
      <c r="F58" s="234">
        <v>0</v>
      </c>
      <c r="G58" s="234">
        <v>0</v>
      </c>
      <c r="H58" s="234">
        <v>0</v>
      </c>
      <c r="I58" s="234">
        <v>0</v>
      </c>
      <c r="J58" s="234">
        <v>0</v>
      </c>
      <c r="K58" s="234">
        <v>0</v>
      </c>
      <c r="L58" s="234">
        <v>263083.8</v>
      </c>
      <c r="M58" s="234">
        <v>0</v>
      </c>
      <c r="N58" s="234">
        <v>0</v>
      </c>
      <c r="O58" s="234">
        <v>0</v>
      </c>
      <c r="P58" s="234">
        <v>0</v>
      </c>
      <c r="Q58" s="234">
        <v>0</v>
      </c>
      <c r="R58" s="234">
        <v>0</v>
      </c>
      <c r="S58" s="234">
        <v>0</v>
      </c>
      <c r="T58" s="234">
        <v>0</v>
      </c>
      <c r="U58" s="234">
        <v>0</v>
      </c>
      <c r="V58" s="234">
        <v>0</v>
      </c>
      <c r="W58" s="234">
        <v>0</v>
      </c>
      <c r="X58" s="234">
        <v>0</v>
      </c>
      <c r="Y58" s="234">
        <v>0</v>
      </c>
      <c r="Z58" s="234">
        <v>0</v>
      </c>
      <c r="AA58" s="234">
        <v>0</v>
      </c>
      <c r="AB58" s="234">
        <v>0</v>
      </c>
      <c r="AC58" s="234">
        <v>0</v>
      </c>
      <c r="AD58" s="234">
        <v>0</v>
      </c>
      <c r="AE58" s="234">
        <v>0</v>
      </c>
      <c r="AF58" s="234">
        <v>0</v>
      </c>
      <c r="AG58" s="234">
        <v>0</v>
      </c>
      <c r="AH58" s="234">
        <v>0</v>
      </c>
      <c r="AI58" s="234">
        <v>0</v>
      </c>
      <c r="AJ58" s="247">
        <v>0</v>
      </c>
      <c r="AK58" s="237"/>
    </row>
    <row r="59" spans="2:37" x14ac:dyDescent="0.25">
      <c r="B59" s="237" t="s">
        <v>1690</v>
      </c>
      <c r="C59" s="237" t="s">
        <v>1757</v>
      </c>
      <c r="D59" s="234">
        <v>0</v>
      </c>
      <c r="E59" s="234">
        <v>0</v>
      </c>
      <c r="F59" s="234">
        <v>0</v>
      </c>
      <c r="G59" s="234">
        <v>0</v>
      </c>
      <c r="H59" s="234">
        <v>0</v>
      </c>
      <c r="I59" s="234">
        <v>0</v>
      </c>
      <c r="J59" s="234">
        <v>0</v>
      </c>
      <c r="K59" s="234">
        <v>0</v>
      </c>
      <c r="L59" s="234">
        <v>0</v>
      </c>
      <c r="M59" s="234">
        <v>87694.6</v>
      </c>
      <c r="N59" s="234">
        <v>0</v>
      </c>
      <c r="O59" s="234">
        <v>0</v>
      </c>
      <c r="P59" s="234">
        <v>0</v>
      </c>
      <c r="Q59" s="234">
        <v>0</v>
      </c>
      <c r="R59" s="234">
        <v>0</v>
      </c>
      <c r="S59" s="234">
        <v>0</v>
      </c>
      <c r="T59" s="234">
        <v>0</v>
      </c>
      <c r="U59" s="234">
        <v>0</v>
      </c>
      <c r="V59" s="234">
        <v>0</v>
      </c>
      <c r="W59" s="234">
        <v>0</v>
      </c>
      <c r="X59" s="234">
        <v>0</v>
      </c>
      <c r="Y59" s="234">
        <v>0</v>
      </c>
      <c r="Z59" s="234">
        <v>0</v>
      </c>
      <c r="AA59" s="234">
        <v>0</v>
      </c>
      <c r="AB59" s="234">
        <v>0</v>
      </c>
      <c r="AC59" s="234">
        <v>0</v>
      </c>
      <c r="AD59" s="234">
        <v>0</v>
      </c>
      <c r="AE59" s="234">
        <v>0</v>
      </c>
      <c r="AF59" s="234">
        <v>0</v>
      </c>
      <c r="AG59" s="234">
        <v>0</v>
      </c>
      <c r="AH59" s="234">
        <v>0</v>
      </c>
      <c r="AI59" s="234">
        <v>0</v>
      </c>
      <c r="AJ59" s="247">
        <v>0</v>
      </c>
      <c r="AK59" s="237"/>
    </row>
    <row r="60" spans="2:37" x14ac:dyDescent="0.25">
      <c r="B60" s="237" t="s">
        <v>1690</v>
      </c>
      <c r="C60" s="237" t="s">
        <v>1757</v>
      </c>
      <c r="D60" s="234">
        <v>0</v>
      </c>
      <c r="E60" s="234">
        <v>0</v>
      </c>
      <c r="F60" s="234">
        <v>0</v>
      </c>
      <c r="G60" s="234">
        <v>0</v>
      </c>
      <c r="H60" s="234">
        <v>0</v>
      </c>
      <c r="I60" s="234">
        <v>0</v>
      </c>
      <c r="J60" s="234">
        <v>0</v>
      </c>
      <c r="K60" s="234">
        <v>0</v>
      </c>
      <c r="L60" s="234">
        <v>0</v>
      </c>
      <c r="M60" s="234">
        <v>87694.6</v>
      </c>
      <c r="N60" s="234">
        <v>0</v>
      </c>
      <c r="O60" s="234">
        <v>0</v>
      </c>
      <c r="P60" s="234">
        <v>0</v>
      </c>
      <c r="Q60" s="234">
        <v>0</v>
      </c>
      <c r="R60" s="234">
        <v>0</v>
      </c>
      <c r="S60" s="234">
        <v>0</v>
      </c>
      <c r="T60" s="234">
        <v>0</v>
      </c>
      <c r="U60" s="234">
        <v>0</v>
      </c>
      <c r="V60" s="234">
        <v>0</v>
      </c>
      <c r="W60" s="234">
        <v>0</v>
      </c>
      <c r="X60" s="234">
        <v>0</v>
      </c>
      <c r="Y60" s="234">
        <v>0</v>
      </c>
      <c r="Z60" s="234">
        <v>0</v>
      </c>
      <c r="AA60" s="234">
        <v>0</v>
      </c>
      <c r="AB60" s="234">
        <v>0</v>
      </c>
      <c r="AC60" s="234">
        <v>0</v>
      </c>
      <c r="AD60" s="234">
        <v>0</v>
      </c>
      <c r="AE60" s="234">
        <v>0</v>
      </c>
      <c r="AF60" s="234">
        <v>0</v>
      </c>
      <c r="AG60" s="234">
        <v>0</v>
      </c>
      <c r="AH60" s="234">
        <v>0</v>
      </c>
      <c r="AI60" s="234">
        <v>0</v>
      </c>
      <c r="AJ60" s="247">
        <v>0</v>
      </c>
      <c r="AK60" s="237"/>
    </row>
    <row r="61" spans="2:37" x14ac:dyDescent="0.25">
      <c r="B61" s="237" t="s">
        <v>1690</v>
      </c>
      <c r="C61" s="237" t="s">
        <v>1757</v>
      </c>
      <c r="D61" s="234">
        <v>0</v>
      </c>
      <c r="E61" s="234">
        <v>0</v>
      </c>
      <c r="F61" s="234">
        <v>0</v>
      </c>
      <c r="G61" s="234">
        <v>0</v>
      </c>
      <c r="H61" s="234">
        <v>0</v>
      </c>
      <c r="I61" s="234">
        <v>0</v>
      </c>
      <c r="J61" s="234">
        <v>0</v>
      </c>
      <c r="K61" s="234">
        <v>0</v>
      </c>
      <c r="L61" s="234">
        <v>0</v>
      </c>
      <c r="M61" s="234">
        <v>70155.679999999993</v>
      </c>
      <c r="N61" s="234">
        <v>0</v>
      </c>
      <c r="O61" s="234">
        <v>0</v>
      </c>
      <c r="P61" s="234">
        <v>0</v>
      </c>
      <c r="Q61" s="234">
        <v>0</v>
      </c>
      <c r="R61" s="234">
        <v>0</v>
      </c>
      <c r="S61" s="234">
        <v>0</v>
      </c>
      <c r="T61" s="234">
        <v>0</v>
      </c>
      <c r="U61" s="234">
        <v>0</v>
      </c>
      <c r="V61" s="234">
        <v>0</v>
      </c>
      <c r="W61" s="234">
        <v>0</v>
      </c>
      <c r="X61" s="234">
        <v>0</v>
      </c>
      <c r="Y61" s="234">
        <v>0</v>
      </c>
      <c r="Z61" s="234">
        <v>0</v>
      </c>
      <c r="AA61" s="234">
        <v>0</v>
      </c>
      <c r="AB61" s="234">
        <v>0</v>
      </c>
      <c r="AC61" s="234">
        <v>0</v>
      </c>
      <c r="AD61" s="234">
        <v>0</v>
      </c>
      <c r="AE61" s="234">
        <v>0</v>
      </c>
      <c r="AF61" s="234">
        <v>0</v>
      </c>
      <c r="AG61" s="234">
        <v>0</v>
      </c>
      <c r="AH61" s="234">
        <v>0</v>
      </c>
      <c r="AI61" s="234">
        <v>0</v>
      </c>
      <c r="AJ61" s="247">
        <v>0</v>
      </c>
      <c r="AK61" s="237"/>
    </row>
    <row r="62" spans="2:37" x14ac:dyDescent="0.25">
      <c r="B62" s="237" t="s">
        <v>1690</v>
      </c>
      <c r="C62" s="237" t="s">
        <v>1757</v>
      </c>
      <c r="D62" s="234">
        <v>0</v>
      </c>
      <c r="E62" s="234">
        <v>0</v>
      </c>
      <c r="F62" s="234">
        <v>0</v>
      </c>
      <c r="G62" s="234">
        <v>0</v>
      </c>
      <c r="H62" s="234">
        <v>0</v>
      </c>
      <c r="I62" s="234">
        <v>0</v>
      </c>
      <c r="J62" s="234">
        <v>0</v>
      </c>
      <c r="K62" s="234">
        <v>0</v>
      </c>
      <c r="L62" s="234">
        <v>0</v>
      </c>
      <c r="M62" s="234">
        <v>0</v>
      </c>
      <c r="N62" s="234">
        <v>0</v>
      </c>
      <c r="O62" s="234">
        <v>87694.6</v>
      </c>
      <c r="P62" s="234">
        <v>0</v>
      </c>
      <c r="Q62" s="234">
        <v>0</v>
      </c>
      <c r="R62" s="234">
        <v>0</v>
      </c>
      <c r="S62" s="234">
        <v>0</v>
      </c>
      <c r="T62" s="234">
        <v>0</v>
      </c>
      <c r="U62" s="234">
        <v>0</v>
      </c>
      <c r="V62" s="234">
        <v>0</v>
      </c>
      <c r="W62" s="234">
        <v>0</v>
      </c>
      <c r="X62" s="234">
        <v>0</v>
      </c>
      <c r="Y62" s="234">
        <v>0</v>
      </c>
      <c r="Z62" s="234">
        <v>0</v>
      </c>
      <c r="AA62" s="234">
        <v>0</v>
      </c>
      <c r="AB62" s="234">
        <v>0</v>
      </c>
      <c r="AC62" s="234">
        <v>0</v>
      </c>
      <c r="AD62" s="234">
        <v>0</v>
      </c>
      <c r="AE62" s="234">
        <v>0</v>
      </c>
      <c r="AF62" s="234">
        <v>0</v>
      </c>
      <c r="AG62" s="234">
        <v>0</v>
      </c>
      <c r="AH62" s="234">
        <v>0</v>
      </c>
      <c r="AI62" s="234">
        <v>0</v>
      </c>
      <c r="AJ62" s="247">
        <v>0</v>
      </c>
      <c r="AK62" s="237"/>
    </row>
    <row r="63" spans="2:37" x14ac:dyDescent="0.25">
      <c r="B63" s="237" t="s">
        <v>1690</v>
      </c>
      <c r="C63" s="237" t="s">
        <v>1757</v>
      </c>
      <c r="D63" s="234">
        <v>0</v>
      </c>
      <c r="E63" s="234">
        <v>0</v>
      </c>
      <c r="F63" s="234">
        <v>0</v>
      </c>
      <c r="G63" s="234">
        <v>0</v>
      </c>
      <c r="H63" s="234">
        <v>0</v>
      </c>
      <c r="I63" s="234">
        <v>0</v>
      </c>
      <c r="J63" s="234">
        <v>0</v>
      </c>
      <c r="K63" s="234">
        <v>0</v>
      </c>
      <c r="L63" s="234">
        <v>0</v>
      </c>
      <c r="M63" s="234">
        <v>0</v>
      </c>
      <c r="N63" s="234">
        <v>0</v>
      </c>
      <c r="O63" s="234">
        <v>8769.4599999999991</v>
      </c>
      <c r="P63" s="234">
        <v>0</v>
      </c>
      <c r="Q63" s="234">
        <v>0</v>
      </c>
      <c r="R63" s="234">
        <v>0</v>
      </c>
      <c r="S63" s="234">
        <v>0</v>
      </c>
      <c r="T63" s="234">
        <v>0</v>
      </c>
      <c r="U63" s="234">
        <v>0</v>
      </c>
      <c r="V63" s="234">
        <v>0</v>
      </c>
      <c r="W63" s="234">
        <v>0</v>
      </c>
      <c r="X63" s="234">
        <v>0</v>
      </c>
      <c r="Y63" s="234">
        <v>0</v>
      </c>
      <c r="Z63" s="234">
        <v>0</v>
      </c>
      <c r="AA63" s="234">
        <v>0</v>
      </c>
      <c r="AB63" s="234">
        <v>0</v>
      </c>
      <c r="AC63" s="234">
        <v>0</v>
      </c>
      <c r="AD63" s="234">
        <v>0</v>
      </c>
      <c r="AE63" s="234">
        <v>0</v>
      </c>
      <c r="AF63" s="234">
        <v>0</v>
      </c>
      <c r="AG63" s="234">
        <v>0</v>
      </c>
      <c r="AH63" s="234">
        <v>0</v>
      </c>
      <c r="AI63" s="234">
        <v>0</v>
      </c>
      <c r="AJ63" s="247">
        <v>0</v>
      </c>
      <c r="AK63" s="237"/>
    </row>
    <row r="64" spans="2:37" x14ac:dyDescent="0.25">
      <c r="B64" s="237" t="s">
        <v>1690</v>
      </c>
      <c r="C64" s="237" t="s">
        <v>1757</v>
      </c>
      <c r="D64" s="234">
        <v>0</v>
      </c>
      <c r="E64" s="234">
        <v>0</v>
      </c>
      <c r="F64" s="234">
        <v>0</v>
      </c>
      <c r="G64" s="234">
        <v>0</v>
      </c>
      <c r="H64" s="234">
        <v>0</v>
      </c>
      <c r="I64" s="234">
        <v>0</v>
      </c>
      <c r="J64" s="234">
        <v>0</v>
      </c>
      <c r="K64" s="234">
        <v>0</v>
      </c>
      <c r="L64" s="234">
        <v>0</v>
      </c>
      <c r="M64" s="234">
        <v>0</v>
      </c>
      <c r="N64" s="234">
        <v>0</v>
      </c>
      <c r="O64" s="234">
        <v>0</v>
      </c>
      <c r="P64" s="234">
        <v>8769.4599999999991</v>
      </c>
      <c r="Q64" s="234">
        <v>0</v>
      </c>
      <c r="R64" s="234">
        <v>0</v>
      </c>
      <c r="S64" s="234">
        <v>0</v>
      </c>
      <c r="T64" s="234">
        <v>0</v>
      </c>
      <c r="U64" s="234">
        <v>0</v>
      </c>
      <c r="V64" s="234">
        <v>0</v>
      </c>
      <c r="W64" s="234">
        <v>0</v>
      </c>
      <c r="X64" s="234">
        <v>0</v>
      </c>
      <c r="Y64" s="234">
        <v>0</v>
      </c>
      <c r="Z64" s="234">
        <v>0</v>
      </c>
      <c r="AA64" s="234">
        <v>0</v>
      </c>
      <c r="AB64" s="234">
        <v>0</v>
      </c>
      <c r="AC64" s="234">
        <v>0</v>
      </c>
      <c r="AD64" s="234">
        <v>0</v>
      </c>
      <c r="AE64" s="234">
        <v>0</v>
      </c>
      <c r="AF64" s="234">
        <v>0</v>
      </c>
      <c r="AG64" s="234">
        <v>0</v>
      </c>
      <c r="AH64" s="234">
        <v>0</v>
      </c>
      <c r="AI64" s="234">
        <v>0</v>
      </c>
      <c r="AJ64" s="247">
        <v>0</v>
      </c>
      <c r="AK64" s="237"/>
    </row>
    <row r="65" spans="2:37" x14ac:dyDescent="0.25">
      <c r="B65" s="53"/>
      <c r="C65" s="237" t="s">
        <v>1758</v>
      </c>
      <c r="D65" s="237">
        <f t="shared" ref="D65:AJ65" si="4">SUM(D52:D64)</f>
        <v>0</v>
      </c>
      <c r="E65" s="237">
        <f t="shared" si="4"/>
        <v>0</v>
      </c>
      <c r="F65" s="237">
        <f t="shared" si="4"/>
        <v>0</v>
      </c>
      <c r="G65" s="237">
        <f t="shared" si="4"/>
        <v>0</v>
      </c>
      <c r="H65" s="237">
        <f t="shared" si="4"/>
        <v>0</v>
      </c>
      <c r="I65" s="237">
        <f t="shared" si="4"/>
        <v>0</v>
      </c>
      <c r="J65" s="237">
        <f t="shared" si="4"/>
        <v>0</v>
      </c>
      <c r="K65" s="237">
        <f t="shared" si="4"/>
        <v>263083.8</v>
      </c>
      <c r="L65" s="237">
        <f t="shared" si="4"/>
        <v>263083.8</v>
      </c>
      <c r="M65" s="237">
        <f t="shared" si="4"/>
        <v>245544.88</v>
      </c>
      <c r="N65" s="237">
        <f t="shared" si="4"/>
        <v>0</v>
      </c>
      <c r="O65" s="237">
        <f t="shared" si="4"/>
        <v>96464.06</v>
      </c>
      <c r="P65" s="237">
        <f t="shared" si="4"/>
        <v>8769.4599999999991</v>
      </c>
      <c r="Q65" s="237">
        <f t="shared" si="4"/>
        <v>0</v>
      </c>
      <c r="R65" s="237">
        <f t="shared" si="4"/>
        <v>0</v>
      </c>
      <c r="S65" s="237">
        <f t="shared" si="4"/>
        <v>0</v>
      </c>
      <c r="T65" s="237">
        <f t="shared" si="4"/>
        <v>0</v>
      </c>
      <c r="U65" s="237">
        <f t="shared" si="4"/>
        <v>0</v>
      </c>
      <c r="V65" s="237">
        <f t="shared" si="4"/>
        <v>0</v>
      </c>
      <c r="W65" s="237">
        <f t="shared" si="4"/>
        <v>0</v>
      </c>
      <c r="X65" s="237">
        <f t="shared" si="4"/>
        <v>0</v>
      </c>
      <c r="Y65" s="237">
        <f t="shared" si="4"/>
        <v>0</v>
      </c>
      <c r="Z65" s="237">
        <f t="shared" si="4"/>
        <v>0</v>
      </c>
      <c r="AA65" s="237">
        <f t="shared" si="4"/>
        <v>0</v>
      </c>
      <c r="AB65" s="237">
        <f t="shared" si="4"/>
        <v>0</v>
      </c>
      <c r="AC65" s="237">
        <f t="shared" si="4"/>
        <v>0</v>
      </c>
      <c r="AD65" s="237">
        <f t="shared" si="4"/>
        <v>0</v>
      </c>
      <c r="AE65" s="237">
        <f t="shared" si="4"/>
        <v>0</v>
      </c>
      <c r="AF65" s="237">
        <f t="shared" si="4"/>
        <v>0</v>
      </c>
      <c r="AG65" s="237">
        <f t="shared" si="4"/>
        <v>0</v>
      </c>
      <c r="AH65" s="237">
        <f t="shared" si="4"/>
        <v>0</v>
      </c>
      <c r="AI65" s="237">
        <f t="shared" si="4"/>
        <v>0</v>
      </c>
      <c r="AJ65" s="249">
        <f t="shared" si="4"/>
        <v>0</v>
      </c>
      <c r="AK65" s="237">
        <f>SUM(D65:AJ65)</f>
        <v>876946</v>
      </c>
    </row>
    <row r="66" spans="2:37" x14ac:dyDescent="0.25">
      <c r="B66" s="53"/>
      <c r="D66" s="21"/>
      <c r="E66" s="21"/>
      <c r="F66" s="21"/>
      <c r="G66" s="21"/>
      <c r="H66" s="96"/>
      <c r="I66" s="96"/>
      <c r="J66" s="96"/>
      <c r="K66" s="96"/>
      <c r="L66" s="96"/>
      <c r="M66" s="21"/>
      <c r="N66" s="96"/>
      <c r="O66" s="96"/>
      <c r="P66" s="96"/>
      <c r="Q66" s="21"/>
      <c r="R66" s="21"/>
      <c r="S66" s="21"/>
      <c r="T66" s="21"/>
      <c r="U66" s="21"/>
      <c r="V66" s="21"/>
      <c r="W66" s="21"/>
      <c r="X66" s="21"/>
      <c r="Y66" s="21"/>
      <c r="Z66" s="21"/>
      <c r="AA66" s="21"/>
      <c r="AB66" s="21"/>
      <c r="AC66" s="21"/>
      <c r="AD66" s="21"/>
      <c r="AE66" s="21"/>
      <c r="AF66" s="21"/>
      <c r="AG66" s="21"/>
      <c r="AH66" s="21"/>
      <c r="AI66" s="21"/>
      <c r="AJ66" s="21"/>
      <c r="AK66" s="233" t="e">
        <f>AK50+AK65</f>
        <v>#REF!</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6:G22"/>
  <sheetViews>
    <sheetView topLeftCell="A7" workbookViewId="0">
      <selection activeCell="F15" sqref="F15"/>
    </sheetView>
  </sheetViews>
  <sheetFormatPr defaultRowHeight="13.2" x14ac:dyDescent="0.25"/>
  <cols>
    <col min="3" max="3" width="12.44140625" bestFit="1" customWidth="1"/>
    <col min="6" max="6" width="12.5546875" bestFit="1" customWidth="1"/>
    <col min="7" max="7" width="10.88671875" bestFit="1" customWidth="1"/>
  </cols>
  <sheetData>
    <row r="6" spans="2:7" x14ac:dyDescent="0.25">
      <c r="B6" s="55"/>
      <c r="C6" s="54" t="e">
        <f>MDB!S68+MDB!S69+MDB!S70+MDB!S71+MDB!S72+MDB!S73+MDB!S74+MDB!S75+MDB!S76+MDB!S77+MDB!S78+MDB!S79+MDB!S80+MDB!S81+MDB!S82+MDB!S83+MDB!S84+MDB!S85+MDB!S86+MDB!S87+MDB!S88+MDB!S89+MDB!S90+MDB!S91+MDB!S92+MDB!S93+MDB!S94+MDB!S95+MDB!S96+MDB!S97+MDB!S98+MDB!S99+MDB!S100+MDB!S101+MDB!S102+MDB!S103+MDB!S104+MDB!S105+MDB!S106+MDB!S107+MDB!S108+MDB!S109+MDB!S110+MDB!S111+MDB!S112+MDB!S113+MDB!S114+MDB!S115+MDB!S116+MDB!S117+MDB!S118+MDB!S119+MDB!S120+MDB!S121+MDB!S122+MDB!S123+MDB!#REF!+MDB!S130+MDB!S131+MDB!S132+MDB!S133+MDB!S134+MDB!S135+MDB!S136+MDB!S137+MDB!S138+MDB!S139+MDB!S140+MDB!S141+MDB!S142+MDB!S143+MDB!S144+MDB!S145+MDB!S146+MDB!S147+MDB!Q148+MDB!Q149+MDB!Q155+MDB!Q156+MDB!S157+MDB!S158+MDB!S159+MDB!Q160+MDB!Q161+MDB!Q162+MDB!Q163+MDB!Q164+MDB!S165+MDB!S166+MDB!Q167+MDB!#REF!+MDB!Q170+MDB!Q171+MDB!Q172+MDB!Q173+MDB!Q174+MDB!S175+MDB!S177+MDB!#REF!+MDB!S178+MDB!#REF!+MDB!#REF!+MDB!#REF!+MDB!#REF!+MDB!Q182+MDB!Q183+MDB!Q184+MDB!Q185+MDB!Q186+MDB!S187+MDB!Q188+MDB!#REF!+MDB!Q189+MDB!Q190+MDB!Q191+MDB!Q192+MDB!Q193+MDB!Q194+MDB!S195+MDB!S196+MDB!Q197+MDB!Q198+MDB!Q199+MDB!Q200+MDB!Q201+MDB!Q202+MDB!Q203+MDB!Q204+MDB!Q205+MDB!S216+MDB!S207+MDB!S208+MDB!S209+MDB!S210+MDB!S211+MDB!S212+MDB!S213+MDB!S214+MDB!S215+MDB!S217+MDB!S218+MDB!S219+MDB!S220+MDB!S221+MDB!S222+MDB!S223+MDB!S224+MDB!S225+MDB!S226+MDB!S227+MDB!S228+MDB!Q229+MDB!S230+MDB!S231+MDB!S232+MDB!S233+MDB!S234+MDB!S235+MDB!S236+MDB!S237+MDB!S238+MDB!S239+MDB!S240+MDB!S241+MDB!Q242+MDB!Q243+MDB!Q244+MDB!Q245+MDB!Q246+MDB!Q247+MDB!#REF!+MDB!Q251+MDB!Q248+MDB!Q249+MDB!S252+MDB!S253+MDB!Q256+MDB!Q254+MDB!Q255+MDB!Q257+MDB!Q258+MDB!Q259+MDB!Q260+MDB!#REF!+MDB!Q266+MDB!S261+MDB!S262+MDB!S263+MDB!S264+MDB!S265+MDB!#REF!+MDB!Q268+MDB!Q269+MDB!Q270+MDB!Q271+MDB!Q272+MDB!Q273+MDB!Q274+MDB!Q275+MDB!Q276+MDB!Q277+MDB!Q278+MDB!Q279+MDB!Q280+MDB!Q281+MDB!Q282+MDB!Q283+MDB!Q284+MDB!#REF!+MDB!#REF!+MDB!Q285+MDB!Q286+MDB!Q287+MDB!Q288+MDB!Q289+MDB!Q290+MDB!Q291+MDB!Q292+MDB!#REF!+MDB!Q293+MDB!Q295+MDB!Q297+MDB!Q299+MDB!#REF!+MDB!Q300+MDB!Q301+MDB!Q302+MDB!#REF!+MDB!Q309+MDB!Q315+MDB!Q323+MDB!Q327+MDB!#REF!+MDB!Q329+MDB!Q333+MDB!Q334+MDB!Q339+MDB!Q340+MDB!#REF!+MDB!Q371+MDB!#REF!+MDB!Q372+MDB!#REF!+MDB!Q374+MDB!Q377+MDB!Q378+MDB!#REF!+MDB!#REF!+MDB!Q380+MDB!Q382+MDB!#REF!+MDB!Q383+MDB!Q388+MDB!Q376+MDB!Q384+MDB!Q385+MDB!Q391+MDB!#REF!</f>
        <v>#REF!</v>
      </c>
      <c r="D6" s="53"/>
      <c r="E6" s="53"/>
      <c r="F6" s="21"/>
      <c r="G6" s="21"/>
    </row>
    <row r="7" spans="2:7" x14ac:dyDescent="0.25">
      <c r="B7" s="55"/>
      <c r="C7" s="54"/>
      <c r="D7" s="53"/>
      <c r="E7" s="53"/>
      <c r="F7" s="21"/>
      <c r="G7" s="21"/>
    </row>
    <row r="8" spans="2:7" x14ac:dyDescent="0.25">
      <c r="B8" s="55"/>
      <c r="C8" s="54"/>
      <c r="D8" s="53"/>
      <c r="E8" s="53"/>
      <c r="F8" s="21"/>
      <c r="G8" s="21" t="s">
        <v>1759</v>
      </c>
    </row>
    <row r="9" spans="2:7" ht="52.8" x14ac:dyDescent="0.25">
      <c r="B9" s="54" t="s">
        <v>1760</v>
      </c>
      <c r="C9" s="54">
        <v>45494.05</v>
      </c>
      <c r="D9" s="53" t="s">
        <v>1761</v>
      </c>
      <c r="E9" s="53" t="s">
        <v>1755</v>
      </c>
      <c r="F9" s="96">
        <f>MDB!S68+MDB!S69+MDB!S70+MDB!S71+MDB!S72+MDB!S73+MDB!S74+MDB!S75+MDB!S76+MDB!S77+MDB!S78+MDB!S79+MDB!S80+MDB!S81+MDB!S82+MDB!S83+MDB!S84+MDB!S85+MDB!S86+MDB!S87+MDB!S88+MDB!S89+MDB!S90+MDB!S91+MDB!S92+MDB!S93+MDB!S94</f>
        <v>94368.059999999969</v>
      </c>
      <c r="G9" s="54">
        <f t="shared" ref="G9:G17" si="0">C9-F9</f>
        <v>-48874.009999999966</v>
      </c>
    </row>
    <row r="10" spans="2:7" ht="52.8" x14ac:dyDescent="0.25">
      <c r="B10" s="54" t="s">
        <v>1762</v>
      </c>
      <c r="C10" s="54">
        <v>149621.48000000001</v>
      </c>
      <c r="D10" s="53" t="s">
        <v>1761</v>
      </c>
      <c r="E10" s="53" t="s">
        <v>1763</v>
      </c>
      <c r="F10" s="96">
        <f>MDB!S95+MDB!S96+MDB!S97+MDB!S98+MDB!S99+MDB!S100+MDB!S101+MDB!S102+MDB!S103+MDB!S104+MDB!S105+MDB!S106+MDB!S107+MDB!S108+MDB!S109+MDB!S110+MDB!S111+MDB!S112+MDB!S113+MDB!S114+MDB!S115+MDB!S116+MDB!S117+MDB!S118+MDB!S119+MDB!S120+MDB!S121</f>
        <v>144692.71000000002</v>
      </c>
      <c r="G10" s="54">
        <f t="shared" si="0"/>
        <v>4928.7699999999895</v>
      </c>
    </row>
    <row r="11" spans="2:7" ht="52.8" x14ac:dyDescent="0.25">
      <c r="B11" s="54" t="s">
        <v>1764</v>
      </c>
      <c r="C11" s="54">
        <v>0</v>
      </c>
      <c r="D11" s="53" t="s">
        <v>1761</v>
      </c>
      <c r="E11" s="53" t="s">
        <v>1757</v>
      </c>
      <c r="F11" s="21">
        <v>0</v>
      </c>
      <c r="G11" s="54">
        <f t="shared" si="0"/>
        <v>0</v>
      </c>
    </row>
    <row r="12" spans="2:7" ht="66" x14ac:dyDescent="0.25">
      <c r="B12" s="54" t="s">
        <v>1765</v>
      </c>
      <c r="C12" s="54">
        <v>215077.3</v>
      </c>
      <c r="D12" s="53" t="s">
        <v>1766</v>
      </c>
      <c r="E12" s="53" t="s">
        <v>1755</v>
      </c>
      <c r="F12" s="96" t="e">
        <f>MDB!S122+MDB!S123+MDB!#REF!+MDB!S130+MDB!S131+MDB!S132+MDB!S133+MDB!S134+MDB!S135+MDB!S136+MDB!S137+MDB!S138+MDB!S139+MDB!S140+MDB!S141+MDB!S142+MDB!S143+MDB!S144+MDB!S145+MDB!S146+MDB!S147+MDB!Q148+MDB!Q149+MDB!Q155+MDB!Q156</f>
        <v>#REF!</v>
      </c>
      <c r="G12" s="54" t="e">
        <f t="shared" si="0"/>
        <v>#REF!</v>
      </c>
    </row>
    <row r="13" spans="2:7" ht="66" x14ac:dyDescent="0.25">
      <c r="B13" s="54" t="s">
        <v>1767</v>
      </c>
      <c r="C13" s="54">
        <v>39207.119999999995</v>
      </c>
      <c r="D13" s="53" t="s">
        <v>1766</v>
      </c>
      <c r="E13" s="53" t="s">
        <v>1763</v>
      </c>
      <c r="F13" s="96" t="e">
        <f>MDB!S157+MDB!S158+MDB!S159+MDB!Q160+MDB!Q161+MDB!Q162+MDB!Q163+MDB!Q164+MDB!S165+MDB!S166+MDB!Q167+MDB!#REF!+MDB!Q170+MDB!Q171+MDB!Q172+MDB!Q173+MDB!Q174+MDB!S175+MDB!S177+MDB!#REF!</f>
        <v>#REF!</v>
      </c>
      <c r="G13" s="54" t="e">
        <f t="shared" si="0"/>
        <v>#REF!</v>
      </c>
    </row>
    <row r="14" spans="2:7" ht="66" x14ac:dyDescent="0.25">
      <c r="B14" s="54" t="s">
        <v>1768</v>
      </c>
      <c r="C14" s="54">
        <v>683045.92699999979</v>
      </c>
      <c r="D14" s="53" t="s">
        <v>1766</v>
      </c>
      <c r="E14" s="53" t="s">
        <v>1757</v>
      </c>
      <c r="F14" s="96" t="e">
        <f>MDB!S178+MDB!#REF!+MDB!#REF!+MDB!#REF!+MDB!#REF!+MDB!Q182+MDB!Q183+MDB!Q184+MDB!Q185+MDB!Q186+MDB!S187+MDB!Q188+MDB!#REF!+MDB!Q189+MDB!Q190+MDB!Q191+MDB!Q192+MDB!Q193+MDB!Q194+MDB!S195+MDB!S196+MDB!Q197+MDB!Q198+MDB!Q199+MDB!Q200+MDB!Q201+MDB!Q202+MDB!Q203+MDB!Q204+MDB!Q205+MDB!S216+MDB!S207+MDB!S208+MDB!S209+MDB!S210+MDB!S211+MDB!S212+MDB!S213+MDB!S214+MDB!S215+MDB!S217+MDB!S218+MDB!S219+MDB!S220+MDB!S221+MDB!S222+MDB!S223+MDB!S224+MDB!S225+MDB!S226+MDB!S227+MDB!S228+MDB!Q229+MDB!S230+MDB!S231+MDB!S232+MDB!S233+MDB!S234+MDB!S235+MDB!S236+MDB!S237+MDB!S238+MDB!S239+MDB!S240+MDB!S241+MDB!Q242+MDB!Q243+MDB!Q244+MDB!Q245+MDB!Q246+MDB!Q247+MDB!#REF!+MDB!Q251+MDB!Q248+MDB!Q249+MDB!S252+MDB!S253+MDB!Q256+MDB!Q254+MDB!Q255+MDB!Q257+MDB!Q258+MDB!Q259+MDB!Q260+MDB!S266+MDB!S267+MDB!Q261+MDB!Q262+MDB!Q263+MDB!Q264+MDB!Q265+MDB!S268+MDB!Q269+MDB!Q270+MDB!Q271+MDB!Q272+MDB!Q273+MDB!Q274+MDB!Q275+MDB!Q276+MDB!Q277+MDB!Q278+MDB!Q279+MDB!Q280+MDB!Q281+MDB!Q282+MDB!S283+MDB!Q284+MDB!#REF!+MDB!#REF!+MDB!Q285+MDB!Q286+MDB!Q287+MDB!Q288+MDB!Q289+MDB!Q290+MDB!Q291+MDB!Q292</f>
        <v>#REF!</v>
      </c>
      <c r="G14" s="54" t="e">
        <f t="shared" si="0"/>
        <v>#REF!</v>
      </c>
    </row>
    <row r="15" spans="2:7" ht="52.8" x14ac:dyDescent="0.25">
      <c r="B15" s="54" t="s">
        <v>1769</v>
      </c>
      <c r="C15" s="54">
        <v>267424.34999999998</v>
      </c>
      <c r="D15" s="53" t="s">
        <v>1770</v>
      </c>
      <c r="E15" s="53" t="s">
        <v>1755</v>
      </c>
      <c r="F15" s="96" t="e">
        <f>MDB!#REF!+MDB!Q293+MDB!Q295+MDB!Q297+MDB!Q299+MDB!#REF!</f>
        <v>#REF!</v>
      </c>
      <c r="G15" s="54" t="e">
        <f t="shared" si="0"/>
        <v>#REF!</v>
      </c>
    </row>
    <row r="16" spans="2:7" ht="52.8" x14ac:dyDescent="0.25">
      <c r="B16" s="54" t="s">
        <v>1771</v>
      </c>
      <c r="C16" s="54">
        <v>5598.83</v>
      </c>
      <c r="D16" s="53" t="s">
        <v>1770</v>
      </c>
      <c r="E16" s="53" t="s">
        <v>1763</v>
      </c>
      <c r="F16" s="96" t="e">
        <f>MDB!Q300+MDB!Q301+MDB!Q302+MDB!#REF!+MDB!Q309+MDB!Q315+MDB!Q323+MDB!Q327+MDB!#REF!+MDB!Q329+MDB!Q333+MDB!Q334+MDB!Q339</f>
        <v>#REF!</v>
      </c>
      <c r="G16" s="54" t="e">
        <f t="shared" si="0"/>
        <v>#REF!</v>
      </c>
    </row>
    <row r="17" spans="2:7" ht="52.8" x14ac:dyDescent="0.25">
      <c r="B17" s="54" t="s">
        <v>1772</v>
      </c>
      <c r="C17" s="54">
        <v>161340.07</v>
      </c>
      <c r="D17" s="53" t="s">
        <v>1770</v>
      </c>
      <c r="E17" s="53" t="s">
        <v>1757</v>
      </c>
      <c r="F17" s="96" t="e">
        <f>MDB!Q340+MDB!#REF!+MDB!Q371+MDB!#REF!+MDB!Q372+MDB!#REF!+MDB!Q374+MDB!Q377+MDB!Q378+MDB!#REF!+MDB!#REF!+MDB!Q380+MDB!Q382+MDB!#REF!+MDB!Q383+MDB!Q388+MDB!Q376+MDB!Q384+MDB!Q385+MDB!Q391+MDB!#REF!</f>
        <v>#REF!</v>
      </c>
      <c r="G17" s="54" t="e">
        <f t="shared" si="0"/>
        <v>#REF!</v>
      </c>
    </row>
    <row r="18" spans="2:7" x14ac:dyDescent="0.25">
      <c r="B18" s="54"/>
      <c r="C18" s="98">
        <f>C9+C10+C11+C12+C13+C14+C15+C16+C17</f>
        <v>1566809.1270000001</v>
      </c>
      <c r="D18" s="99"/>
      <c r="E18" s="99"/>
      <c r="F18" s="97" t="e">
        <f>F9+F10+F11+F12+F13+F14+F15+F16+F17</f>
        <v>#REF!</v>
      </c>
      <c r="G18" s="98" t="e">
        <f>G9+G10+G11+G12+G13+G14+G15+G16+G17</f>
        <v>#REF!</v>
      </c>
    </row>
    <row r="19" spans="2:7" ht="52.8" x14ac:dyDescent="0.25">
      <c r="B19" s="54" t="s">
        <v>1773</v>
      </c>
      <c r="C19" s="54">
        <v>207869.2</v>
      </c>
      <c r="D19" s="53" t="s">
        <v>1774</v>
      </c>
      <c r="E19" s="53" t="s">
        <v>1755</v>
      </c>
      <c r="F19" s="96" t="e">
        <f>MDB!Q454+MDB!Q455+MDB!Q456+MDB!Q457+MDB!Q458+MDB!Q459+MDB!Q460+MDB!Q461+MDB!Q462+MDB!Q464+MDB!Q465+MDB!Q463+MDB!Q466+MDB!Q467+MDB!Q468+MDB!Q469+MDB!Q470+MDB!Q471+MDB!Q472+MDB!Q473+MDB!#REF!+MDB!#REF!+MDB!#REF!+MDB!#REF!</f>
        <v>#REF!</v>
      </c>
      <c r="G19" s="54" t="e">
        <f>C19-F19</f>
        <v>#REF!</v>
      </c>
    </row>
    <row r="20" spans="2:7" ht="52.8" x14ac:dyDescent="0.25">
      <c r="B20" s="54" t="s">
        <v>1775</v>
      </c>
      <c r="C20" s="54">
        <v>87945.2</v>
      </c>
      <c r="D20" s="53" t="s">
        <v>1774</v>
      </c>
      <c r="E20" s="53" t="s">
        <v>1763</v>
      </c>
      <c r="F20" s="96" t="e">
        <f>MDB!#REF!+MDB!#REF!+MDB!#REF!+MDB!#REF!+MDB!#REF!+MDB!#REF!+MDB!#REF!+MDB!#REF!+MDB!#REF!+MDB!S532+MDB!S534+MDB!#REF!+MDB!#REF!+MDB!#REF!+MDB!#REF!+MDB!#REF!</f>
        <v>#REF!</v>
      </c>
      <c r="G20" s="54" t="e">
        <f>C20-F20</f>
        <v>#REF!</v>
      </c>
    </row>
    <row r="21" spans="2:7" ht="52.8" x14ac:dyDescent="0.25">
      <c r="B21" s="54" t="s">
        <v>1776</v>
      </c>
      <c r="C21" s="54">
        <v>106507.09999999999</v>
      </c>
      <c r="D21" s="53" t="s">
        <v>1774</v>
      </c>
      <c r="E21" s="53" t="s">
        <v>1757</v>
      </c>
      <c r="F21" s="96" t="e">
        <f>MDB!#REF!+MDB!#REF!+MDB!#REF!+MDB!#REF!+MDB!#REF!+MDB!#REF!+MDB!#REF!+MDB!#REF!+MDB!#REF!+MDB!#REF!+MDB!#REF!+MDB!#REF!+MDB!#REF!+MDB!#REF!+MDB!#REF!+MDB!#REF!+MDB!#REF!+MDB!#REF!+MDB!#REF!+MDB!#REF!+MDB!#REF!+MDB!#REF!+MDB!Q653+MDB!#REF!+MDB!#REF!+MDB!Q676</f>
        <v>#REF!</v>
      </c>
      <c r="G21" s="54" t="e">
        <f>C21-F21</f>
        <v>#REF!</v>
      </c>
    </row>
    <row r="22" spans="2:7" x14ac:dyDescent="0.25">
      <c r="B22" s="55"/>
      <c r="C22" s="98">
        <f>C9+C10+C11+C12+C13+C14+C15+C16+C17+C19+C20+C21</f>
        <v>1969130.6270000001</v>
      </c>
      <c r="D22" s="99"/>
      <c r="E22" s="99"/>
      <c r="F22" s="97" t="e">
        <f>F9+F10+F11+F12+F13+F14+F15+F16+F17+F19+F20+F21</f>
        <v>#REF!</v>
      </c>
      <c r="G22" s="98" t="e">
        <f>C22-F22</f>
        <v>#REF!</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76"/>
  <sheetViews>
    <sheetView topLeftCell="A2" workbookViewId="0">
      <selection activeCell="K14" sqref="K14"/>
    </sheetView>
  </sheetViews>
  <sheetFormatPr defaultRowHeight="13.2" x14ac:dyDescent="0.25"/>
  <cols>
    <col min="2" max="2" width="22.44140625" bestFit="1" customWidth="1"/>
    <col min="3" max="3" width="9.44140625" bestFit="1" customWidth="1"/>
    <col min="4" max="5" width="11.109375" bestFit="1" customWidth="1"/>
    <col min="6" max="6" width="9.44140625" bestFit="1" customWidth="1"/>
    <col min="7" max="7" width="10.109375" bestFit="1" customWidth="1"/>
    <col min="8" max="9" width="11.109375" bestFit="1" customWidth="1"/>
    <col min="10" max="12" width="12.5546875" bestFit="1" customWidth="1"/>
    <col min="13" max="14" width="11.109375" bestFit="1" customWidth="1"/>
    <col min="15" max="15" width="10.109375" bestFit="1" customWidth="1"/>
    <col min="16" max="29" width="9.44140625" bestFit="1" customWidth="1"/>
    <col min="30" max="30" width="10.109375" bestFit="1" customWidth="1"/>
    <col min="31" max="32" width="11.44140625" bestFit="1" customWidth="1"/>
    <col min="33" max="35" width="9.44140625" bestFit="1" customWidth="1"/>
    <col min="36" max="36" width="12.88671875" bestFit="1" customWidth="1"/>
    <col min="37" max="37" width="12.5546875" hidden="1" customWidth="1"/>
    <col min="38" max="38" width="9.109375" hidden="1" customWidth="1"/>
  </cols>
  <sheetData>
    <row r="1" spans="2:36" ht="113.25" customHeight="1" x14ac:dyDescent="0.25">
      <c r="B1" s="260" t="s">
        <v>1777</v>
      </c>
      <c r="C1" s="261" t="s">
        <v>1708</v>
      </c>
      <c r="D1" s="261" t="s">
        <v>1709</v>
      </c>
      <c r="E1" s="261" t="s">
        <v>1710</v>
      </c>
      <c r="F1" s="262" t="s">
        <v>1711</v>
      </c>
      <c r="G1" s="262" t="s">
        <v>1712</v>
      </c>
      <c r="H1" s="262" t="s">
        <v>1713</v>
      </c>
      <c r="I1" s="262" t="s">
        <v>1714</v>
      </c>
      <c r="J1" s="262" t="s">
        <v>1715</v>
      </c>
      <c r="K1" s="262" t="s">
        <v>1716</v>
      </c>
      <c r="L1" s="263" t="s">
        <v>1717</v>
      </c>
      <c r="M1" s="262" t="s">
        <v>1718</v>
      </c>
      <c r="N1" s="262" t="s">
        <v>77</v>
      </c>
      <c r="O1" s="262" t="s">
        <v>78</v>
      </c>
      <c r="P1" s="262" t="s">
        <v>79</v>
      </c>
      <c r="Q1" s="262" t="s">
        <v>80</v>
      </c>
      <c r="R1" s="262" t="s">
        <v>81</v>
      </c>
      <c r="S1" s="262" t="s">
        <v>82</v>
      </c>
      <c r="T1" s="262" t="s">
        <v>83</v>
      </c>
      <c r="U1" s="262" t="s">
        <v>84</v>
      </c>
      <c r="V1" s="262" t="s">
        <v>85</v>
      </c>
      <c r="W1" s="262" t="s">
        <v>1719</v>
      </c>
      <c r="X1" s="262" t="s">
        <v>1720</v>
      </c>
      <c r="Y1" s="262" t="s">
        <v>1721</v>
      </c>
      <c r="Z1" s="262" t="s">
        <v>1722</v>
      </c>
      <c r="AA1" s="262" t="s">
        <v>1723</v>
      </c>
      <c r="AB1" s="262" t="s">
        <v>1724</v>
      </c>
      <c r="AC1" s="262" t="s">
        <v>1725</v>
      </c>
      <c r="AD1" s="262" t="s">
        <v>1726</v>
      </c>
      <c r="AE1" s="262" t="s">
        <v>1727</v>
      </c>
      <c r="AF1" s="262" t="s">
        <v>1728</v>
      </c>
      <c r="AG1" s="262" t="s">
        <v>1729</v>
      </c>
      <c r="AH1" s="262" t="s">
        <v>1730</v>
      </c>
      <c r="AI1" s="262" t="s">
        <v>1731</v>
      </c>
      <c r="AJ1" s="253" t="s">
        <v>33</v>
      </c>
    </row>
    <row r="2" spans="2:36" x14ac:dyDescent="0.25">
      <c r="B2" s="234" t="s">
        <v>1732</v>
      </c>
      <c r="C2" s="234">
        <v>0</v>
      </c>
      <c r="D2" s="234">
        <v>0</v>
      </c>
      <c r="E2" s="234">
        <v>0</v>
      </c>
      <c r="F2" s="234">
        <v>0</v>
      </c>
      <c r="G2" s="234">
        <v>0</v>
      </c>
      <c r="H2" s="234">
        <v>0</v>
      </c>
      <c r="I2" s="234">
        <v>0</v>
      </c>
      <c r="J2" s="234">
        <v>0</v>
      </c>
      <c r="K2" s="234">
        <v>473000</v>
      </c>
      <c r="L2" s="234">
        <v>0</v>
      </c>
      <c r="M2" s="234">
        <v>0</v>
      </c>
      <c r="N2" s="234">
        <v>0</v>
      </c>
      <c r="O2" s="234">
        <v>0</v>
      </c>
      <c r="P2" s="234">
        <v>0</v>
      </c>
      <c r="Q2" s="234">
        <v>0</v>
      </c>
      <c r="R2" s="234">
        <v>0</v>
      </c>
      <c r="S2" s="234">
        <v>0</v>
      </c>
      <c r="T2" s="234">
        <v>0</v>
      </c>
      <c r="U2" s="234">
        <v>0</v>
      </c>
      <c r="V2" s="234">
        <v>0</v>
      </c>
      <c r="W2" s="234">
        <v>0</v>
      </c>
      <c r="X2" s="234">
        <v>0</v>
      </c>
      <c r="Y2" s="234">
        <v>0</v>
      </c>
      <c r="Z2" s="234">
        <v>0</v>
      </c>
      <c r="AA2" s="234">
        <v>0</v>
      </c>
      <c r="AB2" s="234">
        <v>0</v>
      </c>
      <c r="AC2" s="234">
        <v>0</v>
      </c>
      <c r="AD2" s="234">
        <v>0</v>
      </c>
      <c r="AE2" s="234">
        <v>0</v>
      </c>
      <c r="AF2" s="234">
        <v>0</v>
      </c>
      <c r="AG2" s="234">
        <v>0</v>
      </c>
      <c r="AH2" s="234">
        <v>0</v>
      </c>
      <c r="AI2" s="234">
        <v>0</v>
      </c>
      <c r="AJ2" s="234"/>
    </row>
    <row r="3" spans="2:36" x14ac:dyDescent="0.25">
      <c r="B3" s="234" t="s">
        <v>1733</v>
      </c>
      <c r="C3" s="234">
        <v>0</v>
      </c>
      <c r="D3" s="234">
        <v>0</v>
      </c>
      <c r="E3" s="234">
        <v>0</v>
      </c>
      <c r="F3" s="234">
        <v>0</v>
      </c>
      <c r="G3" s="234">
        <v>0</v>
      </c>
      <c r="H3" s="234">
        <v>0</v>
      </c>
      <c r="I3" s="234">
        <v>0</v>
      </c>
      <c r="J3" s="234">
        <v>0</v>
      </c>
      <c r="K3" s="234">
        <v>0</v>
      </c>
      <c r="L3" s="234">
        <v>0</v>
      </c>
      <c r="M3" s="234">
        <v>0</v>
      </c>
      <c r="N3" s="234">
        <v>0</v>
      </c>
      <c r="O3" s="234">
        <v>0</v>
      </c>
      <c r="P3" s="234">
        <v>0</v>
      </c>
      <c r="Q3" s="234">
        <v>0</v>
      </c>
      <c r="R3" s="234">
        <v>0</v>
      </c>
      <c r="S3" s="234">
        <v>0</v>
      </c>
      <c r="T3" s="234">
        <v>0</v>
      </c>
      <c r="U3" s="234">
        <v>0</v>
      </c>
      <c r="V3" s="234">
        <v>0</v>
      </c>
      <c r="W3" s="234">
        <v>0</v>
      </c>
      <c r="X3" s="234">
        <v>0</v>
      </c>
      <c r="Y3" s="234">
        <v>0</v>
      </c>
      <c r="Z3" s="234">
        <v>0</v>
      </c>
      <c r="AA3" s="234">
        <v>0</v>
      </c>
      <c r="AB3" s="234">
        <v>0</v>
      </c>
      <c r="AC3" s="234">
        <v>0</v>
      </c>
      <c r="AD3" s="234">
        <v>0</v>
      </c>
      <c r="AE3" s="234">
        <v>0</v>
      </c>
      <c r="AF3" s="234">
        <v>0</v>
      </c>
      <c r="AG3" s="234">
        <v>0</v>
      </c>
      <c r="AH3" s="234">
        <v>0</v>
      </c>
      <c r="AI3" s="234">
        <v>0</v>
      </c>
      <c r="AJ3" s="234"/>
    </row>
    <row r="4" spans="2:36" x14ac:dyDescent="0.25">
      <c r="B4" s="234" t="s">
        <v>1734</v>
      </c>
      <c r="C4" s="234">
        <v>0</v>
      </c>
      <c r="D4" s="234">
        <v>0</v>
      </c>
      <c r="E4" s="234">
        <v>0</v>
      </c>
      <c r="F4" s="234">
        <v>0</v>
      </c>
      <c r="G4" s="234">
        <v>0</v>
      </c>
      <c r="H4" s="234">
        <v>0</v>
      </c>
      <c r="I4" s="234">
        <v>0</v>
      </c>
      <c r="J4" s="234">
        <v>51329</v>
      </c>
      <c r="K4" s="234">
        <v>0</v>
      </c>
      <c r="L4" s="234">
        <v>36595</v>
      </c>
      <c r="M4" s="234">
        <v>0</v>
      </c>
      <c r="N4" s="234">
        <v>0</v>
      </c>
      <c r="O4" s="234">
        <v>0</v>
      </c>
      <c r="P4" s="234">
        <v>0</v>
      </c>
      <c r="Q4" s="234">
        <v>0</v>
      </c>
      <c r="R4" s="234">
        <v>0</v>
      </c>
      <c r="S4" s="234">
        <v>0</v>
      </c>
      <c r="T4" s="234">
        <v>0</v>
      </c>
      <c r="U4" s="234">
        <v>0</v>
      </c>
      <c r="V4" s="234">
        <v>0</v>
      </c>
      <c r="W4" s="234">
        <v>0</v>
      </c>
      <c r="X4" s="234">
        <v>0</v>
      </c>
      <c r="Y4" s="234">
        <v>0</v>
      </c>
      <c r="Z4" s="234">
        <v>0</v>
      </c>
      <c r="AA4" s="234">
        <v>0</v>
      </c>
      <c r="AB4" s="234">
        <v>0</v>
      </c>
      <c r="AC4" s="234">
        <v>0</v>
      </c>
      <c r="AD4" s="234">
        <v>0</v>
      </c>
      <c r="AE4" s="234">
        <v>0</v>
      </c>
      <c r="AF4" s="234">
        <v>0</v>
      </c>
      <c r="AG4" s="234">
        <v>0</v>
      </c>
      <c r="AH4" s="234">
        <v>0</v>
      </c>
      <c r="AI4" s="234">
        <v>0</v>
      </c>
      <c r="AJ4" s="234"/>
    </row>
    <row r="5" spans="2:36" x14ac:dyDescent="0.25">
      <c r="B5" s="234" t="s">
        <v>1735</v>
      </c>
      <c r="C5" s="234">
        <v>0</v>
      </c>
      <c r="D5" s="234">
        <v>0</v>
      </c>
      <c r="E5" s="234">
        <v>0</v>
      </c>
      <c r="F5" s="234">
        <v>0</v>
      </c>
      <c r="G5" s="234">
        <v>0</v>
      </c>
      <c r="H5" s="234">
        <v>0</v>
      </c>
      <c r="I5" s="234">
        <v>0</v>
      </c>
      <c r="J5" s="234">
        <v>47435.270000000004</v>
      </c>
      <c r="K5" s="234">
        <v>0</v>
      </c>
      <c r="L5" s="234">
        <v>61168</v>
      </c>
      <c r="M5" s="234">
        <v>0</v>
      </c>
      <c r="N5" s="234">
        <v>0</v>
      </c>
      <c r="O5" s="234">
        <v>0</v>
      </c>
      <c r="P5" s="234">
        <v>0</v>
      </c>
      <c r="Q5" s="234">
        <v>0</v>
      </c>
      <c r="R5" s="234">
        <v>0</v>
      </c>
      <c r="S5" s="234">
        <v>0</v>
      </c>
      <c r="T5" s="234">
        <v>0</v>
      </c>
      <c r="U5" s="234">
        <v>0</v>
      </c>
      <c r="V5" s="234">
        <v>0</v>
      </c>
      <c r="W5" s="234">
        <v>0</v>
      </c>
      <c r="X5" s="234">
        <v>0</v>
      </c>
      <c r="Y5" s="234">
        <v>0</v>
      </c>
      <c r="Z5" s="234">
        <v>0</v>
      </c>
      <c r="AA5" s="234">
        <v>0</v>
      </c>
      <c r="AB5" s="234">
        <v>0</v>
      </c>
      <c r="AC5" s="234">
        <v>0</v>
      </c>
      <c r="AD5" s="234">
        <v>0</v>
      </c>
      <c r="AE5" s="234">
        <v>0</v>
      </c>
      <c r="AF5" s="234">
        <v>0</v>
      </c>
      <c r="AG5" s="234">
        <v>0</v>
      </c>
      <c r="AH5" s="234">
        <v>0</v>
      </c>
      <c r="AI5" s="234">
        <v>0</v>
      </c>
      <c r="AJ5" s="234"/>
    </row>
    <row r="6" spans="2:36" x14ac:dyDescent="0.25">
      <c r="B6" s="234" t="s">
        <v>1736</v>
      </c>
      <c r="C6" s="234">
        <v>0</v>
      </c>
      <c r="D6" s="234">
        <v>0</v>
      </c>
      <c r="E6" s="234">
        <v>0</v>
      </c>
      <c r="F6" s="234">
        <v>0</v>
      </c>
      <c r="G6" s="234">
        <v>0</v>
      </c>
      <c r="H6" s="234">
        <v>0</v>
      </c>
      <c r="I6" s="234">
        <v>0</v>
      </c>
      <c r="J6" s="234">
        <v>2950</v>
      </c>
      <c r="K6" s="234">
        <v>0</v>
      </c>
      <c r="L6" s="234">
        <v>0</v>
      </c>
      <c r="M6" s="234">
        <v>0</v>
      </c>
      <c r="N6" s="234">
        <v>0</v>
      </c>
      <c r="O6" s="234">
        <v>0</v>
      </c>
      <c r="P6" s="234">
        <v>0</v>
      </c>
      <c r="Q6" s="234">
        <v>0</v>
      </c>
      <c r="R6" s="234">
        <v>0</v>
      </c>
      <c r="S6" s="234">
        <v>0</v>
      </c>
      <c r="T6" s="234">
        <v>0</v>
      </c>
      <c r="U6" s="234">
        <v>0</v>
      </c>
      <c r="V6" s="234">
        <v>0</v>
      </c>
      <c r="W6" s="234">
        <v>0</v>
      </c>
      <c r="X6" s="234">
        <v>0</v>
      </c>
      <c r="Y6" s="234">
        <v>0</v>
      </c>
      <c r="Z6" s="234">
        <v>0</v>
      </c>
      <c r="AA6" s="234">
        <v>0</v>
      </c>
      <c r="AB6" s="234">
        <v>0</v>
      </c>
      <c r="AC6" s="234">
        <v>0</v>
      </c>
      <c r="AD6" s="234">
        <v>0</v>
      </c>
      <c r="AE6" s="234">
        <v>0</v>
      </c>
      <c r="AF6" s="234">
        <v>0</v>
      </c>
      <c r="AG6" s="234">
        <v>0</v>
      </c>
      <c r="AH6" s="234">
        <v>0</v>
      </c>
      <c r="AI6" s="234">
        <v>0</v>
      </c>
      <c r="AJ6" s="234"/>
    </row>
    <row r="7" spans="2:36" x14ac:dyDescent="0.25">
      <c r="B7" s="234" t="s">
        <v>1737</v>
      </c>
      <c r="C7" s="234">
        <v>0</v>
      </c>
      <c r="D7" s="234">
        <v>0</v>
      </c>
      <c r="E7" s="234">
        <v>0</v>
      </c>
      <c r="F7" s="234">
        <v>0</v>
      </c>
      <c r="G7" s="234">
        <v>0</v>
      </c>
      <c r="H7" s="234">
        <v>0</v>
      </c>
      <c r="I7" s="234">
        <v>0</v>
      </c>
      <c r="J7" s="234">
        <v>0</v>
      </c>
      <c r="K7" s="234">
        <v>0</v>
      </c>
      <c r="L7" s="234">
        <v>777.83</v>
      </c>
      <c r="M7" s="234">
        <v>154343.35</v>
      </c>
      <c r="N7" s="234">
        <v>0</v>
      </c>
      <c r="O7" s="234">
        <v>0</v>
      </c>
      <c r="P7" s="234">
        <v>0</v>
      </c>
      <c r="Q7" s="234">
        <v>0</v>
      </c>
      <c r="R7" s="234">
        <v>0</v>
      </c>
      <c r="S7" s="234">
        <v>0</v>
      </c>
      <c r="T7" s="234">
        <v>0</v>
      </c>
      <c r="U7" s="234">
        <v>0</v>
      </c>
      <c r="V7" s="234">
        <v>0</v>
      </c>
      <c r="W7" s="234">
        <v>0</v>
      </c>
      <c r="X7" s="234">
        <v>0</v>
      </c>
      <c r="Y7" s="234">
        <v>0</v>
      </c>
      <c r="Z7" s="234">
        <v>0</v>
      </c>
      <c r="AA7" s="234">
        <v>0</v>
      </c>
      <c r="AB7" s="234">
        <v>0</v>
      </c>
      <c r="AC7" s="234">
        <v>0</v>
      </c>
      <c r="AD7" s="234">
        <v>0</v>
      </c>
      <c r="AE7" s="234">
        <v>0</v>
      </c>
      <c r="AF7" s="234">
        <v>0</v>
      </c>
      <c r="AG7" s="234">
        <v>0</v>
      </c>
      <c r="AH7" s="234">
        <v>0</v>
      </c>
      <c r="AI7" s="234">
        <v>0</v>
      </c>
      <c r="AJ7" s="234"/>
    </row>
    <row r="8" spans="2:36" x14ac:dyDescent="0.25">
      <c r="B8" s="234" t="s">
        <v>1738</v>
      </c>
      <c r="C8" s="234">
        <v>0</v>
      </c>
      <c r="D8" s="234">
        <v>0</v>
      </c>
      <c r="E8" s="234">
        <v>0</v>
      </c>
      <c r="F8" s="234">
        <v>0</v>
      </c>
      <c r="G8" s="234">
        <v>0</v>
      </c>
      <c r="H8" s="234">
        <v>0</v>
      </c>
      <c r="I8" s="234">
        <v>0</v>
      </c>
      <c r="J8" s="234">
        <v>0</v>
      </c>
      <c r="K8" s="234">
        <v>0</v>
      </c>
      <c r="L8" s="234">
        <v>0</v>
      </c>
      <c r="M8" s="234">
        <v>0</v>
      </c>
      <c r="N8" s="234">
        <v>0</v>
      </c>
      <c r="O8" s="234">
        <v>0</v>
      </c>
      <c r="P8" s="234">
        <v>0</v>
      </c>
      <c r="Q8" s="234">
        <v>0</v>
      </c>
      <c r="R8" s="234">
        <v>0</v>
      </c>
      <c r="S8" s="234">
        <v>0</v>
      </c>
      <c r="T8" s="234">
        <v>0</v>
      </c>
      <c r="U8" s="234">
        <v>0</v>
      </c>
      <c r="V8" s="234">
        <v>0</v>
      </c>
      <c r="W8" s="234">
        <v>0</v>
      </c>
      <c r="X8" s="234">
        <v>0</v>
      </c>
      <c r="Y8" s="234">
        <v>0</v>
      </c>
      <c r="Z8" s="234">
        <v>0</v>
      </c>
      <c r="AA8" s="234">
        <v>0</v>
      </c>
      <c r="AB8" s="234">
        <v>0</v>
      </c>
      <c r="AC8" s="234">
        <v>0</v>
      </c>
      <c r="AD8" s="234">
        <v>0</v>
      </c>
      <c r="AE8" s="234">
        <v>241102.45</v>
      </c>
      <c r="AF8" s="234">
        <v>0</v>
      </c>
      <c r="AG8" s="234">
        <v>0</v>
      </c>
      <c r="AH8" s="234">
        <v>0</v>
      </c>
      <c r="AI8" s="234">
        <v>0</v>
      </c>
      <c r="AJ8" s="234"/>
    </row>
    <row r="9" spans="2:36" s="7" customFormat="1" x14ac:dyDescent="0.25">
      <c r="B9" s="237" t="s">
        <v>1739</v>
      </c>
      <c r="C9" s="237">
        <f>SUM(C2:C8)</f>
        <v>0</v>
      </c>
      <c r="D9" s="237">
        <f t="shared" ref="D9:AI9" si="0">SUM(D2:D8)</f>
        <v>0</v>
      </c>
      <c r="E9" s="237">
        <f t="shared" si="0"/>
        <v>0</v>
      </c>
      <c r="F9" s="237">
        <f t="shared" si="0"/>
        <v>0</v>
      </c>
      <c r="G9" s="237">
        <f t="shared" si="0"/>
        <v>0</v>
      </c>
      <c r="H9" s="237">
        <f t="shared" si="0"/>
        <v>0</v>
      </c>
      <c r="I9" s="237">
        <f t="shared" si="0"/>
        <v>0</v>
      </c>
      <c r="J9" s="237">
        <f t="shared" si="0"/>
        <v>101714.27</v>
      </c>
      <c r="K9" s="237">
        <f t="shared" si="0"/>
        <v>473000</v>
      </c>
      <c r="L9" s="237">
        <f t="shared" si="0"/>
        <v>98540.83</v>
      </c>
      <c r="M9" s="237">
        <f t="shared" si="0"/>
        <v>154343.35</v>
      </c>
      <c r="N9" s="237">
        <f t="shared" si="0"/>
        <v>0</v>
      </c>
      <c r="O9" s="237">
        <f t="shared" si="0"/>
        <v>0</v>
      </c>
      <c r="P9" s="237">
        <f t="shared" si="0"/>
        <v>0</v>
      </c>
      <c r="Q9" s="237">
        <f t="shared" si="0"/>
        <v>0</v>
      </c>
      <c r="R9" s="237">
        <f t="shared" si="0"/>
        <v>0</v>
      </c>
      <c r="S9" s="237">
        <f t="shared" si="0"/>
        <v>0</v>
      </c>
      <c r="T9" s="237">
        <f t="shared" si="0"/>
        <v>0</v>
      </c>
      <c r="U9" s="237">
        <f t="shared" si="0"/>
        <v>0</v>
      </c>
      <c r="V9" s="237">
        <f t="shared" si="0"/>
        <v>0</v>
      </c>
      <c r="W9" s="237">
        <f t="shared" si="0"/>
        <v>0</v>
      </c>
      <c r="X9" s="237">
        <f t="shared" si="0"/>
        <v>0</v>
      </c>
      <c r="Y9" s="237">
        <f t="shared" si="0"/>
        <v>0</v>
      </c>
      <c r="Z9" s="237">
        <f t="shared" si="0"/>
        <v>0</v>
      </c>
      <c r="AA9" s="237">
        <f t="shared" si="0"/>
        <v>0</v>
      </c>
      <c r="AB9" s="237">
        <f t="shared" si="0"/>
        <v>0</v>
      </c>
      <c r="AC9" s="237">
        <f t="shared" si="0"/>
        <v>0</v>
      </c>
      <c r="AD9" s="237">
        <f t="shared" si="0"/>
        <v>0</v>
      </c>
      <c r="AE9" s="237">
        <f>SUM(AE2:AE8)</f>
        <v>241102.45</v>
      </c>
      <c r="AF9" s="237">
        <f t="shared" si="0"/>
        <v>0</v>
      </c>
      <c r="AG9" s="237">
        <f t="shared" si="0"/>
        <v>0</v>
      </c>
      <c r="AH9" s="237">
        <f t="shared" si="0"/>
        <v>0</v>
      </c>
      <c r="AI9" s="237">
        <f t="shared" si="0"/>
        <v>0</v>
      </c>
      <c r="AJ9" s="237">
        <f>SUM(C9:AI9)</f>
        <v>1068700.8999999999</v>
      </c>
    </row>
    <row r="10" spans="2:36" x14ac:dyDescent="0.25">
      <c r="B10" s="254"/>
      <c r="C10" s="254"/>
      <c r="D10" s="254"/>
      <c r="E10" s="254"/>
      <c r="F10" s="254"/>
      <c r="G10" s="254"/>
      <c r="H10" s="254"/>
      <c r="I10" s="254"/>
      <c r="J10" s="254"/>
      <c r="K10" s="254"/>
      <c r="L10" s="254"/>
      <c r="M10" s="254"/>
      <c r="N10" s="254"/>
      <c r="O10" s="254"/>
      <c r="P10" s="254"/>
      <c r="Q10" s="254"/>
      <c r="R10" s="254"/>
      <c r="S10" s="254"/>
      <c r="T10" s="254"/>
      <c r="U10" s="254"/>
      <c r="V10" s="254"/>
      <c r="W10" s="254"/>
      <c r="X10" s="254"/>
      <c r="Y10" s="254"/>
      <c r="Z10" s="254"/>
      <c r="AA10" s="254"/>
      <c r="AB10" s="254"/>
      <c r="AC10" s="254"/>
      <c r="AD10" s="254"/>
      <c r="AE10" s="254"/>
      <c r="AF10" s="254"/>
      <c r="AG10" s="254"/>
      <c r="AH10" s="254"/>
      <c r="AI10" s="254"/>
      <c r="AJ10" s="254"/>
    </row>
    <row r="11" spans="2:36" x14ac:dyDescent="0.25">
      <c r="B11" s="234" t="s">
        <v>1740</v>
      </c>
      <c r="C11" s="234">
        <v>0</v>
      </c>
      <c r="D11" s="234">
        <v>0</v>
      </c>
      <c r="E11" s="234">
        <v>0</v>
      </c>
      <c r="F11" s="234">
        <v>0</v>
      </c>
      <c r="G11" s="234">
        <v>0</v>
      </c>
      <c r="H11" s="234">
        <v>0</v>
      </c>
      <c r="I11" s="234">
        <v>0</v>
      </c>
      <c r="J11" s="234">
        <v>0</v>
      </c>
      <c r="K11" s="234">
        <v>0</v>
      </c>
      <c r="L11" s="234">
        <v>0</v>
      </c>
      <c r="M11" s="234">
        <v>0</v>
      </c>
      <c r="N11" s="234">
        <v>0</v>
      </c>
      <c r="O11" s="234">
        <v>0</v>
      </c>
      <c r="P11" s="234">
        <v>0</v>
      </c>
      <c r="Q11" s="234">
        <v>0</v>
      </c>
      <c r="R11" s="234">
        <v>0</v>
      </c>
      <c r="S11" s="234">
        <v>0</v>
      </c>
      <c r="T11" s="234">
        <v>0</v>
      </c>
      <c r="U11" s="234">
        <v>0</v>
      </c>
      <c r="V11" s="234">
        <v>0</v>
      </c>
      <c r="W11" s="234">
        <v>0</v>
      </c>
      <c r="X11" s="234">
        <v>0</v>
      </c>
      <c r="Y11" s="234">
        <v>0</v>
      </c>
      <c r="Z11" s="234">
        <v>0</v>
      </c>
      <c r="AA11" s="234">
        <v>0</v>
      </c>
      <c r="AB11" s="234">
        <v>0</v>
      </c>
      <c r="AC11" s="234">
        <v>0</v>
      </c>
      <c r="AD11" s="234">
        <v>0</v>
      </c>
      <c r="AE11" s="234">
        <v>0</v>
      </c>
      <c r="AF11" s="234">
        <v>0</v>
      </c>
      <c r="AG11" s="234">
        <v>0</v>
      </c>
      <c r="AH11" s="234">
        <v>0</v>
      </c>
      <c r="AI11" s="234">
        <v>0</v>
      </c>
      <c r="AJ11" s="234"/>
    </row>
    <row r="12" spans="2:36" x14ac:dyDescent="0.25">
      <c r="B12" s="234" t="s">
        <v>1741</v>
      </c>
      <c r="C12" s="234">
        <v>0</v>
      </c>
      <c r="D12" s="234">
        <v>0</v>
      </c>
      <c r="E12" s="234">
        <v>0</v>
      </c>
      <c r="F12" s="234">
        <v>0</v>
      </c>
      <c r="G12" s="234">
        <v>0</v>
      </c>
      <c r="H12" s="234">
        <v>0</v>
      </c>
      <c r="I12" s="234">
        <v>0</v>
      </c>
      <c r="J12" s="234">
        <v>0</v>
      </c>
      <c r="K12" s="234">
        <v>0</v>
      </c>
      <c r="L12" s="234">
        <v>0</v>
      </c>
      <c r="M12" s="234">
        <v>0</v>
      </c>
      <c r="N12" s="234">
        <v>0</v>
      </c>
      <c r="O12" s="234">
        <v>0</v>
      </c>
      <c r="P12" s="234">
        <v>0</v>
      </c>
      <c r="Q12" s="234">
        <v>0</v>
      </c>
      <c r="R12" s="234">
        <v>0</v>
      </c>
      <c r="S12" s="234">
        <v>0</v>
      </c>
      <c r="T12" s="234">
        <v>0</v>
      </c>
      <c r="U12" s="234">
        <v>0</v>
      </c>
      <c r="V12" s="234">
        <v>0</v>
      </c>
      <c r="W12" s="234">
        <v>0</v>
      </c>
      <c r="X12" s="234">
        <v>0</v>
      </c>
      <c r="Y12" s="234">
        <v>0</v>
      </c>
      <c r="Z12" s="234">
        <v>0</v>
      </c>
      <c r="AA12" s="234">
        <v>0</v>
      </c>
      <c r="AB12" s="234">
        <v>0</v>
      </c>
      <c r="AC12" s="234">
        <v>0</v>
      </c>
      <c r="AD12" s="234">
        <v>0</v>
      </c>
      <c r="AE12" s="234">
        <v>0</v>
      </c>
      <c r="AF12" s="234">
        <v>0</v>
      </c>
      <c r="AG12" s="234">
        <v>0</v>
      </c>
      <c r="AH12" s="234">
        <v>0</v>
      </c>
      <c r="AI12" s="234">
        <v>0</v>
      </c>
      <c r="AJ12" s="234"/>
    </row>
    <row r="13" spans="2:36" x14ac:dyDescent="0.25">
      <c r="B13" s="234" t="s">
        <v>1742</v>
      </c>
      <c r="C13" s="234">
        <v>0</v>
      </c>
      <c r="D13" s="234">
        <v>0</v>
      </c>
      <c r="E13" s="234">
        <v>0</v>
      </c>
      <c r="F13" s="234">
        <v>0</v>
      </c>
      <c r="G13" s="234">
        <v>0</v>
      </c>
      <c r="H13" s="234">
        <v>0</v>
      </c>
      <c r="I13" s="234">
        <v>3150</v>
      </c>
      <c r="J13" s="234">
        <v>5378.56</v>
      </c>
      <c r="K13" s="234">
        <v>0</v>
      </c>
      <c r="L13" s="234">
        <v>0</v>
      </c>
      <c r="M13" s="234">
        <v>0</v>
      </c>
      <c r="N13" s="234">
        <v>0</v>
      </c>
      <c r="O13" s="234">
        <v>0</v>
      </c>
      <c r="P13" s="234">
        <v>0</v>
      </c>
      <c r="Q13" s="234">
        <v>0</v>
      </c>
      <c r="R13" s="234">
        <v>0</v>
      </c>
      <c r="S13" s="234">
        <v>0</v>
      </c>
      <c r="T13" s="234">
        <v>0</v>
      </c>
      <c r="U13" s="234">
        <v>0</v>
      </c>
      <c r="V13" s="234">
        <v>0</v>
      </c>
      <c r="W13" s="234">
        <v>0</v>
      </c>
      <c r="X13" s="234">
        <v>0</v>
      </c>
      <c r="Y13" s="234">
        <v>0</v>
      </c>
      <c r="Z13" s="234">
        <v>0</v>
      </c>
      <c r="AA13" s="234">
        <v>0</v>
      </c>
      <c r="AB13" s="234">
        <v>0</v>
      </c>
      <c r="AC13" s="234">
        <v>0</v>
      </c>
      <c r="AD13" s="234">
        <v>0</v>
      </c>
      <c r="AE13" s="234">
        <v>0</v>
      </c>
      <c r="AF13" s="234">
        <v>0</v>
      </c>
      <c r="AG13" s="234">
        <v>0</v>
      </c>
      <c r="AH13" s="234">
        <v>0</v>
      </c>
      <c r="AI13" s="234">
        <v>0</v>
      </c>
      <c r="AJ13" s="234"/>
    </row>
    <row r="14" spans="2:36" x14ac:dyDescent="0.25">
      <c r="B14" s="234" t="s">
        <v>1743</v>
      </c>
      <c r="C14" s="234">
        <v>0</v>
      </c>
      <c r="D14" s="234">
        <v>0</v>
      </c>
      <c r="E14" s="234">
        <v>0</v>
      </c>
      <c r="F14" s="234">
        <v>0</v>
      </c>
      <c r="G14" s="234">
        <v>0</v>
      </c>
      <c r="H14" s="234">
        <v>0</v>
      </c>
      <c r="I14" s="234">
        <v>0</v>
      </c>
      <c r="J14" s="234">
        <v>11625</v>
      </c>
      <c r="K14" s="234">
        <v>169801.28</v>
      </c>
      <c r="L14" s="234">
        <v>0</v>
      </c>
      <c r="M14" s="234">
        <v>0</v>
      </c>
      <c r="N14" s="234">
        <v>0</v>
      </c>
      <c r="O14" s="234">
        <v>0</v>
      </c>
      <c r="P14" s="234">
        <v>0</v>
      </c>
      <c r="Q14" s="234">
        <v>0</v>
      </c>
      <c r="R14" s="234">
        <v>0</v>
      </c>
      <c r="S14" s="234">
        <v>0</v>
      </c>
      <c r="T14" s="234">
        <v>0</v>
      </c>
      <c r="U14" s="234">
        <v>0</v>
      </c>
      <c r="V14" s="234">
        <v>0</v>
      </c>
      <c r="W14" s="234">
        <v>0</v>
      </c>
      <c r="X14" s="234">
        <v>0</v>
      </c>
      <c r="Y14" s="234">
        <v>0</v>
      </c>
      <c r="Z14" s="234">
        <v>0</v>
      </c>
      <c r="AA14" s="234">
        <v>0</v>
      </c>
      <c r="AB14" s="234">
        <v>0</v>
      </c>
      <c r="AC14" s="234">
        <v>0</v>
      </c>
      <c r="AD14" s="234">
        <v>0</v>
      </c>
      <c r="AE14" s="234">
        <v>0</v>
      </c>
      <c r="AF14" s="234">
        <v>0</v>
      </c>
      <c r="AG14" s="234">
        <v>0</v>
      </c>
      <c r="AH14" s="234">
        <v>0</v>
      </c>
      <c r="AI14" s="234">
        <v>0</v>
      </c>
      <c r="AJ14" s="234"/>
    </row>
    <row r="15" spans="2:36" x14ac:dyDescent="0.25">
      <c r="B15" s="234" t="s">
        <v>1744</v>
      </c>
      <c r="C15" s="234">
        <v>0</v>
      </c>
      <c r="D15" s="234">
        <v>0</v>
      </c>
      <c r="E15" s="234">
        <v>0</v>
      </c>
      <c r="F15" s="234">
        <v>0</v>
      </c>
      <c r="G15" s="234">
        <v>0</v>
      </c>
      <c r="H15" s="234">
        <v>0</v>
      </c>
      <c r="I15" s="234">
        <v>0</v>
      </c>
      <c r="J15" s="234">
        <v>0</v>
      </c>
      <c r="K15" s="234">
        <v>0</v>
      </c>
      <c r="L15" s="234">
        <v>0</v>
      </c>
      <c r="M15" s="234">
        <v>0</v>
      </c>
      <c r="N15" s="234">
        <v>0</v>
      </c>
      <c r="O15" s="234">
        <v>0</v>
      </c>
      <c r="P15" s="234">
        <v>0</v>
      </c>
      <c r="Q15" s="234">
        <v>0</v>
      </c>
      <c r="R15" s="234">
        <v>0</v>
      </c>
      <c r="S15" s="234">
        <v>0</v>
      </c>
      <c r="T15" s="234">
        <v>0</v>
      </c>
      <c r="U15" s="234">
        <v>0</v>
      </c>
      <c r="V15" s="234">
        <v>0</v>
      </c>
      <c r="W15" s="234">
        <v>0</v>
      </c>
      <c r="X15" s="234">
        <v>0</v>
      </c>
      <c r="Y15" s="234">
        <v>0</v>
      </c>
      <c r="Z15" s="234">
        <v>0</v>
      </c>
      <c r="AA15" s="234">
        <v>0</v>
      </c>
      <c r="AB15" s="234">
        <v>0</v>
      </c>
      <c r="AC15" s="234">
        <v>0</v>
      </c>
      <c r="AD15" s="234">
        <v>0</v>
      </c>
      <c r="AE15" s="234">
        <v>0</v>
      </c>
      <c r="AF15" s="234">
        <v>0</v>
      </c>
      <c r="AG15" s="234">
        <v>0</v>
      </c>
      <c r="AH15" s="234">
        <v>0</v>
      </c>
      <c r="AI15" s="234">
        <v>0</v>
      </c>
      <c r="AJ15" s="234"/>
    </row>
    <row r="16" spans="2:36" x14ac:dyDescent="0.25">
      <c r="B16" s="234" t="s">
        <v>1745</v>
      </c>
      <c r="C16" s="234">
        <v>0</v>
      </c>
      <c r="D16" s="234">
        <v>0</v>
      </c>
      <c r="E16" s="234">
        <v>0</v>
      </c>
      <c r="F16" s="234">
        <v>0</v>
      </c>
      <c r="G16" s="234">
        <v>0</v>
      </c>
      <c r="H16" s="234">
        <v>0</v>
      </c>
      <c r="I16" s="234">
        <v>498</v>
      </c>
      <c r="J16" s="234">
        <v>5574.8700000000008</v>
      </c>
      <c r="K16" s="234">
        <v>0</v>
      </c>
      <c r="L16" s="234">
        <v>0</v>
      </c>
      <c r="M16" s="234">
        <v>37115.199999999997</v>
      </c>
      <c r="N16" s="234">
        <v>0</v>
      </c>
      <c r="O16" s="234">
        <v>0</v>
      </c>
      <c r="P16" s="234">
        <v>0</v>
      </c>
      <c r="Q16" s="234">
        <v>0</v>
      </c>
      <c r="R16" s="234">
        <v>0</v>
      </c>
      <c r="S16" s="234">
        <v>0</v>
      </c>
      <c r="T16" s="234">
        <v>0</v>
      </c>
      <c r="U16" s="234">
        <v>0</v>
      </c>
      <c r="V16" s="234">
        <v>0</v>
      </c>
      <c r="W16" s="234">
        <v>0</v>
      </c>
      <c r="X16" s="234">
        <v>0</v>
      </c>
      <c r="Y16" s="234">
        <v>0</v>
      </c>
      <c r="Z16" s="234">
        <v>0</v>
      </c>
      <c r="AA16" s="234">
        <v>0</v>
      </c>
      <c r="AB16" s="234">
        <v>0</v>
      </c>
      <c r="AC16" s="234">
        <v>0</v>
      </c>
      <c r="AD16" s="234">
        <v>0</v>
      </c>
      <c r="AE16" s="234">
        <v>0</v>
      </c>
      <c r="AF16" s="234">
        <v>0</v>
      </c>
      <c r="AG16" s="234">
        <v>0</v>
      </c>
      <c r="AH16" s="234">
        <v>0</v>
      </c>
      <c r="AI16" s="234">
        <v>0</v>
      </c>
      <c r="AJ16" s="234"/>
    </row>
    <row r="17" spans="1:36" x14ac:dyDescent="0.25">
      <c r="B17" s="234" t="s">
        <v>1746</v>
      </c>
      <c r="C17" s="234">
        <v>0</v>
      </c>
      <c r="D17" s="234">
        <v>0</v>
      </c>
      <c r="E17" s="234">
        <v>0</v>
      </c>
      <c r="F17" s="234">
        <v>0</v>
      </c>
      <c r="G17" s="234">
        <v>0</v>
      </c>
      <c r="H17" s="234">
        <v>0</v>
      </c>
      <c r="I17" s="234">
        <v>0</v>
      </c>
      <c r="J17" s="234">
        <v>5574.8700000000008</v>
      </c>
      <c r="K17" s="234">
        <v>0</v>
      </c>
      <c r="L17" s="234">
        <v>0</v>
      </c>
      <c r="M17" s="234">
        <v>0</v>
      </c>
      <c r="N17" s="234">
        <v>0</v>
      </c>
      <c r="O17" s="234">
        <v>0</v>
      </c>
      <c r="P17" s="234">
        <v>0</v>
      </c>
      <c r="Q17" s="234">
        <v>0</v>
      </c>
      <c r="R17" s="234">
        <v>0</v>
      </c>
      <c r="S17" s="234">
        <v>0</v>
      </c>
      <c r="T17" s="234">
        <v>0</v>
      </c>
      <c r="U17" s="234">
        <v>0</v>
      </c>
      <c r="V17" s="234">
        <v>0</v>
      </c>
      <c r="W17" s="234">
        <v>0</v>
      </c>
      <c r="X17" s="234">
        <v>0</v>
      </c>
      <c r="Y17" s="234">
        <v>0</v>
      </c>
      <c r="Z17" s="234">
        <v>0</v>
      </c>
      <c r="AA17" s="234">
        <v>0</v>
      </c>
      <c r="AB17" s="234">
        <v>0</v>
      </c>
      <c r="AC17" s="234">
        <v>0</v>
      </c>
      <c r="AD17" s="234">
        <v>75520.45</v>
      </c>
      <c r="AE17" s="234">
        <v>0</v>
      </c>
      <c r="AF17" s="234">
        <v>0</v>
      </c>
      <c r="AG17" s="234">
        <v>0</v>
      </c>
      <c r="AH17" s="234">
        <v>0</v>
      </c>
      <c r="AI17" s="234">
        <v>0</v>
      </c>
      <c r="AJ17" s="234"/>
    </row>
    <row r="18" spans="1:36" s="7" customFormat="1" x14ac:dyDescent="0.25">
      <c r="B18" s="237" t="s">
        <v>1747</v>
      </c>
      <c r="C18" s="237">
        <f>SUM(C11:C17)</f>
        <v>0</v>
      </c>
      <c r="D18" s="237">
        <f t="shared" ref="D18:AI18" si="1">SUM(D11:D17)</f>
        <v>0</v>
      </c>
      <c r="E18" s="237">
        <f t="shared" si="1"/>
        <v>0</v>
      </c>
      <c r="F18" s="237">
        <f t="shared" si="1"/>
        <v>0</v>
      </c>
      <c r="G18" s="237">
        <f t="shared" si="1"/>
        <v>0</v>
      </c>
      <c r="H18" s="237">
        <f t="shared" si="1"/>
        <v>0</v>
      </c>
      <c r="I18" s="237">
        <f t="shared" si="1"/>
        <v>3648</v>
      </c>
      <c r="J18" s="237">
        <f t="shared" si="1"/>
        <v>28153.300000000003</v>
      </c>
      <c r="K18" s="237">
        <f t="shared" si="1"/>
        <v>169801.28</v>
      </c>
      <c r="L18" s="237">
        <f t="shared" si="1"/>
        <v>0</v>
      </c>
      <c r="M18" s="237">
        <f t="shared" si="1"/>
        <v>37115.199999999997</v>
      </c>
      <c r="N18" s="237">
        <f t="shared" si="1"/>
        <v>0</v>
      </c>
      <c r="O18" s="237">
        <f t="shared" si="1"/>
        <v>0</v>
      </c>
      <c r="P18" s="237">
        <f t="shared" si="1"/>
        <v>0</v>
      </c>
      <c r="Q18" s="237">
        <f t="shared" si="1"/>
        <v>0</v>
      </c>
      <c r="R18" s="237">
        <f t="shared" si="1"/>
        <v>0</v>
      </c>
      <c r="S18" s="237">
        <f t="shared" si="1"/>
        <v>0</v>
      </c>
      <c r="T18" s="237">
        <f t="shared" si="1"/>
        <v>0</v>
      </c>
      <c r="U18" s="237">
        <f t="shared" si="1"/>
        <v>0</v>
      </c>
      <c r="V18" s="237">
        <f t="shared" si="1"/>
        <v>0</v>
      </c>
      <c r="W18" s="237">
        <f t="shared" si="1"/>
        <v>0</v>
      </c>
      <c r="X18" s="237">
        <f t="shared" si="1"/>
        <v>0</v>
      </c>
      <c r="Y18" s="237">
        <f t="shared" si="1"/>
        <v>0</v>
      </c>
      <c r="Z18" s="237">
        <f t="shared" si="1"/>
        <v>0</v>
      </c>
      <c r="AA18" s="237">
        <f t="shared" si="1"/>
        <v>0</v>
      </c>
      <c r="AB18" s="237">
        <f t="shared" si="1"/>
        <v>0</v>
      </c>
      <c r="AC18" s="237">
        <f t="shared" si="1"/>
        <v>0</v>
      </c>
      <c r="AD18" s="237">
        <f t="shared" si="1"/>
        <v>75520.45</v>
      </c>
      <c r="AE18" s="237">
        <f t="shared" si="1"/>
        <v>0</v>
      </c>
      <c r="AF18" s="237">
        <f t="shared" si="1"/>
        <v>0</v>
      </c>
      <c r="AG18" s="237">
        <f t="shared" si="1"/>
        <v>0</v>
      </c>
      <c r="AH18" s="237">
        <f t="shared" si="1"/>
        <v>0</v>
      </c>
      <c r="AI18" s="237">
        <f t="shared" si="1"/>
        <v>0</v>
      </c>
      <c r="AJ18" s="237">
        <f>SUM(C18:AI18)</f>
        <v>314238.23000000004</v>
      </c>
    </row>
    <row r="19" spans="1:36" x14ac:dyDescent="0.25">
      <c r="B19" s="254"/>
      <c r="C19" s="254"/>
      <c r="D19" s="254"/>
      <c r="E19" s="254"/>
      <c r="F19" s="254"/>
      <c r="G19" s="254"/>
      <c r="H19" s="254"/>
      <c r="I19" s="254"/>
      <c r="J19" s="254"/>
      <c r="K19" s="254"/>
      <c r="L19" s="254"/>
      <c r="M19" s="254"/>
      <c r="N19" s="254"/>
      <c r="O19" s="254"/>
      <c r="P19" s="254"/>
      <c r="Q19" s="254"/>
      <c r="R19" s="254"/>
      <c r="S19" s="254"/>
      <c r="T19" s="254"/>
      <c r="U19" s="254"/>
      <c r="V19" s="254"/>
      <c r="W19" s="254"/>
      <c r="X19" s="254"/>
      <c r="Y19" s="254"/>
      <c r="Z19" s="254"/>
      <c r="AA19" s="254"/>
      <c r="AB19" s="254"/>
      <c r="AC19" s="254"/>
      <c r="AD19" s="254"/>
      <c r="AE19" s="254"/>
      <c r="AF19" s="254"/>
      <c r="AG19" s="254"/>
      <c r="AH19" s="254"/>
      <c r="AI19" s="254"/>
      <c r="AJ19" s="254"/>
    </row>
    <row r="20" spans="1:36" x14ac:dyDescent="0.25">
      <c r="B20" s="234" t="s">
        <v>1748</v>
      </c>
      <c r="C20" s="234">
        <v>0</v>
      </c>
      <c r="D20" s="234">
        <v>0</v>
      </c>
      <c r="E20" s="234">
        <v>0</v>
      </c>
      <c r="F20" s="234">
        <v>0</v>
      </c>
      <c r="G20" s="234">
        <v>0</v>
      </c>
      <c r="H20" s="234">
        <v>0</v>
      </c>
      <c r="I20" s="234">
        <v>0</v>
      </c>
      <c r="J20" s="234">
        <v>296431.76</v>
      </c>
      <c r="K20" s="234">
        <v>0</v>
      </c>
      <c r="L20" s="234">
        <v>0</v>
      </c>
      <c r="M20" s="234">
        <v>0</v>
      </c>
      <c r="N20" s="234">
        <v>0</v>
      </c>
      <c r="O20" s="234">
        <v>0</v>
      </c>
      <c r="P20" s="234">
        <v>0</v>
      </c>
      <c r="Q20" s="234">
        <v>0</v>
      </c>
      <c r="R20" s="234">
        <v>0</v>
      </c>
      <c r="S20" s="234">
        <v>0</v>
      </c>
      <c r="T20" s="234">
        <v>0</v>
      </c>
      <c r="U20" s="234">
        <v>0</v>
      </c>
      <c r="V20" s="234">
        <v>0</v>
      </c>
      <c r="W20" s="234">
        <v>0</v>
      </c>
      <c r="X20" s="234">
        <v>0</v>
      </c>
      <c r="Y20" s="234">
        <v>0</v>
      </c>
      <c r="Z20" s="234">
        <v>0</v>
      </c>
      <c r="AA20" s="234">
        <v>0</v>
      </c>
      <c r="AB20" s="234">
        <v>0</v>
      </c>
      <c r="AC20" s="234">
        <v>0</v>
      </c>
      <c r="AD20" s="234">
        <v>0</v>
      </c>
      <c r="AE20" s="234">
        <v>0</v>
      </c>
      <c r="AF20" s="234">
        <v>0</v>
      </c>
      <c r="AG20" s="234">
        <v>0</v>
      </c>
      <c r="AH20" s="234">
        <v>0</v>
      </c>
      <c r="AI20" s="234">
        <v>0</v>
      </c>
      <c r="AJ20" s="234"/>
    </row>
    <row r="21" spans="1:36" x14ac:dyDescent="0.25">
      <c r="B21" s="234" t="s">
        <v>1749</v>
      </c>
      <c r="C21" s="234">
        <v>0</v>
      </c>
      <c r="D21" s="234">
        <v>0</v>
      </c>
      <c r="E21" s="234">
        <v>0</v>
      </c>
      <c r="F21" s="234">
        <v>0</v>
      </c>
      <c r="G21" s="234">
        <v>0</v>
      </c>
      <c r="H21" s="234">
        <v>0</v>
      </c>
      <c r="I21" s="234">
        <v>0</v>
      </c>
      <c r="J21" s="234">
        <v>0</v>
      </c>
      <c r="K21" s="234">
        <v>191673.53999999998</v>
      </c>
      <c r="L21" s="234">
        <v>0</v>
      </c>
      <c r="M21" s="234">
        <v>0</v>
      </c>
      <c r="N21" s="234">
        <v>0</v>
      </c>
      <c r="O21" s="234">
        <v>0</v>
      </c>
      <c r="P21" s="234">
        <v>0</v>
      </c>
      <c r="Q21" s="234">
        <v>0</v>
      </c>
      <c r="R21" s="234">
        <v>0</v>
      </c>
      <c r="S21" s="234">
        <v>0</v>
      </c>
      <c r="T21" s="234">
        <v>0</v>
      </c>
      <c r="U21" s="234">
        <v>0</v>
      </c>
      <c r="V21" s="234">
        <v>0</v>
      </c>
      <c r="W21" s="234">
        <v>0</v>
      </c>
      <c r="X21" s="234">
        <v>0</v>
      </c>
      <c r="Y21" s="234">
        <v>0</v>
      </c>
      <c r="Z21" s="234">
        <v>0</v>
      </c>
      <c r="AA21" s="234">
        <v>0</v>
      </c>
      <c r="AB21" s="234">
        <v>0</v>
      </c>
      <c r="AC21" s="234">
        <v>0</v>
      </c>
      <c r="AD21" s="234">
        <v>0</v>
      </c>
      <c r="AE21" s="234">
        <v>0</v>
      </c>
      <c r="AF21" s="234">
        <v>0</v>
      </c>
      <c r="AG21" s="234">
        <v>0</v>
      </c>
      <c r="AH21" s="234">
        <v>0</v>
      </c>
      <c r="AI21" s="234">
        <v>0</v>
      </c>
      <c r="AJ21" s="234"/>
    </row>
    <row r="22" spans="1:36" x14ac:dyDescent="0.25">
      <c r="B22" s="234" t="s">
        <v>1750</v>
      </c>
      <c r="C22" s="234">
        <v>0</v>
      </c>
      <c r="D22" s="234">
        <v>0</v>
      </c>
      <c r="E22" s="234">
        <v>0</v>
      </c>
      <c r="F22" s="234">
        <v>0</v>
      </c>
      <c r="G22" s="234">
        <v>0</v>
      </c>
      <c r="H22" s="234">
        <v>0</v>
      </c>
      <c r="I22" s="234">
        <v>0</v>
      </c>
      <c r="J22" s="234">
        <v>0</v>
      </c>
      <c r="K22" s="234">
        <v>0</v>
      </c>
      <c r="L22" s="234">
        <v>0</v>
      </c>
      <c r="M22" s="234">
        <v>0</v>
      </c>
      <c r="N22" s="234">
        <v>0</v>
      </c>
      <c r="O22" s="234">
        <v>0</v>
      </c>
      <c r="P22" s="234">
        <v>0</v>
      </c>
      <c r="Q22" s="234">
        <v>0</v>
      </c>
      <c r="R22" s="234">
        <v>0</v>
      </c>
      <c r="S22" s="234">
        <v>0</v>
      </c>
      <c r="T22" s="234">
        <v>0</v>
      </c>
      <c r="U22" s="234">
        <v>0</v>
      </c>
      <c r="V22" s="234">
        <v>0</v>
      </c>
      <c r="W22" s="234">
        <v>0</v>
      </c>
      <c r="X22" s="234">
        <v>0</v>
      </c>
      <c r="Y22" s="234">
        <v>0</v>
      </c>
      <c r="Z22" s="234">
        <v>0</v>
      </c>
      <c r="AA22" s="234">
        <v>0</v>
      </c>
      <c r="AB22" s="234">
        <v>0</v>
      </c>
      <c r="AC22" s="234">
        <v>0</v>
      </c>
      <c r="AD22" s="234">
        <v>0</v>
      </c>
      <c r="AE22" s="234">
        <v>0</v>
      </c>
      <c r="AF22" s="234">
        <v>0</v>
      </c>
      <c r="AG22" s="234">
        <v>0</v>
      </c>
      <c r="AH22" s="234">
        <v>0</v>
      </c>
      <c r="AI22" s="234">
        <v>0</v>
      </c>
      <c r="AJ22" s="234"/>
    </row>
    <row r="23" spans="1:36" x14ac:dyDescent="0.25">
      <c r="B23" s="234" t="s">
        <v>1751</v>
      </c>
      <c r="C23" s="234">
        <v>0</v>
      </c>
      <c r="D23" s="234">
        <v>0</v>
      </c>
      <c r="E23" s="234">
        <v>0</v>
      </c>
      <c r="F23" s="234">
        <v>0</v>
      </c>
      <c r="G23" s="234">
        <v>0</v>
      </c>
      <c r="H23" s="234">
        <v>0</v>
      </c>
      <c r="I23" s="234">
        <v>0</v>
      </c>
      <c r="J23" s="234">
        <v>0</v>
      </c>
      <c r="K23" s="234">
        <v>0</v>
      </c>
      <c r="L23" s="234">
        <v>0</v>
      </c>
      <c r="M23" s="234">
        <v>41165.050000000003</v>
      </c>
      <c r="N23" s="234">
        <v>0</v>
      </c>
      <c r="O23" s="234">
        <v>0</v>
      </c>
      <c r="P23" s="234">
        <v>0</v>
      </c>
      <c r="Q23" s="234">
        <v>0</v>
      </c>
      <c r="R23" s="234">
        <v>0</v>
      </c>
      <c r="S23" s="234">
        <v>0</v>
      </c>
      <c r="T23" s="234">
        <v>0</v>
      </c>
      <c r="U23" s="234">
        <v>0</v>
      </c>
      <c r="V23" s="234">
        <v>0</v>
      </c>
      <c r="W23" s="234">
        <v>0</v>
      </c>
      <c r="X23" s="234">
        <v>0</v>
      </c>
      <c r="Y23" s="234">
        <v>0</v>
      </c>
      <c r="Z23" s="234">
        <v>0</v>
      </c>
      <c r="AA23" s="234">
        <v>0</v>
      </c>
      <c r="AB23" s="234">
        <v>0</v>
      </c>
      <c r="AC23" s="234">
        <v>0</v>
      </c>
      <c r="AD23" s="234">
        <v>0</v>
      </c>
      <c r="AE23" s="234">
        <v>0</v>
      </c>
      <c r="AF23" s="234">
        <v>0</v>
      </c>
      <c r="AG23" s="234">
        <v>0</v>
      </c>
      <c r="AH23" s="234">
        <v>0</v>
      </c>
      <c r="AI23" s="234">
        <v>0</v>
      </c>
      <c r="AJ23" s="234"/>
    </row>
    <row r="24" spans="1:36" x14ac:dyDescent="0.25">
      <c r="B24" s="234" t="s">
        <v>1752</v>
      </c>
      <c r="C24" s="234">
        <v>0</v>
      </c>
      <c r="D24" s="234">
        <v>0</v>
      </c>
      <c r="E24" s="234">
        <v>0</v>
      </c>
      <c r="F24" s="234">
        <v>0</v>
      </c>
      <c r="G24" s="234">
        <v>0</v>
      </c>
      <c r="H24" s="234">
        <v>0</v>
      </c>
      <c r="I24" s="234">
        <v>0</v>
      </c>
      <c r="J24" s="234">
        <v>0</v>
      </c>
      <c r="K24" s="234">
        <v>0</v>
      </c>
      <c r="L24" s="234">
        <v>0</v>
      </c>
      <c r="M24" s="234">
        <v>0</v>
      </c>
      <c r="N24" s="234">
        <v>0</v>
      </c>
      <c r="O24" s="234">
        <v>0</v>
      </c>
      <c r="P24" s="234">
        <v>0</v>
      </c>
      <c r="Q24" s="234">
        <v>0</v>
      </c>
      <c r="R24" s="234">
        <v>0</v>
      </c>
      <c r="S24" s="234">
        <v>0</v>
      </c>
      <c r="T24" s="234">
        <v>0</v>
      </c>
      <c r="U24" s="234">
        <v>0</v>
      </c>
      <c r="V24" s="234">
        <v>0</v>
      </c>
      <c r="W24" s="234">
        <v>0</v>
      </c>
      <c r="X24" s="234">
        <v>0</v>
      </c>
      <c r="Y24" s="234">
        <v>0</v>
      </c>
      <c r="Z24" s="234">
        <v>0</v>
      </c>
      <c r="AA24" s="234">
        <v>0</v>
      </c>
      <c r="AB24" s="234">
        <v>0</v>
      </c>
      <c r="AC24" s="234">
        <v>0</v>
      </c>
      <c r="AD24" s="234">
        <v>0</v>
      </c>
      <c r="AE24" s="234">
        <v>0</v>
      </c>
      <c r="AF24" s="234">
        <v>68990.559999999998</v>
      </c>
      <c r="AG24" s="234">
        <v>0</v>
      </c>
      <c r="AH24" s="234">
        <v>0</v>
      </c>
      <c r="AI24" s="234">
        <v>0</v>
      </c>
      <c r="AJ24" s="234"/>
    </row>
    <row r="25" spans="1:36" s="7" customFormat="1" x14ac:dyDescent="0.25">
      <c r="B25" s="237" t="s">
        <v>1753</v>
      </c>
      <c r="C25" s="237">
        <f>SUM(C20:C24)</f>
        <v>0</v>
      </c>
      <c r="D25" s="237">
        <f t="shared" ref="D25:AI25" si="2">SUM(D20:D24)</f>
        <v>0</v>
      </c>
      <c r="E25" s="237">
        <f t="shared" si="2"/>
        <v>0</v>
      </c>
      <c r="F25" s="237">
        <f t="shared" si="2"/>
        <v>0</v>
      </c>
      <c r="G25" s="237">
        <f t="shared" si="2"/>
        <v>0</v>
      </c>
      <c r="H25" s="237">
        <f t="shared" si="2"/>
        <v>0</v>
      </c>
      <c r="I25" s="237">
        <f t="shared" si="2"/>
        <v>0</v>
      </c>
      <c r="J25" s="237">
        <f t="shared" si="2"/>
        <v>296431.76</v>
      </c>
      <c r="K25" s="237">
        <f t="shared" si="2"/>
        <v>191673.53999999998</v>
      </c>
      <c r="L25" s="237">
        <f t="shared" si="2"/>
        <v>0</v>
      </c>
      <c r="M25" s="237">
        <f t="shared" si="2"/>
        <v>41165.050000000003</v>
      </c>
      <c r="N25" s="237">
        <f t="shared" si="2"/>
        <v>0</v>
      </c>
      <c r="O25" s="237">
        <f t="shared" si="2"/>
        <v>0</v>
      </c>
      <c r="P25" s="237">
        <f t="shared" si="2"/>
        <v>0</v>
      </c>
      <c r="Q25" s="237">
        <f t="shared" si="2"/>
        <v>0</v>
      </c>
      <c r="R25" s="237">
        <f t="shared" si="2"/>
        <v>0</v>
      </c>
      <c r="S25" s="237">
        <f t="shared" si="2"/>
        <v>0</v>
      </c>
      <c r="T25" s="237">
        <f t="shared" si="2"/>
        <v>0</v>
      </c>
      <c r="U25" s="237">
        <f t="shared" si="2"/>
        <v>0</v>
      </c>
      <c r="V25" s="237">
        <f t="shared" si="2"/>
        <v>0</v>
      </c>
      <c r="W25" s="237">
        <f t="shared" si="2"/>
        <v>0</v>
      </c>
      <c r="X25" s="237">
        <f t="shared" si="2"/>
        <v>0</v>
      </c>
      <c r="Y25" s="237">
        <f t="shared" si="2"/>
        <v>0</v>
      </c>
      <c r="Z25" s="237">
        <f t="shared" si="2"/>
        <v>0</v>
      </c>
      <c r="AA25" s="237">
        <f t="shared" si="2"/>
        <v>0</v>
      </c>
      <c r="AB25" s="237">
        <f t="shared" si="2"/>
        <v>0</v>
      </c>
      <c r="AC25" s="237">
        <f t="shared" si="2"/>
        <v>0</v>
      </c>
      <c r="AD25" s="237">
        <f t="shared" si="2"/>
        <v>0</v>
      </c>
      <c r="AE25" s="237">
        <f t="shared" si="2"/>
        <v>0</v>
      </c>
      <c r="AF25" s="237">
        <f t="shared" si="2"/>
        <v>68990.559999999998</v>
      </c>
      <c r="AG25" s="237">
        <f t="shared" si="2"/>
        <v>0</v>
      </c>
      <c r="AH25" s="237">
        <f t="shared" si="2"/>
        <v>0</v>
      </c>
      <c r="AI25" s="237">
        <f t="shared" si="2"/>
        <v>0</v>
      </c>
      <c r="AJ25" s="237">
        <f>SUM(C25:AI25)</f>
        <v>598260.90999999992</v>
      </c>
    </row>
    <row r="26" spans="1:36" x14ac:dyDescent="0.25">
      <c r="AJ26" s="243">
        <f>AJ9+AJ18+AJ25</f>
        <v>1981200.0399999998</v>
      </c>
    </row>
    <row r="32" spans="1:36" ht="126.75" customHeight="1" x14ac:dyDescent="0.25">
      <c r="A32" s="252"/>
      <c r="B32" s="239" t="s">
        <v>1778</v>
      </c>
      <c r="C32" s="240" t="s">
        <v>1708</v>
      </c>
      <c r="D32" s="240" t="s">
        <v>1709</v>
      </c>
      <c r="E32" s="240" t="s">
        <v>1710</v>
      </c>
      <c r="F32" s="241" t="s">
        <v>1711</v>
      </c>
      <c r="G32" s="241" t="s">
        <v>1712</v>
      </c>
      <c r="H32" s="241" t="s">
        <v>1713</v>
      </c>
      <c r="I32" s="241" t="s">
        <v>1714</v>
      </c>
      <c r="J32" s="241" t="s">
        <v>1715</v>
      </c>
      <c r="K32" s="241" t="s">
        <v>1716</v>
      </c>
      <c r="L32" s="242" t="s">
        <v>1717</v>
      </c>
      <c r="M32" s="241" t="s">
        <v>1718</v>
      </c>
      <c r="N32" s="241" t="s">
        <v>77</v>
      </c>
      <c r="O32" s="241" t="s">
        <v>78</v>
      </c>
      <c r="P32" s="241" t="s">
        <v>79</v>
      </c>
      <c r="Q32" s="241" t="s">
        <v>80</v>
      </c>
      <c r="R32" s="241" t="s">
        <v>81</v>
      </c>
      <c r="S32" s="241" t="s">
        <v>82</v>
      </c>
      <c r="T32" s="241" t="s">
        <v>83</v>
      </c>
      <c r="U32" s="241" t="s">
        <v>84</v>
      </c>
      <c r="V32" s="241" t="s">
        <v>85</v>
      </c>
      <c r="W32" s="241" t="s">
        <v>1719</v>
      </c>
      <c r="X32" s="241" t="s">
        <v>1720</v>
      </c>
      <c r="Y32" s="241" t="s">
        <v>1721</v>
      </c>
      <c r="Z32" s="241" t="s">
        <v>1722</v>
      </c>
      <c r="AA32" s="241" t="s">
        <v>1723</v>
      </c>
      <c r="AB32" s="241" t="s">
        <v>1724</v>
      </c>
      <c r="AC32" s="241" t="s">
        <v>1725</v>
      </c>
      <c r="AD32" s="241" t="s">
        <v>1726</v>
      </c>
      <c r="AE32" s="241" t="s">
        <v>1727</v>
      </c>
      <c r="AF32" s="241" t="s">
        <v>1728</v>
      </c>
      <c r="AG32" s="241" t="s">
        <v>1729</v>
      </c>
      <c r="AH32" s="241" t="s">
        <v>1730</v>
      </c>
      <c r="AI32" s="241" t="s">
        <v>1731</v>
      </c>
      <c r="AJ32" s="253" t="s">
        <v>33</v>
      </c>
    </row>
    <row r="33" spans="1:36" x14ac:dyDescent="0.25">
      <c r="A33" s="234" t="s">
        <v>1754</v>
      </c>
      <c r="B33" s="234" t="s">
        <v>1755</v>
      </c>
      <c r="C33" s="234">
        <v>0</v>
      </c>
      <c r="D33" s="234">
        <v>0</v>
      </c>
      <c r="E33" s="234">
        <v>0</v>
      </c>
      <c r="F33" s="234">
        <v>0</v>
      </c>
      <c r="G33" s="234">
        <v>0</v>
      </c>
      <c r="H33" s="234">
        <v>0</v>
      </c>
      <c r="I33" s="234">
        <v>0</v>
      </c>
      <c r="J33" s="234">
        <v>333180.44999999995</v>
      </c>
      <c r="K33" s="234">
        <v>0</v>
      </c>
      <c r="L33" s="234">
        <v>31175</v>
      </c>
      <c r="M33" s="234">
        <v>0</v>
      </c>
      <c r="N33" s="234">
        <v>0</v>
      </c>
      <c r="O33" s="234">
        <v>0</v>
      </c>
      <c r="P33" s="234">
        <v>0</v>
      </c>
      <c r="Q33" s="234">
        <v>0</v>
      </c>
      <c r="R33" s="234">
        <v>0</v>
      </c>
      <c r="S33" s="234">
        <v>0</v>
      </c>
      <c r="T33" s="234">
        <v>0</v>
      </c>
      <c r="U33" s="234">
        <v>0</v>
      </c>
      <c r="V33" s="234">
        <v>0</v>
      </c>
      <c r="W33" s="234">
        <v>0</v>
      </c>
      <c r="X33" s="234">
        <v>0</v>
      </c>
      <c r="Y33" s="234">
        <v>0</v>
      </c>
      <c r="Z33" s="234">
        <v>0</v>
      </c>
      <c r="AA33" s="234">
        <v>0</v>
      </c>
      <c r="AB33" s="234">
        <v>0</v>
      </c>
      <c r="AC33" s="234">
        <v>0</v>
      </c>
      <c r="AD33" s="234">
        <v>0</v>
      </c>
      <c r="AE33" s="234">
        <v>0</v>
      </c>
      <c r="AF33" s="234">
        <v>0</v>
      </c>
      <c r="AG33" s="234">
        <v>0</v>
      </c>
      <c r="AH33" s="234">
        <v>0</v>
      </c>
      <c r="AI33" s="234">
        <v>0</v>
      </c>
      <c r="AJ33" s="234"/>
    </row>
    <row r="34" spans="1:36" x14ac:dyDescent="0.25">
      <c r="A34" s="234" t="s">
        <v>1754</v>
      </c>
      <c r="B34" s="234" t="s">
        <v>1755</v>
      </c>
      <c r="C34" s="234">
        <v>0</v>
      </c>
      <c r="D34" s="234">
        <v>0</v>
      </c>
      <c r="E34" s="234">
        <v>0</v>
      </c>
      <c r="F34" s="234">
        <v>0</v>
      </c>
      <c r="G34" s="234">
        <v>0</v>
      </c>
      <c r="H34" s="234">
        <v>0</v>
      </c>
      <c r="I34" s="234">
        <v>0</v>
      </c>
      <c r="J34" s="234">
        <v>0</v>
      </c>
      <c r="K34" s="234">
        <v>0</v>
      </c>
      <c r="L34" s="234">
        <v>0</v>
      </c>
      <c r="M34" s="234">
        <v>0</v>
      </c>
      <c r="N34" s="234">
        <v>0</v>
      </c>
      <c r="O34" s="234">
        <v>0</v>
      </c>
      <c r="P34" s="234">
        <v>0</v>
      </c>
      <c r="Q34" s="234">
        <v>0</v>
      </c>
      <c r="R34" s="234">
        <v>0</v>
      </c>
      <c r="S34" s="234">
        <v>0</v>
      </c>
      <c r="T34" s="234">
        <v>0</v>
      </c>
      <c r="U34" s="234">
        <v>0</v>
      </c>
      <c r="V34" s="234">
        <v>0</v>
      </c>
      <c r="W34" s="234">
        <v>0</v>
      </c>
      <c r="X34" s="234">
        <v>0</v>
      </c>
      <c r="Y34" s="234">
        <v>0</v>
      </c>
      <c r="Z34" s="234">
        <v>0</v>
      </c>
      <c r="AA34" s="234">
        <v>0</v>
      </c>
      <c r="AB34" s="234">
        <v>0</v>
      </c>
      <c r="AC34" s="234">
        <v>0</v>
      </c>
      <c r="AD34" s="234">
        <v>0</v>
      </c>
      <c r="AE34" s="234">
        <v>0</v>
      </c>
      <c r="AF34" s="234">
        <v>0</v>
      </c>
      <c r="AG34" s="234">
        <v>0</v>
      </c>
      <c r="AH34" s="234">
        <v>0</v>
      </c>
      <c r="AI34" s="234">
        <v>0</v>
      </c>
      <c r="AJ34" s="234"/>
    </row>
    <row r="35" spans="1:36" x14ac:dyDescent="0.25">
      <c r="A35" s="234" t="s">
        <v>1754</v>
      </c>
      <c r="B35" s="234" t="s">
        <v>1755</v>
      </c>
      <c r="C35" s="234">
        <v>0</v>
      </c>
      <c r="D35" s="234">
        <v>0</v>
      </c>
      <c r="E35" s="234">
        <v>0</v>
      </c>
      <c r="F35" s="234">
        <v>0</v>
      </c>
      <c r="G35" s="234">
        <v>0</v>
      </c>
      <c r="H35" s="234">
        <v>0</v>
      </c>
      <c r="I35" s="234">
        <v>94646.75</v>
      </c>
      <c r="J35" s="234">
        <v>0</v>
      </c>
      <c r="K35" s="234">
        <v>0</v>
      </c>
      <c r="L35" s="234">
        <v>0</v>
      </c>
      <c r="M35" s="234">
        <v>0</v>
      </c>
      <c r="N35" s="234">
        <v>0</v>
      </c>
      <c r="O35" s="234">
        <v>0</v>
      </c>
      <c r="P35" s="234">
        <v>0</v>
      </c>
      <c r="Q35" s="234">
        <v>0</v>
      </c>
      <c r="R35" s="234">
        <v>0</v>
      </c>
      <c r="S35" s="234">
        <v>0</v>
      </c>
      <c r="T35" s="234">
        <v>0</v>
      </c>
      <c r="U35" s="234">
        <v>0</v>
      </c>
      <c r="V35" s="234">
        <v>0</v>
      </c>
      <c r="W35" s="234">
        <v>0</v>
      </c>
      <c r="X35" s="234">
        <v>0</v>
      </c>
      <c r="Y35" s="234">
        <v>0</v>
      </c>
      <c r="Z35" s="234">
        <v>0</v>
      </c>
      <c r="AA35" s="234">
        <v>0</v>
      </c>
      <c r="AB35" s="234">
        <v>0</v>
      </c>
      <c r="AC35" s="234">
        <v>0</v>
      </c>
      <c r="AD35" s="234">
        <v>0</v>
      </c>
      <c r="AE35" s="234">
        <v>0</v>
      </c>
      <c r="AF35" s="234">
        <v>0</v>
      </c>
      <c r="AG35" s="234">
        <v>0</v>
      </c>
      <c r="AH35" s="234">
        <v>0</v>
      </c>
      <c r="AI35" s="234">
        <v>0</v>
      </c>
      <c r="AJ35" s="234"/>
    </row>
    <row r="36" spans="1:36" x14ac:dyDescent="0.25">
      <c r="A36" s="234" t="s">
        <v>1754</v>
      </c>
      <c r="B36" s="234" t="s">
        <v>1755</v>
      </c>
      <c r="C36" s="234">
        <v>0</v>
      </c>
      <c r="D36" s="234">
        <v>0</v>
      </c>
      <c r="E36" s="234">
        <v>0</v>
      </c>
      <c r="F36" s="234">
        <v>0</v>
      </c>
      <c r="G36" s="234">
        <v>0</v>
      </c>
      <c r="H36" s="234">
        <v>0</v>
      </c>
      <c r="I36" s="234">
        <v>0</v>
      </c>
      <c r="J36" s="234">
        <v>0</v>
      </c>
      <c r="K36" s="234">
        <v>0</v>
      </c>
      <c r="L36" s="234">
        <v>94646.75</v>
      </c>
      <c r="M36" s="234">
        <v>0</v>
      </c>
      <c r="N36" s="234">
        <v>0</v>
      </c>
      <c r="O36" s="234">
        <v>0</v>
      </c>
      <c r="P36" s="234">
        <v>0</v>
      </c>
      <c r="Q36" s="234">
        <v>0</v>
      </c>
      <c r="R36" s="234">
        <v>0</v>
      </c>
      <c r="S36" s="234">
        <v>0</v>
      </c>
      <c r="T36" s="234">
        <v>0</v>
      </c>
      <c r="U36" s="234">
        <v>0</v>
      </c>
      <c r="V36" s="234">
        <v>0</v>
      </c>
      <c r="W36" s="234">
        <v>0</v>
      </c>
      <c r="X36" s="234">
        <v>0</v>
      </c>
      <c r="Y36" s="234">
        <v>0</v>
      </c>
      <c r="Z36" s="234">
        <v>0</v>
      </c>
      <c r="AA36" s="234">
        <v>0</v>
      </c>
      <c r="AB36" s="234">
        <v>0</v>
      </c>
      <c r="AC36" s="234">
        <v>0</v>
      </c>
      <c r="AD36" s="234">
        <v>0</v>
      </c>
      <c r="AE36" s="234">
        <v>0</v>
      </c>
      <c r="AF36" s="234">
        <v>0</v>
      </c>
      <c r="AG36" s="234">
        <v>0</v>
      </c>
      <c r="AH36" s="234">
        <v>0</v>
      </c>
      <c r="AI36" s="234">
        <v>0</v>
      </c>
      <c r="AJ36" s="234"/>
    </row>
    <row r="37" spans="1:36" x14ac:dyDescent="0.25">
      <c r="A37" s="234" t="s">
        <v>1754</v>
      </c>
      <c r="B37" s="234" t="s">
        <v>1755</v>
      </c>
      <c r="C37" s="234">
        <v>0</v>
      </c>
      <c r="D37" s="234">
        <v>0</v>
      </c>
      <c r="E37" s="234">
        <v>0</v>
      </c>
      <c r="F37" s="234">
        <v>0</v>
      </c>
      <c r="G37" s="234">
        <v>0</v>
      </c>
      <c r="H37" s="234">
        <v>0</v>
      </c>
      <c r="I37" s="234">
        <v>0</v>
      </c>
      <c r="J37" s="234">
        <v>0</v>
      </c>
      <c r="K37" s="234">
        <v>0</v>
      </c>
      <c r="L37" s="234">
        <v>0</v>
      </c>
      <c r="M37" s="234">
        <v>0</v>
      </c>
      <c r="N37" s="234">
        <v>37858.699999999997</v>
      </c>
      <c r="O37" s="234">
        <v>0</v>
      </c>
      <c r="P37" s="234">
        <v>0</v>
      </c>
      <c r="Q37" s="234">
        <v>0</v>
      </c>
      <c r="R37" s="234">
        <v>0</v>
      </c>
      <c r="S37" s="234">
        <v>0</v>
      </c>
      <c r="T37" s="234">
        <v>0</v>
      </c>
      <c r="U37" s="234">
        <v>0</v>
      </c>
      <c r="V37" s="234">
        <v>0</v>
      </c>
      <c r="W37" s="234">
        <v>0</v>
      </c>
      <c r="X37" s="234">
        <v>0</v>
      </c>
      <c r="Y37" s="234">
        <v>0</v>
      </c>
      <c r="Z37" s="234">
        <v>0</v>
      </c>
      <c r="AA37" s="234">
        <v>0</v>
      </c>
      <c r="AB37" s="234">
        <v>0</v>
      </c>
      <c r="AC37" s="234">
        <v>0</v>
      </c>
      <c r="AD37" s="234">
        <v>0</v>
      </c>
      <c r="AE37" s="234">
        <v>0</v>
      </c>
      <c r="AF37" s="234">
        <v>0</v>
      </c>
      <c r="AG37" s="234">
        <v>0</v>
      </c>
      <c r="AH37" s="234">
        <v>0</v>
      </c>
      <c r="AI37" s="234">
        <v>0</v>
      </c>
      <c r="AJ37" s="234"/>
    </row>
    <row r="38" spans="1:36" x14ac:dyDescent="0.25">
      <c r="A38" s="234" t="s">
        <v>1754</v>
      </c>
      <c r="B38" s="234" t="s">
        <v>1755</v>
      </c>
      <c r="C38" s="234">
        <v>0</v>
      </c>
      <c r="D38" s="234">
        <v>0</v>
      </c>
      <c r="E38" s="234">
        <v>0</v>
      </c>
      <c r="F38" s="234">
        <v>0</v>
      </c>
      <c r="G38" s="234">
        <v>0</v>
      </c>
      <c r="H38" s="234">
        <v>0</v>
      </c>
      <c r="I38" s="234">
        <v>0</v>
      </c>
      <c r="J38" s="234">
        <v>0</v>
      </c>
      <c r="K38" s="234">
        <v>0</v>
      </c>
      <c r="L38" s="234">
        <v>0</v>
      </c>
      <c r="M38" s="234">
        <v>0</v>
      </c>
      <c r="N38" s="234">
        <v>18929.349999999999</v>
      </c>
      <c r="O38" s="234">
        <v>0</v>
      </c>
      <c r="P38" s="234">
        <v>0</v>
      </c>
      <c r="Q38" s="234">
        <v>0</v>
      </c>
      <c r="R38" s="234">
        <v>0</v>
      </c>
      <c r="S38" s="234">
        <v>0</v>
      </c>
      <c r="T38" s="234">
        <v>0</v>
      </c>
      <c r="U38" s="234">
        <v>0</v>
      </c>
      <c r="V38" s="234">
        <v>0</v>
      </c>
      <c r="W38" s="234">
        <v>0</v>
      </c>
      <c r="X38" s="234">
        <v>0</v>
      </c>
      <c r="Y38" s="234">
        <v>0</v>
      </c>
      <c r="Z38" s="234">
        <v>0</v>
      </c>
      <c r="AA38" s="234">
        <v>0</v>
      </c>
      <c r="AB38" s="234">
        <v>0</v>
      </c>
      <c r="AC38" s="234">
        <v>0</v>
      </c>
      <c r="AD38" s="234">
        <v>0</v>
      </c>
      <c r="AE38" s="234">
        <v>0</v>
      </c>
      <c r="AF38" s="234">
        <v>0</v>
      </c>
      <c r="AG38" s="234">
        <v>0</v>
      </c>
      <c r="AH38" s="234">
        <v>0</v>
      </c>
      <c r="AI38" s="234">
        <v>0</v>
      </c>
      <c r="AJ38" s="234"/>
    </row>
    <row r="39" spans="1:36" x14ac:dyDescent="0.25">
      <c r="A39" s="234" t="s">
        <v>1754</v>
      </c>
      <c r="B39" s="234" t="s">
        <v>1755</v>
      </c>
      <c r="C39" s="234">
        <v>0</v>
      </c>
      <c r="D39" s="234">
        <v>0</v>
      </c>
      <c r="E39" s="234">
        <v>0</v>
      </c>
      <c r="F39" s="234">
        <v>0</v>
      </c>
      <c r="G39" s="234">
        <v>0</v>
      </c>
      <c r="H39" s="234">
        <v>0</v>
      </c>
      <c r="I39" s="234">
        <v>0</v>
      </c>
      <c r="J39" s="234">
        <v>0</v>
      </c>
      <c r="K39" s="234">
        <v>0</v>
      </c>
      <c r="L39" s="234">
        <v>0</v>
      </c>
      <c r="M39" s="234">
        <v>0</v>
      </c>
      <c r="N39" s="234">
        <v>0</v>
      </c>
      <c r="O39" s="234">
        <v>0</v>
      </c>
      <c r="P39" s="234">
        <v>0</v>
      </c>
      <c r="Q39" s="234">
        <v>0</v>
      </c>
      <c r="R39" s="234">
        <v>0</v>
      </c>
      <c r="S39" s="234">
        <v>0</v>
      </c>
      <c r="T39" s="234">
        <v>0</v>
      </c>
      <c r="U39" s="234">
        <v>0</v>
      </c>
      <c r="V39" s="234">
        <v>0</v>
      </c>
      <c r="W39" s="234">
        <v>0</v>
      </c>
      <c r="X39" s="234">
        <v>0</v>
      </c>
      <c r="Y39" s="234">
        <v>0</v>
      </c>
      <c r="Z39" s="234">
        <v>0</v>
      </c>
      <c r="AA39" s="234">
        <v>0</v>
      </c>
      <c r="AB39" s="234">
        <v>0</v>
      </c>
      <c r="AC39" s="234">
        <v>0</v>
      </c>
      <c r="AD39" s="234">
        <v>0</v>
      </c>
      <c r="AE39" s="234">
        <v>0</v>
      </c>
      <c r="AF39" s="234">
        <v>0</v>
      </c>
      <c r="AG39" s="234">
        <v>0</v>
      </c>
      <c r="AH39" s="234">
        <v>0</v>
      </c>
      <c r="AI39" s="234">
        <v>0</v>
      </c>
      <c r="AJ39" s="234"/>
    </row>
    <row r="40" spans="1:36" x14ac:dyDescent="0.25">
      <c r="A40" s="234" t="s">
        <v>1754</v>
      </c>
      <c r="B40" s="234" t="s">
        <v>1755</v>
      </c>
      <c r="C40" s="234">
        <v>0</v>
      </c>
      <c r="D40" s="234">
        <v>0</v>
      </c>
      <c r="E40" s="234">
        <v>0</v>
      </c>
      <c r="F40" s="234">
        <v>0</v>
      </c>
      <c r="G40" s="234">
        <v>0</v>
      </c>
      <c r="H40" s="234">
        <v>0</v>
      </c>
      <c r="I40" s="234">
        <v>0</v>
      </c>
      <c r="J40" s="234">
        <v>0</v>
      </c>
      <c r="K40" s="234">
        <v>0</v>
      </c>
      <c r="L40" s="234">
        <v>0</v>
      </c>
      <c r="M40" s="234">
        <v>0</v>
      </c>
      <c r="N40" s="234">
        <v>0</v>
      </c>
      <c r="O40" s="234">
        <v>0</v>
      </c>
      <c r="P40" s="234">
        <v>0</v>
      </c>
      <c r="Q40" s="234">
        <v>0</v>
      </c>
      <c r="R40" s="234">
        <v>0</v>
      </c>
      <c r="S40" s="234">
        <v>0</v>
      </c>
      <c r="T40" s="234">
        <v>0</v>
      </c>
      <c r="U40" s="234">
        <v>0</v>
      </c>
      <c r="V40" s="234">
        <v>0</v>
      </c>
      <c r="W40" s="234">
        <v>0</v>
      </c>
      <c r="X40" s="234">
        <v>0</v>
      </c>
      <c r="Y40" s="234">
        <v>0</v>
      </c>
      <c r="Z40" s="234">
        <v>0</v>
      </c>
      <c r="AA40" s="234">
        <v>0</v>
      </c>
      <c r="AB40" s="234">
        <v>0</v>
      </c>
      <c r="AC40" s="234">
        <v>0</v>
      </c>
      <c r="AD40" s="234">
        <v>0</v>
      </c>
      <c r="AE40" s="234">
        <v>0</v>
      </c>
      <c r="AF40" s="234">
        <v>0</v>
      </c>
      <c r="AG40" s="234">
        <v>0</v>
      </c>
      <c r="AH40" s="234">
        <v>0</v>
      </c>
      <c r="AI40" s="234">
        <v>0</v>
      </c>
      <c r="AJ40" s="234"/>
    </row>
    <row r="41" spans="1:36" x14ac:dyDescent="0.25">
      <c r="A41" s="234" t="s">
        <v>1754</v>
      </c>
      <c r="B41" s="234" t="s">
        <v>1755</v>
      </c>
      <c r="C41" s="234">
        <v>0</v>
      </c>
      <c r="D41" s="234">
        <v>0</v>
      </c>
      <c r="E41" s="234">
        <v>0</v>
      </c>
      <c r="F41" s="234">
        <v>0</v>
      </c>
      <c r="G41" s="234">
        <v>0</v>
      </c>
      <c r="H41" s="234">
        <v>0</v>
      </c>
      <c r="I41" s="234">
        <v>111698.75</v>
      </c>
      <c r="J41" s="234">
        <v>0</v>
      </c>
      <c r="K41" s="234">
        <v>0</v>
      </c>
      <c r="L41" s="234">
        <v>0</v>
      </c>
      <c r="M41" s="234">
        <v>0</v>
      </c>
      <c r="N41" s="234">
        <v>0</v>
      </c>
      <c r="O41" s="234">
        <v>0</v>
      </c>
      <c r="P41" s="234">
        <v>0</v>
      </c>
      <c r="Q41" s="234">
        <v>0</v>
      </c>
      <c r="R41" s="234">
        <v>0</v>
      </c>
      <c r="S41" s="234">
        <v>0</v>
      </c>
      <c r="T41" s="234">
        <v>0</v>
      </c>
      <c r="U41" s="234">
        <v>0</v>
      </c>
      <c r="V41" s="234">
        <v>0</v>
      </c>
      <c r="W41" s="234">
        <v>0</v>
      </c>
      <c r="X41" s="234">
        <v>0</v>
      </c>
      <c r="Y41" s="234">
        <v>0</v>
      </c>
      <c r="Z41" s="234">
        <v>0</v>
      </c>
      <c r="AA41" s="234">
        <v>0</v>
      </c>
      <c r="AB41" s="234">
        <v>0</v>
      </c>
      <c r="AC41" s="234">
        <v>0</v>
      </c>
      <c r="AD41" s="234">
        <v>0</v>
      </c>
      <c r="AE41" s="234">
        <v>0</v>
      </c>
      <c r="AF41" s="234">
        <v>0</v>
      </c>
      <c r="AG41" s="234">
        <v>0</v>
      </c>
      <c r="AH41" s="234">
        <v>0</v>
      </c>
      <c r="AI41" s="234">
        <v>0</v>
      </c>
      <c r="AJ41" s="234"/>
    </row>
    <row r="42" spans="1:36" x14ac:dyDescent="0.25">
      <c r="A42" s="234" t="s">
        <v>1754</v>
      </c>
      <c r="B42" s="234" t="s">
        <v>1755</v>
      </c>
      <c r="C42" s="234">
        <v>0</v>
      </c>
      <c r="D42" s="234">
        <v>0</v>
      </c>
      <c r="E42" s="234">
        <v>0</v>
      </c>
      <c r="F42" s="234">
        <v>0</v>
      </c>
      <c r="G42" s="234">
        <v>0</v>
      </c>
      <c r="H42" s="234">
        <v>0</v>
      </c>
      <c r="I42" s="234">
        <v>0</v>
      </c>
      <c r="J42" s="234">
        <v>0</v>
      </c>
      <c r="K42" s="234">
        <v>0</v>
      </c>
      <c r="L42" s="234">
        <v>111698.75</v>
      </c>
      <c r="M42" s="234">
        <v>0</v>
      </c>
      <c r="N42" s="234">
        <v>0</v>
      </c>
      <c r="O42" s="234">
        <v>0</v>
      </c>
      <c r="P42" s="234">
        <v>0</v>
      </c>
      <c r="Q42" s="234">
        <v>0</v>
      </c>
      <c r="R42" s="234">
        <v>0</v>
      </c>
      <c r="S42" s="234">
        <v>0</v>
      </c>
      <c r="T42" s="234">
        <v>0</v>
      </c>
      <c r="U42" s="234">
        <v>0</v>
      </c>
      <c r="V42" s="234">
        <v>0</v>
      </c>
      <c r="W42" s="234">
        <v>0</v>
      </c>
      <c r="X42" s="234">
        <v>0</v>
      </c>
      <c r="Y42" s="234">
        <v>0</v>
      </c>
      <c r="Z42" s="234">
        <v>0</v>
      </c>
      <c r="AA42" s="234">
        <v>0</v>
      </c>
      <c r="AB42" s="234">
        <v>0</v>
      </c>
      <c r="AC42" s="234">
        <v>0</v>
      </c>
      <c r="AD42" s="234">
        <v>0</v>
      </c>
      <c r="AE42" s="234">
        <v>0</v>
      </c>
      <c r="AF42" s="234">
        <v>0</v>
      </c>
      <c r="AG42" s="234">
        <v>0</v>
      </c>
      <c r="AH42" s="234">
        <v>0</v>
      </c>
      <c r="AI42" s="234">
        <v>0</v>
      </c>
      <c r="AJ42" s="234"/>
    </row>
    <row r="43" spans="1:36" x14ac:dyDescent="0.25">
      <c r="A43" s="234" t="s">
        <v>1754</v>
      </c>
      <c r="B43" s="234" t="s">
        <v>1755</v>
      </c>
      <c r="C43" s="234">
        <v>0</v>
      </c>
      <c r="D43" s="234">
        <v>0</v>
      </c>
      <c r="E43" s="234">
        <v>0</v>
      </c>
      <c r="F43" s="234">
        <v>0</v>
      </c>
      <c r="G43" s="234">
        <v>0</v>
      </c>
      <c r="H43" s="234">
        <v>0</v>
      </c>
      <c r="I43" s="234">
        <v>0</v>
      </c>
      <c r="J43" s="234">
        <v>0</v>
      </c>
      <c r="K43" s="234">
        <v>0</v>
      </c>
      <c r="L43" s="234">
        <v>0</v>
      </c>
      <c r="M43" s="234">
        <v>0</v>
      </c>
      <c r="N43" s="234">
        <v>44679.5</v>
      </c>
      <c r="O43" s="234">
        <v>0</v>
      </c>
      <c r="P43" s="234">
        <v>0</v>
      </c>
      <c r="Q43" s="234">
        <v>0</v>
      </c>
      <c r="R43" s="234">
        <v>0</v>
      </c>
      <c r="S43" s="234">
        <v>0</v>
      </c>
      <c r="T43" s="234">
        <v>0</v>
      </c>
      <c r="U43" s="234">
        <v>0</v>
      </c>
      <c r="V43" s="234">
        <v>0</v>
      </c>
      <c r="W43" s="234">
        <v>0</v>
      </c>
      <c r="X43" s="234">
        <v>0</v>
      </c>
      <c r="Y43" s="234">
        <v>0</v>
      </c>
      <c r="Z43" s="234">
        <v>0</v>
      </c>
      <c r="AA43" s="234">
        <v>0</v>
      </c>
      <c r="AB43" s="234">
        <v>0</v>
      </c>
      <c r="AC43" s="234">
        <v>0</v>
      </c>
      <c r="AD43" s="234">
        <v>0</v>
      </c>
      <c r="AE43" s="234">
        <v>0</v>
      </c>
      <c r="AF43" s="234">
        <v>0</v>
      </c>
      <c r="AG43" s="234">
        <v>0</v>
      </c>
      <c r="AH43" s="234">
        <v>0</v>
      </c>
      <c r="AI43" s="234">
        <v>0</v>
      </c>
      <c r="AJ43" s="234"/>
    </row>
    <row r="44" spans="1:36" x14ac:dyDescent="0.25">
      <c r="A44" s="234" t="s">
        <v>1754</v>
      </c>
      <c r="B44" s="234" t="s">
        <v>1755</v>
      </c>
      <c r="C44" s="234">
        <v>0</v>
      </c>
      <c r="D44" s="234">
        <v>0</v>
      </c>
      <c r="E44" s="234">
        <v>0</v>
      </c>
      <c r="F44" s="234">
        <v>0</v>
      </c>
      <c r="G44" s="234">
        <v>0</v>
      </c>
      <c r="H44" s="234">
        <v>0</v>
      </c>
      <c r="I44" s="234">
        <v>0</v>
      </c>
      <c r="J44" s="234">
        <v>0</v>
      </c>
      <c r="K44" s="234">
        <v>0</v>
      </c>
      <c r="L44" s="234">
        <v>0</v>
      </c>
      <c r="M44" s="234">
        <v>0</v>
      </c>
      <c r="N44" s="234">
        <v>0</v>
      </c>
      <c r="O44" s="234">
        <v>22339.75</v>
      </c>
      <c r="P44" s="234">
        <v>0</v>
      </c>
      <c r="Q44" s="234">
        <v>0</v>
      </c>
      <c r="R44" s="234">
        <v>0</v>
      </c>
      <c r="S44" s="234">
        <v>0</v>
      </c>
      <c r="T44" s="234">
        <v>0</v>
      </c>
      <c r="U44" s="234">
        <v>0</v>
      </c>
      <c r="V44" s="234">
        <v>0</v>
      </c>
      <c r="W44" s="234">
        <v>0</v>
      </c>
      <c r="X44" s="234">
        <v>0</v>
      </c>
      <c r="Y44" s="234">
        <v>0</v>
      </c>
      <c r="Z44" s="234">
        <v>0</v>
      </c>
      <c r="AA44" s="234">
        <v>0</v>
      </c>
      <c r="AB44" s="234">
        <v>0</v>
      </c>
      <c r="AC44" s="234">
        <v>0</v>
      </c>
      <c r="AD44" s="234">
        <v>0</v>
      </c>
      <c r="AE44" s="234">
        <v>0</v>
      </c>
      <c r="AF44" s="234">
        <v>0</v>
      </c>
      <c r="AG44" s="234">
        <v>0</v>
      </c>
      <c r="AH44" s="234">
        <v>0</v>
      </c>
      <c r="AI44" s="234">
        <v>0</v>
      </c>
      <c r="AJ44" s="234"/>
    </row>
    <row r="45" spans="1:36" x14ac:dyDescent="0.25">
      <c r="A45" s="234" t="s">
        <v>1754</v>
      </c>
      <c r="B45" s="234" t="s">
        <v>1755</v>
      </c>
      <c r="C45" s="234">
        <v>0</v>
      </c>
      <c r="D45" s="234">
        <v>0</v>
      </c>
      <c r="E45" s="234">
        <v>0</v>
      </c>
      <c r="F45" s="234">
        <v>0</v>
      </c>
      <c r="G45" s="234">
        <v>0</v>
      </c>
      <c r="H45" s="234">
        <v>0</v>
      </c>
      <c r="I45" s="234">
        <v>0</v>
      </c>
      <c r="J45" s="234">
        <v>0</v>
      </c>
      <c r="K45" s="234">
        <v>0</v>
      </c>
      <c r="L45" s="234">
        <v>0</v>
      </c>
      <c r="M45" s="234">
        <v>0</v>
      </c>
      <c r="N45" s="234">
        <v>0</v>
      </c>
      <c r="O45" s="234">
        <v>0</v>
      </c>
      <c r="P45" s="234">
        <v>0</v>
      </c>
      <c r="Q45" s="234">
        <v>0</v>
      </c>
      <c r="R45" s="234">
        <v>0</v>
      </c>
      <c r="S45" s="234">
        <v>0</v>
      </c>
      <c r="T45" s="234">
        <v>0</v>
      </c>
      <c r="U45" s="234">
        <v>0</v>
      </c>
      <c r="V45" s="234">
        <v>0</v>
      </c>
      <c r="W45" s="234">
        <v>0</v>
      </c>
      <c r="X45" s="234">
        <v>0</v>
      </c>
      <c r="Y45" s="234">
        <v>0</v>
      </c>
      <c r="Z45" s="234">
        <v>0</v>
      </c>
      <c r="AA45" s="234">
        <v>0</v>
      </c>
      <c r="AB45" s="234">
        <v>0</v>
      </c>
      <c r="AC45" s="234">
        <v>0</v>
      </c>
      <c r="AD45" s="234">
        <v>0</v>
      </c>
      <c r="AE45" s="234">
        <v>0</v>
      </c>
      <c r="AF45" s="234">
        <v>0</v>
      </c>
      <c r="AG45" s="234">
        <v>0</v>
      </c>
      <c r="AH45" s="234">
        <v>0</v>
      </c>
      <c r="AI45" s="234">
        <v>0</v>
      </c>
      <c r="AJ45" s="234"/>
    </row>
    <row r="46" spans="1:36" x14ac:dyDescent="0.25">
      <c r="A46" s="234" t="s">
        <v>1683</v>
      </c>
      <c r="B46" s="234" t="s">
        <v>1755</v>
      </c>
      <c r="C46" s="234">
        <v>0</v>
      </c>
      <c r="D46" s="234">
        <v>0</v>
      </c>
      <c r="E46" s="234">
        <v>0</v>
      </c>
      <c r="F46" s="234">
        <v>0</v>
      </c>
      <c r="G46" s="234">
        <v>0</v>
      </c>
      <c r="H46" s="234">
        <v>0</v>
      </c>
      <c r="I46" s="234">
        <v>0</v>
      </c>
      <c r="J46" s="234">
        <v>0</v>
      </c>
      <c r="K46" s="234">
        <v>0</v>
      </c>
      <c r="L46" s="234">
        <v>0</v>
      </c>
      <c r="M46" s="234">
        <v>0</v>
      </c>
      <c r="N46" s="234">
        <v>0</v>
      </c>
      <c r="O46" s="234">
        <v>0</v>
      </c>
      <c r="P46" s="234">
        <v>0</v>
      </c>
      <c r="Q46" s="234">
        <v>0</v>
      </c>
      <c r="R46" s="234">
        <v>0</v>
      </c>
      <c r="S46" s="234">
        <v>0</v>
      </c>
      <c r="T46" s="234">
        <v>0</v>
      </c>
      <c r="U46" s="234">
        <v>0</v>
      </c>
      <c r="V46" s="234">
        <v>0</v>
      </c>
      <c r="W46" s="234">
        <v>0</v>
      </c>
      <c r="X46" s="234">
        <v>0</v>
      </c>
      <c r="Y46" s="234">
        <v>0</v>
      </c>
      <c r="Z46" s="234">
        <v>0</v>
      </c>
      <c r="AA46" s="234">
        <v>0</v>
      </c>
      <c r="AB46" s="234">
        <v>0</v>
      </c>
      <c r="AC46" s="234">
        <v>0</v>
      </c>
      <c r="AD46" s="234">
        <v>0</v>
      </c>
      <c r="AE46" s="234">
        <v>0</v>
      </c>
      <c r="AF46" s="234">
        <v>0</v>
      </c>
      <c r="AG46" s="234">
        <v>0</v>
      </c>
      <c r="AH46" s="234">
        <v>0</v>
      </c>
      <c r="AI46" s="234">
        <v>0</v>
      </c>
      <c r="AJ46" s="234"/>
    </row>
    <row r="47" spans="1:36" x14ac:dyDescent="0.25">
      <c r="A47" s="234" t="s">
        <v>1683</v>
      </c>
      <c r="B47" s="234" t="s">
        <v>1755</v>
      </c>
      <c r="C47" s="234">
        <v>0</v>
      </c>
      <c r="D47" s="234">
        <v>0</v>
      </c>
      <c r="E47" s="234">
        <v>0</v>
      </c>
      <c r="F47" s="234">
        <v>0</v>
      </c>
      <c r="G47" s="234">
        <v>0</v>
      </c>
      <c r="H47" s="234">
        <v>0</v>
      </c>
      <c r="I47" s="234">
        <v>0</v>
      </c>
      <c r="J47" s="234">
        <v>0</v>
      </c>
      <c r="K47" s="234">
        <v>0</v>
      </c>
      <c r="L47" s="234">
        <v>0</v>
      </c>
      <c r="M47" s="234">
        <v>0</v>
      </c>
      <c r="N47" s="234">
        <v>0</v>
      </c>
      <c r="O47" s="234">
        <v>0</v>
      </c>
      <c r="P47" s="234">
        <v>0</v>
      </c>
      <c r="Q47" s="234">
        <v>0</v>
      </c>
      <c r="R47" s="234">
        <v>0</v>
      </c>
      <c r="S47" s="234">
        <v>0</v>
      </c>
      <c r="T47" s="234">
        <v>0</v>
      </c>
      <c r="U47" s="234">
        <v>0</v>
      </c>
      <c r="V47" s="234">
        <v>0</v>
      </c>
      <c r="W47" s="234">
        <v>0</v>
      </c>
      <c r="X47" s="234">
        <v>0</v>
      </c>
      <c r="Y47" s="234">
        <v>0</v>
      </c>
      <c r="Z47" s="234">
        <v>0</v>
      </c>
      <c r="AA47" s="234">
        <v>0</v>
      </c>
      <c r="AB47" s="234">
        <v>0</v>
      </c>
      <c r="AC47" s="234">
        <v>0</v>
      </c>
      <c r="AD47" s="234">
        <v>0</v>
      </c>
      <c r="AE47" s="234">
        <v>0</v>
      </c>
      <c r="AF47" s="234">
        <v>0</v>
      </c>
      <c r="AG47" s="234">
        <v>0</v>
      </c>
      <c r="AH47" s="234">
        <v>0</v>
      </c>
      <c r="AI47" s="234">
        <v>0</v>
      </c>
      <c r="AJ47" s="234"/>
    </row>
    <row r="48" spans="1:36" x14ac:dyDescent="0.25">
      <c r="A48" s="234" t="s">
        <v>1683</v>
      </c>
      <c r="B48" s="234" t="s">
        <v>1755</v>
      </c>
      <c r="C48" s="234">
        <v>0</v>
      </c>
      <c r="D48" s="234">
        <v>0</v>
      </c>
      <c r="E48" s="234">
        <v>0</v>
      </c>
      <c r="F48" s="234">
        <v>0</v>
      </c>
      <c r="G48" s="234">
        <v>0</v>
      </c>
      <c r="H48" s="234">
        <v>554847</v>
      </c>
      <c r="I48" s="234">
        <v>0</v>
      </c>
      <c r="J48" s="234">
        <v>0</v>
      </c>
      <c r="K48" s="234">
        <v>0</v>
      </c>
      <c r="L48" s="234">
        <v>0</v>
      </c>
      <c r="M48" s="234">
        <v>0</v>
      </c>
      <c r="N48" s="234">
        <v>0</v>
      </c>
      <c r="O48" s="234">
        <v>0</v>
      </c>
      <c r="P48" s="234">
        <v>0</v>
      </c>
      <c r="Q48" s="234">
        <v>0</v>
      </c>
      <c r="R48" s="234">
        <v>0</v>
      </c>
      <c r="S48" s="234">
        <v>0</v>
      </c>
      <c r="T48" s="234">
        <v>0</v>
      </c>
      <c r="U48" s="234">
        <v>0</v>
      </c>
      <c r="V48" s="234">
        <v>0</v>
      </c>
      <c r="W48" s="234">
        <v>0</v>
      </c>
      <c r="X48" s="234">
        <v>0</v>
      </c>
      <c r="Y48" s="234">
        <v>0</v>
      </c>
      <c r="Z48" s="234">
        <v>0</v>
      </c>
      <c r="AA48" s="234">
        <v>0</v>
      </c>
      <c r="AB48" s="234">
        <v>0</v>
      </c>
      <c r="AC48" s="234">
        <v>0</v>
      </c>
      <c r="AD48" s="234">
        <v>0</v>
      </c>
      <c r="AE48" s="234">
        <v>0</v>
      </c>
      <c r="AF48" s="234">
        <v>0</v>
      </c>
      <c r="AG48" s="234">
        <v>0</v>
      </c>
      <c r="AH48" s="234">
        <v>0</v>
      </c>
      <c r="AI48" s="234">
        <v>0</v>
      </c>
      <c r="AJ48" s="234"/>
    </row>
    <row r="49" spans="1:36" x14ac:dyDescent="0.25">
      <c r="A49" s="234" t="s">
        <v>1683</v>
      </c>
      <c r="B49" s="234" t="s">
        <v>1755</v>
      </c>
      <c r="C49" s="234">
        <v>0</v>
      </c>
      <c r="D49" s="234">
        <v>0</v>
      </c>
      <c r="E49" s="234">
        <v>0</v>
      </c>
      <c r="F49" s="234">
        <v>0</v>
      </c>
      <c r="G49" s="234">
        <v>0</v>
      </c>
      <c r="H49" s="234">
        <v>183673</v>
      </c>
      <c r="I49" s="234">
        <v>0</v>
      </c>
      <c r="J49" s="234">
        <v>0</v>
      </c>
      <c r="K49" s="234">
        <v>0</v>
      </c>
      <c r="L49" s="234">
        <v>0</v>
      </c>
      <c r="M49" s="234">
        <v>0</v>
      </c>
      <c r="N49" s="234">
        <v>0</v>
      </c>
      <c r="O49" s="234">
        <v>0</v>
      </c>
      <c r="P49" s="234">
        <v>0</v>
      </c>
      <c r="Q49" s="234">
        <v>0</v>
      </c>
      <c r="R49" s="234">
        <v>0</v>
      </c>
      <c r="S49" s="234">
        <v>0</v>
      </c>
      <c r="T49" s="234">
        <v>0</v>
      </c>
      <c r="U49" s="234">
        <v>0</v>
      </c>
      <c r="V49" s="234">
        <v>0</v>
      </c>
      <c r="W49" s="234">
        <v>0</v>
      </c>
      <c r="X49" s="234">
        <v>0</v>
      </c>
      <c r="Y49" s="234">
        <v>0</v>
      </c>
      <c r="Z49" s="234">
        <v>0</v>
      </c>
      <c r="AA49" s="234">
        <v>0</v>
      </c>
      <c r="AB49" s="234">
        <v>0</v>
      </c>
      <c r="AC49" s="234">
        <v>0</v>
      </c>
      <c r="AD49" s="234">
        <v>0</v>
      </c>
      <c r="AE49" s="234">
        <v>0</v>
      </c>
      <c r="AF49" s="234">
        <v>0</v>
      </c>
      <c r="AG49" s="234">
        <v>0</v>
      </c>
      <c r="AH49" s="234">
        <v>0</v>
      </c>
      <c r="AI49" s="234">
        <v>0</v>
      </c>
      <c r="AJ49" s="234"/>
    </row>
    <row r="50" spans="1:36" x14ac:dyDescent="0.25">
      <c r="A50" s="234" t="s">
        <v>1683</v>
      </c>
      <c r="B50" s="234" t="s">
        <v>1755</v>
      </c>
      <c r="C50" s="234">
        <v>0</v>
      </c>
      <c r="D50" s="234">
        <v>0</v>
      </c>
      <c r="E50" s="234">
        <v>0</v>
      </c>
      <c r="F50" s="234">
        <v>0</v>
      </c>
      <c r="G50" s="234">
        <v>0</v>
      </c>
      <c r="H50" s="234">
        <v>0</v>
      </c>
      <c r="I50" s="234">
        <v>0</v>
      </c>
      <c r="J50" s="234">
        <v>1665817</v>
      </c>
      <c r="K50" s="234">
        <v>0</v>
      </c>
      <c r="L50" s="234">
        <v>0</v>
      </c>
      <c r="M50" s="234">
        <v>0</v>
      </c>
      <c r="N50" s="234">
        <v>0</v>
      </c>
      <c r="O50" s="234">
        <v>0</v>
      </c>
      <c r="P50" s="234">
        <v>0</v>
      </c>
      <c r="Q50" s="234">
        <v>0</v>
      </c>
      <c r="R50" s="234">
        <v>0</v>
      </c>
      <c r="S50" s="234">
        <v>0</v>
      </c>
      <c r="T50" s="234">
        <v>0</v>
      </c>
      <c r="U50" s="234">
        <v>0</v>
      </c>
      <c r="V50" s="234">
        <v>0</v>
      </c>
      <c r="W50" s="234">
        <v>0</v>
      </c>
      <c r="X50" s="234">
        <v>0</v>
      </c>
      <c r="Y50" s="234">
        <v>0</v>
      </c>
      <c r="Z50" s="234">
        <v>0</v>
      </c>
      <c r="AA50" s="234">
        <v>0</v>
      </c>
      <c r="AB50" s="234">
        <v>0</v>
      </c>
      <c r="AC50" s="234">
        <v>0</v>
      </c>
      <c r="AD50" s="234">
        <v>0</v>
      </c>
      <c r="AE50" s="234">
        <v>0</v>
      </c>
      <c r="AF50" s="234">
        <v>0</v>
      </c>
      <c r="AG50" s="234">
        <v>0</v>
      </c>
      <c r="AH50" s="234">
        <v>0</v>
      </c>
      <c r="AI50" s="234">
        <v>0</v>
      </c>
      <c r="AJ50" s="234"/>
    </row>
    <row r="51" spans="1:36" x14ac:dyDescent="0.25">
      <c r="A51" s="234" t="s">
        <v>1683</v>
      </c>
      <c r="B51" s="234" t="s">
        <v>1755</v>
      </c>
      <c r="C51" s="234">
        <v>0</v>
      </c>
      <c r="D51" s="234">
        <v>0</v>
      </c>
      <c r="E51" s="234">
        <v>0</v>
      </c>
      <c r="F51" s="234">
        <v>0</v>
      </c>
      <c r="G51" s="234">
        <v>0</v>
      </c>
      <c r="H51" s="234">
        <v>0</v>
      </c>
      <c r="I51" s="234">
        <v>0</v>
      </c>
      <c r="J51" s="234">
        <v>0</v>
      </c>
      <c r="K51" s="234">
        <v>0</v>
      </c>
      <c r="L51" s="234">
        <v>369898</v>
      </c>
      <c r="M51" s="234">
        <v>0</v>
      </c>
      <c r="N51" s="234">
        <v>0</v>
      </c>
      <c r="O51" s="234">
        <v>0</v>
      </c>
      <c r="P51" s="234">
        <v>0</v>
      </c>
      <c r="Q51" s="234">
        <v>0</v>
      </c>
      <c r="R51" s="234">
        <v>0</v>
      </c>
      <c r="S51" s="234">
        <v>0</v>
      </c>
      <c r="T51" s="234">
        <v>0</v>
      </c>
      <c r="U51" s="234">
        <v>0</v>
      </c>
      <c r="V51" s="234">
        <v>0</v>
      </c>
      <c r="W51" s="234">
        <v>0</v>
      </c>
      <c r="X51" s="234">
        <v>0</v>
      </c>
      <c r="Y51" s="234">
        <v>0</v>
      </c>
      <c r="Z51" s="234">
        <v>0</v>
      </c>
      <c r="AA51" s="234">
        <v>0</v>
      </c>
      <c r="AB51" s="234">
        <v>0</v>
      </c>
      <c r="AC51" s="234">
        <v>0</v>
      </c>
      <c r="AD51" s="234">
        <v>0</v>
      </c>
      <c r="AE51" s="234">
        <v>0</v>
      </c>
      <c r="AF51" s="234">
        <v>0</v>
      </c>
      <c r="AG51" s="234">
        <v>0</v>
      </c>
      <c r="AH51" s="234">
        <v>0</v>
      </c>
      <c r="AI51" s="234">
        <v>0</v>
      </c>
      <c r="AJ51" s="234"/>
    </row>
    <row r="52" spans="1:36" x14ac:dyDescent="0.25">
      <c r="A52" s="234" t="s">
        <v>1756</v>
      </c>
      <c r="B52" s="234" t="s">
        <v>1755</v>
      </c>
      <c r="C52" s="234">
        <v>0</v>
      </c>
      <c r="D52" s="234">
        <v>0</v>
      </c>
      <c r="E52" s="234">
        <v>0</v>
      </c>
      <c r="F52" s="234">
        <v>0</v>
      </c>
      <c r="G52" s="234">
        <v>50000</v>
      </c>
      <c r="H52" s="234">
        <v>0</v>
      </c>
      <c r="I52" s="234">
        <v>0</v>
      </c>
      <c r="J52" s="234">
        <v>0</v>
      </c>
      <c r="K52" s="234">
        <v>0</v>
      </c>
      <c r="L52" s="234">
        <v>0</v>
      </c>
      <c r="M52" s="234">
        <v>0</v>
      </c>
      <c r="N52" s="234">
        <v>0</v>
      </c>
      <c r="O52" s="234">
        <v>0</v>
      </c>
      <c r="P52" s="234">
        <v>0</v>
      </c>
      <c r="Q52" s="234">
        <v>0</v>
      </c>
      <c r="R52" s="234">
        <v>0</v>
      </c>
      <c r="S52" s="234">
        <v>0</v>
      </c>
      <c r="T52" s="234">
        <v>0</v>
      </c>
      <c r="U52" s="234">
        <v>0</v>
      </c>
      <c r="V52" s="234">
        <v>0</v>
      </c>
      <c r="W52" s="234">
        <v>0</v>
      </c>
      <c r="X52" s="234">
        <v>0</v>
      </c>
      <c r="Y52" s="234">
        <v>0</v>
      </c>
      <c r="Z52" s="234">
        <v>0</v>
      </c>
      <c r="AA52" s="234">
        <v>0</v>
      </c>
      <c r="AB52" s="234">
        <v>0</v>
      </c>
      <c r="AC52" s="234">
        <v>0</v>
      </c>
      <c r="AD52" s="234">
        <v>0</v>
      </c>
      <c r="AE52" s="234">
        <v>0</v>
      </c>
      <c r="AF52" s="234">
        <v>0</v>
      </c>
      <c r="AG52" s="234">
        <v>0</v>
      </c>
      <c r="AH52" s="234">
        <v>0</v>
      </c>
      <c r="AI52" s="234">
        <v>0</v>
      </c>
      <c r="AJ52" s="234"/>
    </row>
    <row r="53" spans="1:36" x14ac:dyDescent="0.25">
      <c r="A53" s="234" t="s">
        <v>1756</v>
      </c>
      <c r="B53" s="234" t="s">
        <v>1755</v>
      </c>
      <c r="C53" s="234">
        <v>0</v>
      </c>
      <c r="D53" s="234">
        <v>0</v>
      </c>
      <c r="E53" s="234">
        <v>0</v>
      </c>
      <c r="F53" s="234">
        <v>0</v>
      </c>
      <c r="G53" s="234">
        <v>0</v>
      </c>
      <c r="H53" s="234">
        <v>0</v>
      </c>
      <c r="I53" s="234">
        <v>0</v>
      </c>
      <c r="J53" s="234">
        <v>200000</v>
      </c>
      <c r="K53" s="234">
        <v>0</v>
      </c>
      <c r="L53" s="234">
        <v>0</v>
      </c>
      <c r="M53" s="234">
        <v>0</v>
      </c>
      <c r="N53" s="234">
        <v>0</v>
      </c>
      <c r="O53" s="234">
        <v>0</v>
      </c>
      <c r="P53" s="234">
        <v>0</v>
      </c>
      <c r="Q53" s="234">
        <v>0</v>
      </c>
      <c r="R53" s="234">
        <v>0</v>
      </c>
      <c r="S53" s="234">
        <v>0</v>
      </c>
      <c r="T53" s="234">
        <v>0</v>
      </c>
      <c r="U53" s="234">
        <v>0</v>
      </c>
      <c r="V53" s="234">
        <v>0</v>
      </c>
      <c r="W53" s="234">
        <v>0</v>
      </c>
      <c r="X53" s="234">
        <v>0</v>
      </c>
      <c r="Y53" s="234">
        <v>0</v>
      </c>
      <c r="Z53" s="234">
        <v>0</v>
      </c>
      <c r="AA53" s="234">
        <v>0</v>
      </c>
      <c r="AB53" s="234">
        <v>0</v>
      </c>
      <c r="AC53" s="234">
        <v>0</v>
      </c>
      <c r="AD53" s="234">
        <v>0</v>
      </c>
      <c r="AE53" s="234">
        <v>0</v>
      </c>
      <c r="AF53" s="234">
        <v>0</v>
      </c>
      <c r="AG53" s="234">
        <v>0</v>
      </c>
      <c r="AH53" s="234">
        <v>0</v>
      </c>
      <c r="AI53" s="234">
        <v>0</v>
      </c>
      <c r="AJ53" s="234"/>
    </row>
    <row r="54" spans="1:36" x14ac:dyDescent="0.25">
      <c r="A54" s="234" t="s">
        <v>1756</v>
      </c>
      <c r="B54" s="234" t="s">
        <v>1755</v>
      </c>
      <c r="C54" s="234">
        <v>0</v>
      </c>
      <c r="D54" s="234">
        <v>0</v>
      </c>
      <c r="E54" s="234">
        <v>0</v>
      </c>
      <c r="F54" s="234">
        <v>0</v>
      </c>
      <c r="G54" s="234">
        <v>0</v>
      </c>
      <c r="H54" s="234">
        <v>0</v>
      </c>
      <c r="I54" s="234">
        <v>0</v>
      </c>
      <c r="J54" s="234">
        <v>100000</v>
      </c>
      <c r="K54" s="234">
        <v>0</v>
      </c>
      <c r="L54" s="234">
        <v>0</v>
      </c>
      <c r="M54" s="234">
        <v>0</v>
      </c>
      <c r="N54" s="234">
        <v>0</v>
      </c>
      <c r="O54" s="234">
        <v>0</v>
      </c>
      <c r="P54" s="234">
        <v>0</v>
      </c>
      <c r="Q54" s="234">
        <v>0</v>
      </c>
      <c r="R54" s="234">
        <v>0</v>
      </c>
      <c r="S54" s="234">
        <v>0</v>
      </c>
      <c r="T54" s="234">
        <v>0</v>
      </c>
      <c r="U54" s="234">
        <v>0</v>
      </c>
      <c r="V54" s="234">
        <v>0</v>
      </c>
      <c r="W54" s="234">
        <v>0</v>
      </c>
      <c r="X54" s="234">
        <v>0</v>
      </c>
      <c r="Y54" s="234">
        <v>0</v>
      </c>
      <c r="Z54" s="234">
        <v>0</v>
      </c>
      <c r="AA54" s="234">
        <v>0</v>
      </c>
      <c r="AB54" s="234">
        <v>0</v>
      </c>
      <c r="AC54" s="234">
        <v>0</v>
      </c>
      <c r="AD54" s="234">
        <v>0</v>
      </c>
      <c r="AE54" s="234">
        <v>0</v>
      </c>
      <c r="AF54" s="234">
        <v>0</v>
      </c>
      <c r="AG54" s="234">
        <v>0</v>
      </c>
      <c r="AH54" s="234">
        <v>0</v>
      </c>
      <c r="AI54" s="234">
        <v>0</v>
      </c>
      <c r="AJ54" s="234"/>
    </row>
    <row r="55" spans="1:36" x14ac:dyDescent="0.25">
      <c r="A55" s="234" t="s">
        <v>1756</v>
      </c>
      <c r="B55" s="234" t="s">
        <v>1755</v>
      </c>
      <c r="C55" s="234">
        <v>0</v>
      </c>
      <c r="D55" s="234">
        <v>0</v>
      </c>
      <c r="E55" s="234">
        <v>0</v>
      </c>
      <c r="F55" s="234">
        <v>0</v>
      </c>
      <c r="G55" s="234">
        <v>0</v>
      </c>
      <c r="H55" s="234">
        <v>0</v>
      </c>
      <c r="I55" s="234">
        <v>0</v>
      </c>
      <c r="J55" s="234">
        <v>0</v>
      </c>
      <c r="K55" s="234">
        <v>0</v>
      </c>
      <c r="L55" s="234">
        <v>150000</v>
      </c>
      <c r="M55" s="234">
        <v>0</v>
      </c>
      <c r="N55" s="234">
        <v>0</v>
      </c>
      <c r="O55" s="234">
        <v>0</v>
      </c>
      <c r="P55" s="234">
        <v>0</v>
      </c>
      <c r="Q55" s="234">
        <v>0</v>
      </c>
      <c r="R55" s="234">
        <v>0</v>
      </c>
      <c r="S55" s="234">
        <v>0</v>
      </c>
      <c r="T55" s="234">
        <v>0</v>
      </c>
      <c r="U55" s="234">
        <v>0</v>
      </c>
      <c r="V55" s="234">
        <v>0</v>
      </c>
      <c r="W55" s="234">
        <v>0</v>
      </c>
      <c r="X55" s="234">
        <v>0</v>
      </c>
      <c r="Y55" s="234">
        <v>0</v>
      </c>
      <c r="Z55" s="234">
        <v>0</v>
      </c>
      <c r="AA55" s="234">
        <v>0</v>
      </c>
      <c r="AB55" s="234">
        <v>0</v>
      </c>
      <c r="AC55" s="234">
        <v>0</v>
      </c>
      <c r="AD55" s="234">
        <v>0</v>
      </c>
      <c r="AE55" s="234">
        <v>0</v>
      </c>
      <c r="AF55" s="234">
        <v>0</v>
      </c>
      <c r="AG55" s="234">
        <v>0</v>
      </c>
      <c r="AH55" s="234">
        <v>0</v>
      </c>
      <c r="AI55" s="234">
        <v>0</v>
      </c>
      <c r="AJ55" s="234"/>
    </row>
    <row r="56" spans="1:36" s="7" customFormat="1" x14ac:dyDescent="0.25">
      <c r="A56" s="237"/>
      <c r="B56" s="237" t="s">
        <v>33</v>
      </c>
      <c r="C56" s="237">
        <v>0</v>
      </c>
      <c r="D56" s="237">
        <v>0</v>
      </c>
      <c r="E56" s="237">
        <v>0</v>
      </c>
      <c r="F56" s="237">
        <v>0</v>
      </c>
      <c r="G56" s="237">
        <v>50000</v>
      </c>
      <c r="H56" s="237">
        <v>738520</v>
      </c>
      <c r="I56" s="237">
        <v>206345.5</v>
      </c>
      <c r="J56" s="237">
        <v>2298997.4500000002</v>
      </c>
      <c r="K56" s="237">
        <v>0</v>
      </c>
      <c r="L56" s="237">
        <v>757418.5</v>
      </c>
      <c r="M56" s="237">
        <v>0</v>
      </c>
      <c r="N56" s="237">
        <v>101467.54999999999</v>
      </c>
      <c r="O56" s="237">
        <v>22339.75</v>
      </c>
      <c r="P56" s="237">
        <v>0</v>
      </c>
      <c r="Q56" s="237">
        <v>0</v>
      </c>
      <c r="R56" s="237">
        <v>0</v>
      </c>
      <c r="S56" s="237">
        <v>0</v>
      </c>
      <c r="T56" s="237">
        <v>0</v>
      </c>
      <c r="U56" s="237">
        <v>0</v>
      </c>
      <c r="V56" s="237">
        <v>0</v>
      </c>
      <c r="W56" s="237">
        <v>0</v>
      </c>
      <c r="X56" s="237">
        <v>0</v>
      </c>
      <c r="Y56" s="237">
        <v>0</v>
      </c>
      <c r="Z56" s="237">
        <v>0</v>
      </c>
      <c r="AA56" s="237">
        <v>0</v>
      </c>
      <c r="AB56" s="237">
        <v>0</v>
      </c>
      <c r="AC56" s="237">
        <v>0</v>
      </c>
      <c r="AD56" s="237">
        <v>0</v>
      </c>
      <c r="AE56" s="237">
        <v>0</v>
      </c>
      <c r="AF56" s="237">
        <v>0</v>
      </c>
      <c r="AG56" s="237">
        <v>0</v>
      </c>
      <c r="AH56" s="237">
        <v>0</v>
      </c>
      <c r="AI56" s="237">
        <v>0</v>
      </c>
      <c r="AJ56" s="237">
        <v>4175088.75</v>
      </c>
    </row>
    <row r="57" spans="1:36" x14ac:dyDescent="0.25">
      <c r="A57" s="254"/>
      <c r="B57" s="254"/>
      <c r="C57" s="254"/>
      <c r="D57" s="254"/>
      <c r="E57" s="254"/>
      <c r="F57" s="254"/>
      <c r="G57" s="254"/>
      <c r="H57" s="254"/>
      <c r="I57" s="254"/>
      <c r="J57" s="254"/>
      <c r="K57" s="254"/>
      <c r="L57" s="254"/>
      <c r="M57" s="254"/>
      <c r="N57" s="254"/>
      <c r="O57" s="254"/>
      <c r="P57" s="254"/>
      <c r="Q57" s="254"/>
      <c r="R57" s="254"/>
      <c r="S57" s="254"/>
      <c r="T57" s="254"/>
      <c r="U57" s="254"/>
      <c r="V57" s="254"/>
      <c r="W57" s="254"/>
      <c r="X57" s="254"/>
      <c r="Y57" s="254"/>
      <c r="Z57" s="254"/>
      <c r="AA57" s="254"/>
      <c r="AB57" s="254"/>
      <c r="AC57" s="254"/>
      <c r="AD57" s="254"/>
      <c r="AE57" s="254"/>
      <c r="AF57" s="254"/>
      <c r="AG57" s="254"/>
      <c r="AH57" s="254"/>
      <c r="AI57" s="254"/>
      <c r="AJ57" s="254"/>
    </row>
    <row r="58" spans="1:36" x14ac:dyDescent="0.25">
      <c r="A58" s="234" t="s">
        <v>1690</v>
      </c>
      <c r="B58" s="234" t="s">
        <v>1757</v>
      </c>
      <c r="C58" s="234">
        <v>0</v>
      </c>
      <c r="D58" s="234">
        <v>0</v>
      </c>
      <c r="E58" s="234">
        <v>0</v>
      </c>
      <c r="F58" s="234">
        <v>0</v>
      </c>
      <c r="G58" s="234">
        <v>0</v>
      </c>
      <c r="H58" s="234">
        <v>0</v>
      </c>
      <c r="I58" s="234">
        <v>0</v>
      </c>
      <c r="J58" s="234">
        <v>0</v>
      </c>
      <c r="K58" s="234">
        <v>0</v>
      </c>
      <c r="L58" s="234">
        <v>0</v>
      </c>
      <c r="M58" s="234">
        <v>0</v>
      </c>
      <c r="N58" s="234">
        <v>0</v>
      </c>
      <c r="O58" s="234">
        <v>0</v>
      </c>
      <c r="P58" s="234">
        <v>0</v>
      </c>
      <c r="Q58" s="234">
        <v>0</v>
      </c>
      <c r="R58" s="234">
        <v>0</v>
      </c>
      <c r="S58" s="234">
        <v>0</v>
      </c>
      <c r="T58" s="234">
        <v>0</v>
      </c>
      <c r="U58" s="234">
        <v>0</v>
      </c>
      <c r="V58" s="234">
        <v>0</v>
      </c>
      <c r="W58" s="234">
        <v>0</v>
      </c>
      <c r="X58" s="234">
        <v>0</v>
      </c>
      <c r="Y58" s="234">
        <v>0</v>
      </c>
      <c r="Z58" s="234">
        <v>0</v>
      </c>
      <c r="AA58" s="234">
        <v>0</v>
      </c>
      <c r="AB58" s="234">
        <v>0</v>
      </c>
      <c r="AC58" s="234">
        <v>0</v>
      </c>
      <c r="AD58" s="234">
        <v>0</v>
      </c>
      <c r="AE58" s="234">
        <v>0</v>
      </c>
      <c r="AF58" s="234">
        <v>0</v>
      </c>
      <c r="AG58" s="234">
        <v>0</v>
      </c>
      <c r="AH58" s="234">
        <v>0</v>
      </c>
      <c r="AI58" s="234">
        <v>0</v>
      </c>
      <c r="AJ58" s="234"/>
    </row>
    <row r="59" spans="1:36" x14ac:dyDescent="0.25">
      <c r="A59" s="234" t="s">
        <v>1690</v>
      </c>
      <c r="B59" s="234" t="s">
        <v>1757</v>
      </c>
      <c r="C59" s="234">
        <v>0</v>
      </c>
      <c r="D59" s="234">
        <v>0</v>
      </c>
      <c r="E59" s="234">
        <v>0</v>
      </c>
      <c r="F59" s="234">
        <v>0</v>
      </c>
      <c r="G59" s="234">
        <v>0</v>
      </c>
      <c r="H59" s="234">
        <v>0</v>
      </c>
      <c r="I59" s="234">
        <v>0</v>
      </c>
      <c r="J59" s="234">
        <v>0</v>
      </c>
      <c r="K59" s="234">
        <v>0</v>
      </c>
      <c r="L59" s="234">
        <v>0</v>
      </c>
      <c r="M59" s="234">
        <v>0</v>
      </c>
      <c r="N59" s="234">
        <v>0</v>
      </c>
      <c r="O59" s="234">
        <v>0</v>
      </c>
      <c r="P59" s="234">
        <v>0</v>
      </c>
      <c r="Q59" s="234">
        <v>0</v>
      </c>
      <c r="R59" s="234">
        <v>0</v>
      </c>
      <c r="S59" s="234">
        <v>0</v>
      </c>
      <c r="T59" s="234">
        <v>0</v>
      </c>
      <c r="U59" s="234">
        <v>0</v>
      </c>
      <c r="V59" s="234">
        <v>0</v>
      </c>
      <c r="W59" s="234">
        <v>0</v>
      </c>
      <c r="X59" s="234">
        <v>0</v>
      </c>
      <c r="Y59" s="234">
        <v>0</v>
      </c>
      <c r="Z59" s="234">
        <v>0</v>
      </c>
      <c r="AA59" s="234">
        <v>0</v>
      </c>
      <c r="AB59" s="234">
        <v>0</v>
      </c>
      <c r="AC59" s="234">
        <v>0</v>
      </c>
      <c r="AD59" s="234">
        <v>0</v>
      </c>
      <c r="AE59" s="234">
        <v>0</v>
      </c>
      <c r="AF59" s="234">
        <v>0</v>
      </c>
      <c r="AG59" s="234">
        <v>0</v>
      </c>
      <c r="AH59" s="234">
        <v>0</v>
      </c>
      <c r="AI59" s="234">
        <v>0</v>
      </c>
      <c r="AJ59" s="234"/>
    </row>
    <row r="60" spans="1:36" x14ac:dyDescent="0.25">
      <c r="A60" s="234" t="s">
        <v>1690</v>
      </c>
      <c r="B60" s="234" t="s">
        <v>1757</v>
      </c>
      <c r="C60" s="234">
        <v>0</v>
      </c>
      <c r="D60" s="234">
        <v>0</v>
      </c>
      <c r="E60" s="234">
        <v>0</v>
      </c>
      <c r="F60" s="234">
        <v>0</v>
      </c>
      <c r="G60" s="234">
        <v>0</v>
      </c>
      <c r="H60" s="234">
        <v>0</v>
      </c>
      <c r="I60" s="234">
        <v>0</v>
      </c>
      <c r="J60" s="234">
        <v>0</v>
      </c>
      <c r="K60" s="234">
        <v>0</v>
      </c>
      <c r="L60" s="234">
        <v>0</v>
      </c>
      <c r="M60" s="234">
        <v>0</v>
      </c>
      <c r="N60" s="234">
        <v>0</v>
      </c>
      <c r="O60" s="234">
        <v>0</v>
      </c>
      <c r="P60" s="234">
        <v>0</v>
      </c>
      <c r="Q60" s="234">
        <v>0</v>
      </c>
      <c r="R60" s="234">
        <v>0</v>
      </c>
      <c r="S60" s="234">
        <v>0</v>
      </c>
      <c r="T60" s="234">
        <v>0</v>
      </c>
      <c r="U60" s="234">
        <v>0</v>
      </c>
      <c r="V60" s="234">
        <v>0</v>
      </c>
      <c r="W60" s="234">
        <v>0</v>
      </c>
      <c r="X60" s="234">
        <v>0</v>
      </c>
      <c r="Y60" s="234">
        <v>0</v>
      </c>
      <c r="Z60" s="234">
        <v>0</v>
      </c>
      <c r="AA60" s="234">
        <v>0</v>
      </c>
      <c r="AB60" s="234">
        <v>0</v>
      </c>
      <c r="AC60" s="234">
        <v>0</v>
      </c>
      <c r="AD60" s="234">
        <v>0</v>
      </c>
      <c r="AE60" s="234">
        <v>0</v>
      </c>
      <c r="AF60" s="234">
        <v>0</v>
      </c>
      <c r="AG60" s="234">
        <v>0</v>
      </c>
      <c r="AH60" s="234">
        <v>0</v>
      </c>
      <c r="AI60" s="234">
        <v>0</v>
      </c>
      <c r="AJ60" s="234"/>
    </row>
    <row r="61" spans="1:36" x14ac:dyDescent="0.25">
      <c r="A61" s="234" t="s">
        <v>1690</v>
      </c>
      <c r="B61" s="234" t="s">
        <v>1757</v>
      </c>
      <c r="C61" s="234">
        <v>0</v>
      </c>
      <c r="D61" s="234">
        <v>0</v>
      </c>
      <c r="E61" s="234">
        <v>0</v>
      </c>
      <c r="F61" s="234">
        <v>0</v>
      </c>
      <c r="G61" s="234">
        <v>0</v>
      </c>
      <c r="H61" s="234">
        <v>0</v>
      </c>
      <c r="I61" s="234">
        <v>0</v>
      </c>
      <c r="J61" s="234">
        <v>0</v>
      </c>
      <c r="K61" s="234">
        <v>0</v>
      </c>
      <c r="L61" s="234">
        <v>0</v>
      </c>
      <c r="M61" s="234">
        <v>0</v>
      </c>
      <c r="N61" s="234">
        <v>0</v>
      </c>
      <c r="O61" s="234">
        <v>0</v>
      </c>
      <c r="P61" s="234">
        <v>0</v>
      </c>
      <c r="Q61" s="234">
        <v>0</v>
      </c>
      <c r="R61" s="234">
        <v>0</v>
      </c>
      <c r="S61" s="234">
        <v>0</v>
      </c>
      <c r="T61" s="234">
        <v>0</v>
      </c>
      <c r="U61" s="234">
        <v>0</v>
      </c>
      <c r="V61" s="234">
        <v>0</v>
      </c>
      <c r="W61" s="234">
        <v>0</v>
      </c>
      <c r="X61" s="234">
        <v>0</v>
      </c>
      <c r="Y61" s="234">
        <v>0</v>
      </c>
      <c r="Z61" s="234">
        <v>0</v>
      </c>
      <c r="AA61" s="234">
        <v>0</v>
      </c>
      <c r="AB61" s="234">
        <v>0</v>
      </c>
      <c r="AC61" s="234">
        <v>0</v>
      </c>
      <c r="AD61" s="234">
        <v>0</v>
      </c>
      <c r="AE61" s="234">
        <v>0</v>
      </c>
      <c r="AF61" s="234">
        <v>0</v>
      </c>
      <c r="AG61" s="234">
        <v>0</v>
      </c>
      <c r="AH61" s="234">
        <v>0</v>
      </c>
      <c r="AI61" s="234">
        <v>0</v>
      </c>
      <c r="AJ61" s="234"/>
    </row>
    <row r="62" spans="1:36" x14ac:dyDescent="0.25">
      <c r="A62" s="234" t="s">
        <v>1690</v>
      </c>
      <c r="B62" s="234" t="s">
        <v>1757</v>
      </c>
      <c r="C62" s="234">
        <v>0</v>
      </c>
      <c r="D62" s="234">
        <v>0</v>
      </c>
      <c r="E62" s="234">
        <v>0</v>
      </c>
      <c r="F62" s="234">
        <v>0</v>
      </c>
      <c r="G62" s="234">
        <v>0</v>
      </c>
      <c r="H62" s="234">
        <v>0</v>
      </c>
      <c r="I62" s="234">
        <v>0</v>
      </c>
      <c r="J62" s="234">
        <v>0</v>
      </c>
      <c r="K62" s="234">
        <v>0</v>
      </c>
      <c r="L62" s="234">
        <v>0</v>
      </c>
      <c r="M62" s="234">
        <v>0</v>
      </c>
      <c r="N62" s="234">
        <v>0</v>
      </c>
      <c r="O62" s="234">
        <v>0</v>
      </c>
      <c r="P62" s="234">
        <v>0</v>
      </c>
      <c r="Q62" s="234">
        <v>0</v>
      </c>
      <c r="R62" s="234">
        <v>0</v>
      </c>
      <c r="S62" s="234">
        <v>0</v>
      </c>
      <c r="T62" s="234">
        <v>0</v>
      </c>
      <c r="U62" s="234">
        <v>0</v>
      </c>
      <c r="V62" s="234">
        <v>0</v>
      </c>
      <c r="W62" s="234">
        <v>0</v>
      </c>
      <c r="X62" s="234">
        <v>0</v>
      </c>
      <c r="Y62" s="234">
        <v>0</v>
      </c>
      <c r="Z62" s="234">
        <v>0</v>
      </c>
      <c r="AA62" s="234">
        <v>0</v>
      </c>
      <c r="AB62" s="234">
        <v>0</v>
      </c>
      <c r="AC62" s="234">
        <v>0</v>
      </c>
      <c r="AD62" s="234">
        <v>0</v>
      </c>
      <c r="AE62" s="234">
        <v>0</v>
      </c>
      <c r="AF62" s="234">
        <v>0</v>
      </c>
      <c r="AG62" s="234">
        <v>0</v>
      </c>
      <c r="AH62" s="234">
        <v>0</v>
      </c>
      <c r="AI62" s="234">
        <v>0</v>
      </c>
      <c r="AJ62" s="234"/>
    </row>
    <row r="63" spans="1:36" x14ac:dyDescent="0.25">
      <c r="A63" s="234" t="s">
        <v>1690</v>
      </c>
      <c r="B63" s="234" t="s">
        <v>1757</v>
      </c>
      <c r="C63" s="234">
        <v>0</v>
      </c>
      <c r="D63" s="234">
        <v>0</v>
      </c>
      <c r="E63" s="234">
        <v>0</v>
      </c>
      <c r="F63" s="234">
        <v>0</v>
      </c>
      <c r="G63" s="234">
        <v>0</v>
      </c>
      <c r="H63" s="234">
        <v>0</v>
      </c>
      <c r="I63" s="234">
        <v>0</v>
      </c>
      <c r="J63" s="234">
        <v>263083.8</v>
      </c>
      <c r="K63" s="234">
        <v>0</v>
      </c>
      <c r="L63" s="234">
        <v>0</v>
      </c>
      <c r="M63" s="234">
        <v>0</v>
      </c>
      <c r="N63" s="234">
        <v>0</v>
      </c>
      <c r="O63" s="234">
        <v>0</v>
      </c>
      <c r="P63" s="234">
        <v>0</v>
      </c>
      <c r="Q63" s="234">
        <v>0</v>
      </c>
      <c r="R63" s="234">
        <v>0</v>
      </c>
      <c r="S63" s="234">
        <v>0</v>
      </c>
      <c r="T63" s="234">
        <v>0</v>
      </c>
      <c r="U63" s="234">
        <v>0</v>
      </c>
      <c r="V63" s="234">
        <v>0</v>
      </c>
      <c r="W63" s="234">
        <v>0</v>
      </c>
      <c r="X63" s="234">
        <v>0</v>
      </c>
      <c r="Y63" s="234">
        <v>0</v>
      </c>
      <c r="Z63" s="234">
        <v>0</v>
      </c>
      <c r="AA63" s="234">
        <v>0</v>
      </c>
      <c r="AB63" s="234">
        <v>0</v>
      </c>
      <c r="AC63" s="234">
        <v>0</v>
      </c>
      <c r="AD63" s="234">
        <v>0</v>
      </c>
      <c r="AE63" s="234">
        <v>0</v>
      </c>
      <c r="AF63" s="234">
        <v>0</v>
      </c>
      <c r="AG63" s="234">
        <v>0</v>
      </c>
      <c r="AH63" s="234">
        <v>0</v>
      </c>
      <c r="AI63" s="234">
        <v>0</v>
      </c>
      <c r="AJ63" s="234"/>
    </row>
    <row r="64" spans="1:36" x14ac:dyDescent="0.25">
      <c r="A64" s="234" t="s">
        <v>1690</v>
      </c>
      <c r="B64" s="234" t="s">
        <v>1757</v>
      </c>
      <c r="C64" s="234">
        <v>0</v>
      </c>
      <c r="D64" s="234">
        <v>0</v>
      </c>
      <c r="E64" s="234">
        <v>0</v>
      </c>
      <c r="F64" s="234">
        <v>0</v>
      </c>
      <c r="G64" s="234">
        <v>0</v>
      </c>
      <c r="H64" s="234">
        <v>0</v>
      </c>
      <c r="I64" s="234">
        <v>0</v>
      </c>
      <c r="J64" s="234">
        <v>0</v>
      </c>
      <c r="K64" s="234">
        <v>263083.8</v>
      </c>
      <c r="L64" s="234">
        <v>0</v>
      </c>
      <c r="M64" s="234">
        <v>0</v>
      </c>
      <c r="N64" s="234">
        <v>0</v>
      </c>
      <c r="O64" s="234">
        <v>0</v>
      </c>
      <c r="P64" s="234">
        <v>0</v>
      </c>
      <c r="Q64" s="234">
        <v>0</v>
      </c>
      <c r="R64" s="234">
        <v>0</v>
      </c>
      <c r="S64" s="234">
        <v>0</v>
      </c>
      <c r="T64" s="234">
        <v>0</v>
      </c>
      <c r="U64" s="234">
        <v>0</v>
      </c>
      <c r="V64" s="234">
        <v>0</v>
      </c>
      <c r="W64" s="234">
        <v>0</v>
      </c>
      <c r="X64" s="234">
        <v>0</v>
      </c>
      <c r="Y64" s="234">
        <v>0</v>
      </c>
      <c r="Z64" s="234">
        <v>0</v>
      </c>
      <c r="AA64" s="234">
        <v>0</v>
      </c>
      <c r="AB64" s="234">
        <v>0</v>
      </c>
      <c r="AC64" s="234">
        <v>0</v>
      </c>
      <c r="AD64" s="234">
        <v>0</v>
      </c>
      <c r="AE64" s="234">
        <v>0</v>
      </c>
      <c r="AF64" s="234">
        <v>0</v>
      </c>
      <c r="AG64" s="234">
        <v>0</v>
      </c>
      <c r="AH64" s="234">
        <v>0</v>
      </c>
      <c r="AI64" s="234">
        <v>0</v>
      </c>
      <c r="AJ64" s="234"/>
    </row>
    <row r="65" spans="1:38" x14ac:dyDescent="0.25">
      <c r="A65" s="234" t="s">
        <v>1690</v>
      </c>
      <c r="B65" s="234" t="s">
        <v>1757</v>
      </c>
      <c r="C65" s="234">
        <v>0</v>
      </c>
      <c r="D65" s="234">
        <v>0</v>
      </c>
      <c r="E65" s="234">
        <v>0</v>
      </c>
      <c r="F65" s="234">
        <v>0</v>
      </c>
      <c r="G65" s="234">
        <v>0</v>
      </c>
      <c r="H65" s="234">
        <v>0</v>
      </c>
      <c r="I65" s="234">
        <v>0</v>
      </c>
      <c r="J65" s="234">
        <v>0</v>
      </c>
      <c r="K65" s="234">
        <v>0</v>
      </c>
      <c r="L65" s="234">
        <v>87694.6</v>
      </c>
      <c r="M65" s="234">
        <v>0</v>
      </c>
      <c r="N65" s="234">
        <v>0</v>
      </c>
      <c r="O65" s="234">
        <v>0</v>
      </c>
      <c r="P65" s="234">
        <v>0</v>
      </c>
      <c r="Q65" s="234">
        <v>0</v>
      </c>
      <c r="R65" s="234">
        <v>0</v>
      </c>
      <c r="S65" s="234">
        <v>0</v>
      </c>
      <c r="T65" s="234">
        <v>0</v>
      </c>
      <c r="U65" s="234">
        <v>0</v>
      </c>
      <c r="V65" s="234">
        <v>0</v>
      </c>
      <c r="W65" s="234">
        <v>0</v>
      </c>
      <c r="X65" s="234">
        <v>0</v>
      </c>
      <c r="Y65" s="234">
        <v>0</v>
      </c>
      <c r="Z65" s="234">
        <v>0</v>
      </c>
      <c r="AA65" s="234">
        <v>0</v>
      </c>
      <c r="AB65" s="234">
        <v>0</v>
      </c>
      <c r="AC65" s="234">
        <v>0</v>
      </c>
      <c r="AD65" s="234">
        <v>0</v>
      </c>
      <c r="AE65" s="234">
        <v>0</v>
      </c>
      <c r="AF65" s="234">
        <v>0</v>
      </c>
      <c r="AG65" s="234">
        <v>0</v>
      </c>
      <c r="AH65" s="234">
        <v>0</v>
      </c>
      <c r="AI65" s="234">
        <v>0</v>
      </c>
      <c r="AJ65" s="234"/>
    </row>
    <row r="66" spans="1:38" x14ac:dyDescent="0.25">
      <c r="A66" s="234" t="s">
        <v>1690</v>
      </c>
      <c r="B66" s="234" t="s">
        <v>1757</v>
      </c>
      <c r="C66" s="234">
        <v>0</v>
      </c>
      <c r="D66" s="234">
        <v>0</v>
      </c>
      <c r="E66" s="234">
        <v>0</v>
      </c>
      <c r="F66" s="234">
        <v>0</v>
      </c>
      <c r="G66" s="234">
        <v>0</v>
      </c>
      <c r="H66" s="234">
        <v>0</v>
      </c>
      <c r="I66" s="234">
        <v>0</v>
      </c>
      <c r="J66" s="234">
        <v>0</v>
      </c>
      <c r="K66" s="234">
        <v>0</v>
      </c>
      <c r="L66" s="234">
        <v>87694.6</v>
      </c>
      <c r="M66" s="234">
        <v>0</v>
      </c>
      <c r="N66" s="234">
        <v>0</v>
      </c>
      <c r="O66" s="234">
        <v>0</v>
      </c>
      <c r="P66" s="234">
        <v>0</v>
      </c>
      <c r="Q66" s="234">
        <v>0</v>
      </c>
      <c r="R66" s="234">
        <v>0</v>
      </c>
      <c r="S66" s="234">
        <v>0</v>
      </c>
      <c r="T66" s="234">
        <v>0</v>
      </c>
      <c r="U66" s="234">
        <v>0</v>
      </c>
      <c r="V66" s="234">
        <v>0</v>
      </c>
      <c r="W66" s="234">
        <v>0</v>
      </c>
      <c r="X66" s="234">
        <v>0</v>
      </c>
      <c r="Y66" s="234">
        <v>0</v>
      </c>
      <c r="Z66" s="234">
        <v>0</v>
      </c>
      <c r="AA66" s="234">
        <v>0</v>
      </c>
      <c r="AB66" s="234">
        <v>0</v>
      </c>
      <c r="AC66" s="234">
        <v>0</v>
      </c>
      <c r="AD66" s="234">
        <v>0</v>
      </c>
      <c r="AE66" s="234">
        <v>0</v>
      </c>
      <c r="AF66" s="234">
        <v>0</v>
      </c>
      <c r="AG66" s="234">
        <v>0</v>
      </c>
      <c r="AH66" s="234">
        <v>0</v>
      </c>
      <c r="AI66" s="234">
        <v>0</v>
      </c>
      <c r="AJ66" s="234"/>
    </row>
    <row r="67" spans="1:38" x14ac:dyDescent="0.25">
      <c r="A67" s="234" t="s">
        <v>1690</v>
      </c>
      <c r="B67" s="234" t="s">
        <v>1757</v>
      </c>
      <c r="C67" s="234">
        <v>0</v>
      </c>
      <c r="D67" s="234">
        <v>0</v>
      </c>
      <c r="E67" s="234">
        <v>0</v>
      </c>
      <c r="F67" s="234">
        <v>0</v>
      </c>
      <c r="G67" s="234">
        <v>0</v>
      </c>
      <c r="H67" s="234">
        <v>0</v>
      </c>
      <c r="I67" s="234">
        <v>0</v>
      </c>
      <c r="J67" s="234">
        <v>0</v>
      </c>
      <c r="K67" s="234">
        <v>0</v>
      </c>
      <c r="L67" s="234">
        <v>70155.679999999993</v>
      </c>
      <c r="M67" s="234">
        <v>0</v>
      </c>
      <c r="N67" s="234">
        <v>0</v>
      </c>
      <c r="O67" s="234">
        <v>0</v>
      </c>
      <c r="P67" s="234">
        <v>0</v>
      </c>
      <c r="Q67" s="234">
        <v>0</v>
      </c>
      <c r="R67" s="234">
        <v>0</v>
      </c>
      <c r="S67" s="234">
        <v>0</v>
      </c>
      <c r="T67" s="234">
        <v>0</v>
      </c>
      <c r="U67" s="234">
        <v>0</v>
      </c>
      <c r="V67" s="234">
        <v>0</v>
      </c>
      <c r="W67" s="234">
        <v>0</v>
      </c>
      <c r="X67" s="234">
        <v>0</v>
      </c>
      <c r="Y67" s="234">
        <v>0</v>
      </c>
      <c r="Z67" s="234">
        <v>0</v>
      </c>
      <c r="AA67" s="234">
        <v>0</v>
      </c>
      <c r="AB67" s="234">
        <v>0</v>
      </c>
      <c r="AC67" s="234">
        <v>0</v>
      </c>
      <c r="AD67" s="234">
        <v>0</v>
      </c>
      <c r="AE67" s="234">
        <v>0</v>
      </c>
      <c r="AF67" s="234">
        <v>0</v>
      </c>
      <c r="AG67" s="234">
        <v>0</v>
      </c>
      <c r="AH67" s="234">
        <v>0</v>
      </c>
      <c r="AI67" s="234">
        <v>0</v>
      </c>
      <c r="AJ67" s="234"/>
    </row>
    <row r="68" spans="1:38" x14ac:dyDescent="0.25">
      <c r="A68" s="234" t="s">
        <v>1690</v>
      </c>
      <c r="B68" s="234" t="s">
        <v>1757</v>
      </c>
      <c r="C68" s="234">
        <v>0</v>
      </c>
      <c r="D68" s="234">
        <v>0</v>
      </c>
      <c r="E68" s="234">
        <v>0</v>
      </c>
      <c r="F68" s="234">
        <v>0</v>
      </c>
      <c r="G68" s="234">
        <v>0</v>
      </c>
      <c r="H68" s="234">
        <v>0</v>
      </c>
      <c r="I68" s="234">
        <v>0</v>
      </c>
      <c r="J68" s="234">
        <v>0</v>
      </c>
      <c r="K68" s="234">
        <v>0</v>
      </c>
      <c r="L68" s="234">
        <v>0</v>
      </c>
      <c r="M68" s="234">
        <v>0</v>
      </c>
      <c r="N68" s="234">
        <v>87694.6</v>
      </c>
      <c r="O68" s="234">
        <v>0</v>
      </c>
      <c r="P68" s="234">
        <v>0</v>
      </c>
      <c r="Q68" s="234">
        <v>0</v>
      </c>
      <c r="R68" s="234">
        <v>0</v>
      </c>
      <c r="S68" s="234">
        <v>0</v>
      </c>
      <c r="T68" s="234">
        <v>0</v>
      </c>
      <c r="U68" s="234">
        <v>0</v>
      </c>
      <c r="V68" s="234">
        <v>0</v>
      </c>
      <c r="W68" s="234">
        <v>0</v>
      </c>
      <c r="X68" s="234">
        <v>0</v>
      </c>
      <c r="Y68" s="234">
        <v>0</v>
      </c>
      <c r="Z68" s="234">
        <v>0</v>
      </c>
      <c r="AA68" s="234">
        <v>0</v>
      </c>
      <c r="AB68" s="234">
        <v>0</v>
      </c>
      <c r="AC68" s="234">
        <v>0</v>
      </c>
      <c r="AD68" s="234">
        <v>0</v>
      </c>
      <c r="AE68" s="234">
        <v>0</v>
      </c>
      <c r="AF68" s="234">
        <v>0</v>
      </c>
      <c r="AG68" s="234">
        <v>0</v>
      </c>
      <c r="AH68" s="234">
        <v>0</v>
      </c>
      <c r="AI68" s="234">
        <v>0</v>
      </c>
      <c r="AJ68" s="234"/>
    </row>
    <row r="69" spans="1:38" x14ac:dyDescent="0.25">
      <c r="A69" s="234" t="s">
        <v>1690</v>
      </c>
      <c r="B69" s="234" t="s">
        <v>1757</v>
      </c>
      <c r="C69" s="234">
        <v>0</v>
      </c>
      <c r="D69" s="234">
        <v>0</v>
      </c>
      <c r="E69" s="234">
        <v>0</v>
      </c>
      <c r="F69" s="234">
        <v>0</v>
      </c>
      <c r="G69" s="234">
        <v>0</v>
      </c>
      <c r="H69" s="234">
        <v>0</v>
      </c>
      <c r="I69" s="234">
        <v>0</v>
      </c>
      <c r="J69" s="234">
        <v>0</v>
      </c>
      <c r="K69" s="234">
        <v>0</v>
      </c>
      <c r="L69" s="234">
        <v>0</v>
      </c>
      <c r="M69" s="234">
        <v>0</v>
      </c>
      <c r="N69" s="234">
        <v>8769.4599999999991</v>
      </c>
      <c r="O69" s="234">
        <v>0</v>
      </c>
      <c r="P69" s="234">
        <v>0</v>
      </c>
      <c r="Q69" s="234">
        <v>0</v>
      </c>
      <c r="R69" s="234">
        <v>0</v>
      </c>
      <c r="S69" s="234">
        <v>0</v>
      </c>
      <c r="T69" s="234">
        <v>0</v>
      </c>
      <c r="U69" s="234">
        <v>0</v>
      </c>
      <c r="V69" s="234">
        <v>0</v>
      </c>
      <c r="W69" s="234">
        <v>0</v>
      </c>
      <c r="X69" s="234">
        <v>0</v>
      </c>
      <c r="Y69" s="234">
        <v>0</v>
      </c>
      <c r="Z69" s="234">
        <v>0</v>
      </c>
      <c r="AA69" s="234">
        <v>0</v>
      </c>
      <c r="AB69" s="234">
        <v>0</v>
      </c>
      <c r="AC69" s="234">
        <v>0</v>
      </c>
      <c r="AD69" s="234">
        <v>0</v>
      </c>
      <c r="AE69" s="234">
        <v>0</v>
      </c>
      <c r="AF69" s="234">
        <v>0</v>
      </c>
      <c r="AG69" s="234">
        <v>0</v>
      </c>
      <c r="AH69" s="234">
        <v>0</v>
      </c>
      <c r="AI69" s="234">
        <v>0</v>
      </c>
      <c r="AJ69" s="234"/>
    </row>
    <row r="70" spans="1:38" x14ac:dyDescent="0.25">
      <c r="A70" s="234" t="s">
        <v>1690</v>
      </c>
      <c r="B70" s="234" t="s">
        <v>1757</v>
      </c>
      <c r="C70" s="234">
        <v>0</v>
      </c>
      <c r="D70" s="234">
        <v>0</v>
      </c>
      <c r="E70" s="234">
        <v>0</v>
      </c>
      <c r="F70" s="234">
        <v>0</v>
      </c>
      <c r="G70" s="234">
        <v>0</v>
      </c>
      <c r="H70" s="234">
        <v>0</v>
      </c>
      <c r="I70" s="234">
        <v>0</v>
      </c>
      <c r="J70" s="234">
        <v>0</v>
      </c>
      <c r="K70" s="234">
        <v>0</v>
      </c>
      <c r="L70" s="234">
        <v>0</v>
      </c>
      <c r="M70" s="234">
        <v>0</v>
      </c>
      <c r="N70" s="234">
        <v>0</v>
      </c>
      <c r="O70" s="234">
        <v>8769.4599999999991</v>
      </c>
      <c r="P70" s="234">
        <v>0</v>
      </c>
      <c r="Q70" s="234">
        <v>0</v>
      </c>
      <c r="R70" s="234">
        <v>0</v>
      </c>
      <c r="S70" s="234">
        <v>0</v>
      </c>
      <c r="T70" s="234">
        <v>0</v>
      </c>
      <c r="U70" s="234">
        <v>0</v>
      </c>
      <c r="V70" s="234">
        <v>0</v>
      </c>
      <c r="W70" s="234">
        <v>0</v>
      </c>
      <c r="X70" s="234">
        <v>0</v>
      </c>
      <c r="Y70" s="234">
        <v>0</v>
      </c>
      <c r="Z70" s="234">
        <v>0</v>
      </c>
      <c r="AA70" s="234">
        <v>0</v>
      </c>
      <c r="AB70" s="234">
        <v>0</v>
      </c>
      <c r="AC70" s="234">
        <v>0</v>
      </c>
      <c r="AD70" s="234">
        <v>0</v>
      </c>
      <c r="AE70" s="234">
        <v>0</v>
      </c>
      <c r="AF70" s="234">
        <v>0</v>
      </c>
      <c r="AG70" s="234">
        <v>0</v>
      </c>
      <c r="AH70" s="234">
        <v>0</v>
      </c>
      <c r="AI70" s="234">
        <v>0</v>
      </c>
      <c r="AJ70" s="234"/>
    </row>
    <row r="71" spans="1:38" s="7" customFormat="1" x14ac:dyDescent="0.25">
      <c r="A71" s="237"/>
      <c r="B71" s="237" t="s">
        <v>1758</v>
      </c>
      <c r="C71" s="237">
        <v>0</v>
      </c>
      <c r="D71" s="237">
        <v>0</v>
      </c>
      <c r="E71" s="237">
        <v>0</v>
      </c>
      <c r="F71" s="237">
        <v>0</v>
      </c>
      <c r="G71" s="237">
        <v>0</v>
      </c>
      <c r="H71" s="237">
        <v>0</v>
      </c>
      <c r="I71" s="237">
        <v>0</v>
      </c>
      <c r="J71" s="237">
        <v>263083.8</v>
      </c>
      <c r="K71" s="237">
        <v>263083.8</v>
      </c>
      <c r="L71" s="237">
        <v>245544.88</v>
      </c>
      <c r="M71" s="237">
        <v>0</v>
      </c>
      <c r="N71" s="237">
        <v>96464.06</v>
      </c>
      <c r="O71" s="237">
        <v>8769.4599999999991</v>
      </c>
      <c r="P71" s="237">
        <v>0</v>
      </c>
      <c r="Q71" s="237">
        <v>0</v>
      </c>
      <c r="R71" s="237">
        <v>0</v>
      </c>
      <c r="S71" s="237">
        <v>0</v>
      </c>
      <c r="T71" s="237">
        <v>0</v>
      </c>
      <c r="U71" s="237">
        <v>0</v>
      </c>
      <c r="V71" s="237">
        <v>0</v>
      </c>
      <c r="W71" s="237">
        <v>0</v>
      </c>
      <c r="X71" s="237">
        <v>0</v>
      </c>
      <c r="Y71" s="237">
        <v>0</v>
      </c>
      <c r="Z71" s="237">
        <v>0</v>
      </c>
      <c r="AA71" s="237">
        <v>0</v>
      </c>
      <c r="AB71" s="237">
        <v>0</v>
      </c>
      <c r="AC71" s="237">
        <v>0</v>
      </c>
      <c r="AD71" s="237">
        <v>0</v>
      </c>
      <c r="AE71" s="237">
        <v>0</v>
      </c>
      <c r="AF71" s="237">
        <v>0</v>
      </c>
      <c r="AG71" s="237">
        <v>0</v>
      </c>
      <c r="AH71" s="237">
        <v>0</v>
      </c>
      <c r="AI71" s="237">
        <v>0</v>
      </c>
      <c r="AJ71" s="237">
        <v>876946</v>
      </c>
      <c r="AK71" s="256" t="s">
        <v>1706</v>
      </c>
      <c r="AL71" s="256" t="b">
        <f>AK72=AJ76</f>
        <v>1</v>
      </c>
    </row>
    <row r="72" spans="1:38" x14ac:dyDescent="0.25">
      <c r="A72" s="234"/>
      <c r="B72" s="234"/>
      <c r="C72" s="234"/>
      <c r="D72" s="234"/>
      <c r="E72" s="234"/>
      <c r="F72" s="234"/>
      <c r="G72" s="234"/>
      <c r="H72" s="234"/>
      <c r="I72" s="234"/>
      <c r="J72" s="234"/>
      <c r="K72" s="234"/>
      <c r="L72" s="234"/>
      <c r="M72" s="234"/>
      <c r="N72" s="234"/>
      <c r="O72" s="234"/>
      <c r="P72" s="234"/>
      <c r="Q72" s="234"/>
      <c r="R72" s="234"/>
      <c r="S72" s="234"/>
      <c r="T72" s="234"/>
      <c r="U72" s="234"/>
      <c r="V72" s="234"/>
      <c r="W72" s="234"/>
      <c r="X72" s="234"/>
      <c r="Y72" s="234"/>
      <c r="Z72" s="234"/>
      <c r="AA72" s="234"/>
      <c r="AB72" s="234"/>
      <c r="AC72" s="234"/>
      <c r="AD72" s="234"/>
      <c r="AE72" s="234"/>
      <c r="AF72" s="234"/>
      <c r="AG72" s="234"/>
      <c r="AH72" s="234"/>
      <c r="AI72" s="234"/>
      <c r="AJ72" s="233">
        <f>AJ56+AJ71</f>
        <v>5052034.75</v>
      </c>
      <c r="AK72" s="257">
        <f>AJ26+AJ72</f>
        <v>7033234.79</v>
      </c>
      <c r="AL72" s="258"/>
    </row>
    <row r="73" spans="1:38" x14ac:dyDescent="0.25">
      <c r="A73" s="255"/>
      <c r="B73" s="255"/>
      <c r="C73" s="255"/>
      <c r="D73" s="255"/>
      <c r="E73" s="255"/>
      <c r="F73" s="255"/>
      <c r="G73" s="255"/>
      <c r="H73" s="255"/>
      <c r="I73" s="255"/>
      <c r="J73" s="255"/>
      <c r="K73" s="255"/>
      <c r="L73" s="255"/>
      <c r="M73" s="255"/>
      <c r="N73" s="255"/>
      <c r="O73" s="255"/>
      <c r="P73" s="255"/>
      <c r="Q73" s="255"/>
      <c r="R73" s="255"/>
      <c r="S73" s="255"/>
      <c r="T73" s="255"/>
      <c r="U73" s="255"/>
      <c r="V73" s="255"/>
      <c r="W73" s="255"/>
      <c r="X73" s="255"/>
      <c r="Y73" s="255"/>
      <c r="Z73" s="255"/>
      <c r="AA73" s="255"/>
      <c r="AB73" s="255"/>
      <c r="AC73" s="255"/>
      <c r="AD73" s="255"/>
      <c r="AE73" s="255"/>
      <c r="AF73" s="255"/>
      <c r="AG73" s="255"/>
      <c r="AH73" s="255"/>
      <c r="AI73" s="255"/>
      <c r="AJ73" s="255"/>
    </row>
    <row r="74" spans="1:38" x14ac:dyDescent="0.25">
      <c r="A74" s="255"/>
      <c r="B74" s="255"/>
      <c r="C74" s="255"/>
      <c r="D74" s="255"/>
      <c r="E74" s="255"/>
      <c r="F74" s="255"/>
      <c r="G74" s="255"/>
      <c r="H74" s="255"/>
      <c r="I74" s="255"/>
      <c r="J74" s="255"/>
      <c r="K74" s="255"/>
      <c r="L74" s="255"/>
      <c r="M74" s="255"/>
      <c r="N74" s="255"/>
      <c r="O74" s="255"/>
      <c r="P74" s="255"/>
      <c r="Q74" s="255"/>
      <c r="R74" s="255"/>
      <c r="S74" s="255"/>
      <c r="T74" s="255"/>
      <c r="U74" s="255"/>
      <c r="V74" s="255"/>
      <c r="W74" s="255"/>
      <c r="X74" s="255"/>
      <c r="Y74" s="255"/>
      <c r="Z74" s="255"/>
      <c r="AA74" s="255"/>
      <c r="AB74" s="255"/>
      <c r="AC74" s="255"/>
      <c r="AD74" s="255"/>
      <c r="AE74" s="255"/>
      <c r="AF74" s="255"/>
      <c r="AG74" s="255"/>
      <c r="AH74" s="255"/>
      <c r="AI74" s="255"/>
      <c r="AJ74" s="255"/>
    </row>
    <row r="75" spans="1:38" ht="52.2" x14ac:dyDescent="0.25">
      <c r="A75" s="252"/>
      <c r="B75" s="264" t="s">
        <v>1779</v>
      </c>
      <c r="C75" s="240" t="s">
        <v>1708</v>
      </c>
      <c r="D75" s="240" t="s">
        <v>1709</v>
      </c>
      <c r="E75" s="240" t="s">
        <v>1710</v>
      </c>
      <c r="F75" s="241" t="s">
        <v>1711</v>
      </c>
      <c r="G75" s="241" t="s">
        <v>1712</v>
      </c>
      <c r="H75" s="241" t="s">
        <v>1713</v>
      </c>
      <c r="I75" s="241" t="s">
        <v>1714</v>
      </c>
      <c r="J75" s="241" t="s">
        <v>1715</v>
      </c>
      <c r="K75" s="241" t="s">
        <v>1716</v>
      </c>
      <c r="L75" s="242" t="s">
        <v>1717</v>
      </c>
      <c r="M75" s="241" t="s">
        <v>1718</v>
      </c>
      <c r="N75" s="241" t="s">
        <v>77</v>
      </c>
      <c r="O75" s="241" t="s">
        <v>78</v>
      </c>
      <c r="P75" s="241" t="s">
        <v>79</v>
      </c>
      <c r="Q75" s="241" t="s">
        <v>80</v>
      </c>
      <c r="R75" s="241" t="s">
        <v>81</v>
      </c>
      <c r="S75" s="241" t="s">
        <v>82</v>
      </c>
      <c r="T75" s="241" t="s">
        <v>83</v>
      </c>
      <c r="U75" s="241" t="s">
        <v>84</v>
      </c>
      <c r="V75" s="241" t="s">
        <v>85</v>
      </c>
      <c r="W75" s="241" t="s">
        <v>1719</v>
      </c>
      <c r="X75" s="241" t="s">
        <v>1720</v>
      </c>
      <c r="Y75" s="241" t="s">
        <v>1721</v>
      </c>
      <c r="Z75" s="241" t="s">
        <v>1722</v>
      </c>
      <c r="AA75" s="241" t="s">
        <v>1723</v>
      </c>
      <c r="AB75" s="241" t="s">
        <v>1724</v>
      </c>
      <c r="AC75" s="241" t="s">
        <v>1725</v>
      </c>
      <c r="AD75" s="241" t="s">
        <v>1726</v>
      </c>
      <c r="AE75" s="241" t="s">
        <v>1727</v>
      </c>
      <c r="AF75" s="241" t="s">
        <v>1728</v>
      </c>
      <c r="AG75" s="241" t="s">
        <v>1729</v>
      </c>
      <c r="AH75" s="241" t="s">
        <v>1730</v>
      </c>
      <c r="AI75" s="241" t="s">
        <v>1731</v>
      </c>
      <c r="AJ75" s="253" t="s">
        <v>33</v>
      </c>
    </row>
    <row r="76" spans="1:38" x14ac:dyDescent="0.25">
      <c r="C76" s="234">
        <f>C9+C18+C25+C56+C71</f>
        <v>0</v>
      </c>
      <c r="D76" s="234">
        <f t="shared" ref="D76:AI76" si="3">D9+D18+D25+D56+D71</f>
        <v>0</v>
      </c>
      <c r="E76" s="234">
        <f t="shared" si="3"/>
        <v>0</v>
      </c>
      <c r="F76" s="234">
        <f t="shared" si="3"/>
        <v>0</v>
      </c>
      <c r="G76" s="234">
        <f t="shared" si="3"/>
        <v>50000</v>
      </c>
      <c r="H76" s="234">
        <f t="shared" si="3"/>
        <v>738520</v>
      </c>
      <c r="I76" s="234">
        <f t="shared" si="3"/>
        <v>209993.5</v>
      </c>
      <c r="J76" s="234">
        <f t="shared" si="3"/>
        <v>2988380.58</v>
      </c>
      <c r="K76" s="234">
        <f t="shared" si="3"/>
        <v>1097558.6200000001</v>
      </c>
      <c r="L76" s="234">
        <f t="shared" si="3"/>
        <v>1101504.21</v>
      </c>
      <c r="M76" s="234">
        <f t="shared" si="3"/>
        <v>232623.59999999998</v>
      </c>
      <c r="N76" s="234">
        <f t="shared" si="3"/>
        <v>197931.61</v>
      </c>
      <c r="O76" s="234">
        <f t="shared" si="3"/>
        <v>31109.21</v>
      </c>
      <c r="P76" s="234">
        <f t="shared" si="3"/>
        <v>0</v>
      </c>
      <c r="Q76" s="234">
        <f t="shared" si="3"/>
        <v>0</v>
      </c>
      <c r="R76" s="234">
        <f t="shared" si="3"/>
        <v>0</v>
      </c>
      <c r="S76" s="234">
        <f t="shared" si="3"/>
        <v>0</v>
      </c>
      <c r="T76" s="234">
        <f t="shared" si="3"/>
        <v>0</v>
      </c>
      <c r="U76" s="234">
        <f t="shared" si="3"/>
        <v>0</v>
      </c>
      <c r="V76" s="234">
        <f t="shared" si="3"/>
        <v>0</v>
      </c>
      <c r="W76" s="234">
        <f t="shared" si="3"/>
        <v>0</v>
      </c>
      <c r="X76" s="234">
        <f t="shared" si="3"/>
        <v>0</v>
      </c>
      <c r="Y76" s="234">
        <f t="shared" si="3"/>
        <v>0</v>
      </c>
      <c r="Z76" s="234">
        <f t="shared" si="3"/>
        <v>0</v>
      </c>
      <c r="AA76" s="234">
        <f t="shared" si="3"/>
        <v>0</v>
      </c>
      <c r="AB76" s="234">
        <f t="shared" si="3"/>
        <v>0</v>
      </c>
      <c r="AC76" s="234">
        <f t="shared" si="3"/>
        <v>0</v>
      </c>
      <c r="AD76" s="234">
        <f t="shared" si="3"/>
        <v>75520.45</v>
      </c>
      <c r="AE76" s="234">
        <f t="shared" si="3"/>
        <v>241102.45</v>
      </c>
      <c r="AF76" s="234">
        <f t="shared" si="3"/>
        <v>68990.559999999998</v>
      </c>
      <c r="AG76" s="234">
        <f t="shared" si="3"/>
        <v>0</v>
      </c>
      <c r="AH76" s="234">
        <f t="shared" si="3"/>
        <v>0</v>
      </c>
      <c r="AI76" s="234">
        <f t="shared" si="3"/>
        <v>0</v>
      </c>
      <c r="AJ76" s="259">
        <f>AJ9+AJ18+AJ25+AJ56+AJ71</f>
        <v>7033234.79</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96"/>
  <sheetViews>
    <sheetView topLeftCell="I41" zoomScale="80" zoomScaleNormal="80" workbookViewId="0">
      <selection activeCell="U47" sqref="U47"/>
    </sheetView>
  </sheetViews>
  <sheetFormatPr defaultColWidth="9.109375" defaultRowHeight="14.4" x14ac:dyDescent="0.3"/>
  <cols>
    <col min="1" max="2" width="0" style="100" hidden="1" customWidth="1"/>
    <col min="3" max="3" width="16.44140625" style="100" hidden="1" customWidth="1"/>
    <col min="4" max="5" width="16.44140625" style="100" customWidth="1"/>
    <col min="6" max="6" width="15.5546875" style="100" bestFit="1" customWidth="1"/>
    <col min="7" max="8" width="15.5546875" style="100" customWidth="1"/>
    <col min="9" max="9" width="16.88671875" style="100" bestFit="1" customWidth="1"/>
    <col min="10" max="11" width="16.88671875" style="100" customWidth="1"/>
    <col min="12" max="12" width="15.5546875" style="100" bestFit="1" customWidth="1"/>
    <col min="13" max="14" width="15.5546875" style="100" customWidth="1"/>
    <col min="15" max="15" width="15.5546875" style="100" bestFit="1" customWidth="1"/>
    <col min="16" max="17" width="15.5546875" style="100" customWidth="1"/>
    <col min="18" max="18" width="14" style="100" bestFit="1" customWidth="1"/>
    <col min="19" max="20" width="12.44140625" style="100" hidden="1" customWidth="1"/>
    <col min="21" max="21" width="54.5546875" style="100" customWidth="1"/>
    <col min="22" max="22" width="3.5546875" style="100" hidden="1" customWidth="1"/>
    <col min="23" max="23" width="43.5546875" style="100" bestFit="1" customWidth="1"/>
    <col min="24" max="24" width="29.88671875" style="100" customWidth="1"/>
    <col min="25" max="25" width="9.109375" style="100"/>
    <col min="26" max="26" width="18.88671875" style="100" bestFit="1" customWidth="1"/>
    <col min="27" max="27" width="15.109375" style="100" bestFit="1" customWidth="1"/>
    <col min="28" max="16384" width="9.109375" style="100"/>
  </cols>
  <sheetData>
    <row r="1" spans="1:26" ht="15.6" hidden="1" x14ac:dyDescent="0.3">
      <c r="A1" s="79" t="s">
        <v>1651</v>
      </c>
      <c r="B1" s="79" t="s">
        <v>1652</v>
      </c>
      <c r="C1" s="83" t="s">
        <v>1653</v>
      </c>
      <c r="D1" s="82" t="s">
        <v>1654</v>
      </c>
      <c r="E1" s="79" t="s">
        <v>1655</v>
      </c>
      <c r="F1" s="83" t="s">
        <v>1656</v>
      </c>
      <c r="G1" s="82" t="s">
        <v>1657</v>
      </c>
      <c r="H1" s="79" t="s">
        <v>1658</v>
      </c>
      <c r="I1" s="83" t="s">
        <v>1659</v>
      </c>
      <c r="J1" s="82" t="s">
        <v>1660</v>
      </c>
      <c r="K1" s="79" t="s">
        <v>1661</v>
      </c>
      <c r="L1" s="83" t="s">
        <v>1662</v>
      </c>
      <c r="M1" s="82" t="s">
        <v>1663</v>
      </c>
      <c r="N1" s="79" t="s">
        <v>1664</v>
      </c>
      <c r="O1" s="83" t="s">
        <v>1665</v>
      </c>
      <c r="P1" s="82" t="s">
        <v>1666</v>
      </c>
      <c r="Q1" s="79" t="s">
        <v>1667</v>
      </c>
      <c r="R1" s="79" t="s">
        <v>1668</v>
      </c>
      <c r="U1" s="132"/>
    </row>
    <row r="2" spans="1:26" hidden="1" x14ac:dyDescent="0.3">
      <c r="A2" s="668" t="s">
        <v>1669</v>
      </c>
      <c r="B2" s="668"/>
      <c r="C2" s="668"/>
      <c r="D2" s="669" t="s">
        <v>1670</v>
      </c>
      <c r="E2" s="666"/>
      <c r="F2" s="670"/>
      <c r="G2" s="666" t="s">
        <v>1671</v>
      </c>
      <c r="H2" s="666"/>
      <c r="I2" s="670"/>
      <c r="J2" s="666" t="s">
        <v>1672</v>
      </c>
      <c r="K2" s="666"/>
      <c r="L2" s="670"/>
      <c r="M2" s="666" t="s">
        <v>1673</v>
      </c>
      <c r="N2" s="666"/>
      <c r="O2" s="670"/>
      <c r="P2" s="666" t="s">
        <v>1674</v>
      </c>
      <c r="Q2" s="666"/>
      <c r="R2" s="667"/>
      <c r="S2" s="128" t="s">
        <v>1675</v>
      </c>
      <c r="T2" s="131" t="s">
        <v>1780</v>
      </c>
      <c r="U2" s="130" t="s">
        <v>1676</v>
      </c>
      <c r="V2" s="129"/>
      <c r="W2" s="128" t="s">
        <v>1677</v>
      </c>
      <c r="X2" s="127" t="s">
        <v>54</v>
      </c>
      <c r="Y2" s="126"/>
      <c r="Z2" s="125" t="s">
        <v>1679</v>
      </c>
    </row>
    <row r="3" spans="1:26" hidden="1" x14ac:dyDescent="0.3">
      <c r="A3" s="115"/>
      <c r="B3" s="115"/>
      <c r="C3" s="117"/>
      <c r="D3" s="116"/>
      <c r="E3" s="115"/>
      <c r="F3" s="114">
        <v>37858.699999999997</v>
      </c>
      <c r="G3" s="124"/>
      <c r="H3" s="123"/>
      <c r="I3" s="201"/>
      <c r="J3" s="110"/>
      <c r="K3" s="109"/>
      <c r="L3" s="111"/>
      <c r="M3" s="110"/>
      <c r="N3" s="197"/>
      <c r="O3" s="111"/>
      <c r="P3" s="110"/>
      <c r="Q3" s="109"/>
      <c r="R3" s="109"/>
      <c r="S3" s="109"/>
      <c r="T3" s="119"/>
      <c r="U3" s="118" t="s">
        <v>1781</v>
      </c>
      <c r="V3" s="107"/>
      <c r="W3" s="106">
        <v>43090</v>
      </c>
      <c r="X3" s="107" t="s">
        <v>1754</v>
      </c>
      <c r="Y3" s="104"/>
      <c r="Z3" s="122">
        <v>37858.699999999997</v>
      </c>
    </row>
    <row r="4" spans="1:26" hidden="1" x14ac:dyDescent="0.3">
      <c r="A4" s="115"/>
      <c r="B4" s="115"/>
      <c r="C4" s="117"/>
      <c r="D4" s="116"/>
      <c r="E4" s="115"/>
      <c r="F4" s="190"/>
      <c r="G4" s="185"/>
      <c r="H4" s="109"/>
      <c r="I4" s="187">
        <f>Z4</f>
        <v>94646.75</v>
      </c>
      <c r="J4" s="110"/>
      <c r="K4" s="109"/>
      <c r="L4" s="111"/>
      <c r="M4" s="189"/>
      <c r="N4" s="109"/>
      <c r="O4" s="120"/>
      <c r="P4" s="110"/>
      <c r="Q4" s="109"/>
      <c r="R4" s="109"/>
      <c r="S4" s="109"/>
      <c r="T4" s="119"/>
      <c r="U4" s="118" t="s">
        <v>1782</v>
      </c>
      <c r="V4" s="107"/>
      <c r="W4" s="106">
        <f>W3+4*7</f>
        <v>43118</v>
      </c>
      <c r="X4" s="107" t="s">
        <v>1754</v>
      </c>
      <c r="Y4" s="104"/>
      <c r="Z4" s="122">
        <v>94646.75</v>
      </c>
    </row>
    <row r="5" spans="1:26" hidden="1" x14ac:dyDescent="0.3">
      <c r="A5" s="115"/>
      <c r="B5" s="115"/>
      <c r="C5" s="111"/>
      <c r="D5" s="110"/>
      <c r="E5" s="109"/>
      <c r="F5" s="111"/>
      <c r="G5" s="110"/>
      <c r="H5" s="109"/>
      <c r="I5" s="191"/>
      <c r="J5" s="110"/>
      <c r="L5" s="187">
        <f>Z5</f>
        <v>94646.75</v>
      </c>
      <c r="M5" s="194"/>
      <c r="N5" s="115"/>
      <c r="O5" s="120"/>
      <c r="P5" s="110"/>
      <c r="Q5" s="109"/>
      <c r="R5" s="109"/>
      <c r="S5" s="109"/>
      <c r="T5" s="119"/>
      <c r="U5" s="118" t="s">
        <v>1783</v>
      </c>
      <c r="V5" s="107"/>
      <c r="W5" s="106">
        <v>43202</v>
      </c>
      <c r="X5" s="107" t="s">
        <v>1754</v>
      </c>
      <c r="Y5" s="104"/>
      <c r="Z5" s="122">
        <v>94646.75</v>
      </c>
    </row>
    <row r="6" spans="1:26" hidden="1" x14ac:dyDescent="0.3">
      <c r="A6" s="115"/>
      <c r="B6" s="115"/>
      <c r="C6" s="111"/>
      <c r="D6" s="110"/>
      <c r="E6" s="109"/>
      <c r="F6" s="111"/>
      <c r="G6" s="110"/>
      <c r="H6" s="109"/>
      <c r="I6" s="111"/>
      <c r="J6" s="110"/>
      <c r="K6" s="109"/>
      <c r="L6" s="191"/>
      <c r="M6" s="189"/>
      <c r="N6" s="115"/>
      <c r="O6" s="187">
        <f>Z6</f>
        <v>94646.75</v>
      </c>
      <c r="P6" s="110"/>
      <c r="Q6" s="109"/>
      <c r="R6" s="109"/>
      <c r="S6" s="109"/>
      <c r="T6" s="119"/>
      <c r="U6" s="118" t="s">
        <v>1784</v>
      </c>
      <c r="V6" s="107"/>
      <c r="W6" s="106">
        <v>43314</v>
      </c>
      <c r="X6" s="107" t="s">
        <v>1754</v>
      </c>
      <c r="Y6" s="104"/>
      <c r="Z6" s="122">
        <v>94646.75</v>
      </c>
    </row>
    <row r="7" spans="1:26" hidden="1" x14ac:dyDescent="0.3">
      <c r="A7" s="115"/>
      <c r="B7" s="115"/>
      <c r="C7" s="111"/>
      <c r="D7" s="110"/>
      <c r="E7" s="109"/>
      <c r="F7" s="111"/>
      <c r="G7" s="110"/>
      <c r="H7" s="109"/>
      <c r="I7" s="111"/>
      <c r="J7" s="110"/>
      <c r="K7" s="109"/>
      <c r="L7" s="111"/>
      <c r="M7" s="189"/>
      <c r="N7" s="115"/>
      <c r="O7" s="196"/>
      <c r="Q7" s="188">
        <f>Z7</f>
        <v>37858.699999999997</v>
      </c>
      <c r="R7" s="110"/>
      <c r="S7" s="109"/>
      <c r="T7" s="119"/>
      <c r="U7" s="118" t="s">
        <v>1785</v>
      </c>
      <c r="V7" s="107"/>
      <c r="W7" s="106">
        <v>43356</v>
      </c>
      <c r="X7" s="107" t="s">
        <v>1754</v>
      </c>
      <c r="Y7" s="104"/>
      <c r="Z7" s="122">
        <v>37858.699999999997</v>
      </c>
    </row>
    <row r="8" spans="1:26" hidden="1" x14ac:dyDescent="0.3">
      <c r="A8" s="115"/>
      <c r="B8" s="115"/>
      <c r="C8" s="111"/>
      <c r="D8" s="110"/>
      <c r="E8" s="109"/>
      <c r="F8" s="193"/>
      <c r="G8" s="110"/>
      <c r="H8" s="109"/>
      <c r="I8" s="111"/>
      <c r="J8" s="110"/>
      <c r="K8" s="109"/>
      <c r="L8" s="111"/>
      <c r="M8" s="189"/>
      <c r="N8" s="115"/>
      <c r="O8" s="120"/>
      <c r="Q8" s="188">
        <f>Z8</f>
        <v>18929.349999999999</v>
      </c>
      <c r="S8" s="109"/>
      <c r="T8" s="119"/>
      <c r="U8" s="118" t="s">
        <v>1786</v>
      </c>
      <c r="V8" s="107"/>
      <c r="W8" s="106">
        <v>43384</v>
      </c>
      <c r="X8" s="107" t="s">
        <v>1754</v>
      </c>
      <c r="Y8" s="104"/>
      <c r="Z8" s="122">
        <v>18929.349999999999</v>
      </c>
    </row>
    <row r="9" spans="1:26" hidden="1" x14ac:dyDescent="0.3">
      <c r="A9" s="115"/>
      <c r="B9" s="115"/>
      <c r="C9" s="117"/>
      <c r="D9" s="116"/>
      <c r="E9" s="151"/>
      <c r="F9" s="114">
        <f>Z9</f>
        <v>44679.5</v>
      </c>
      <c r="G9" s="113"/>
      <c r="H9" s="115"/>
      <c r="I9" s="191"/>
      <c r="J9" s="110"/>
      <c r="K9" s="109"/>
      <c r="L9" s="111"/>
      <c r="M9" s="189"/>
      <c r="N9" s="109"/>
      <c r="O9" s="120"/>
      <c r="P9" s="110"/>
      <c r="Q9" s="109"/>
      <c r="R9" s="109"/>
      <c r="S9" s="109"/>
      <c r="T9" s="119"/>
      <c r="U9" s="118" t="s">
        <v>1787</v>
      </c>
      <c r="V9" s="107"/>
      <c r="W9" s="106">
        <v>43090</v>
      </c>
      <c r="X9" s="107" t="s">
        <v>1754</v>
      </c>
      <c r="Y9" s="104"/>
      <c r="Z9" s="103">
        <v>44679.5</v>
      </c>
    </row>
    <row r="10" spans="1:26" hidden="1" x14ac:dyDescent="0.3">
      <c r="A10" s="115"/>
      <c r="B10" s="115"/>
      <c r="C10" s="117"/>
      <c r="D10" s="116"/>
      <c r="E10" s="151"/>
      <c r="F10" s="190"/>
      <c r="G10" s="113"/>
      <c r="H10" s="115"/>
      <c r="I10" s="187">
        <f>Z10</f>
        <v>111698.75</v>
      </c>
      <c r="J10" s="110"/>
      <c r="K10" s="109"/>
      <c r="L10" s="111"/>
      <c r="M10" s="189"/>
      <c r="N10" s="109"/>
      <c r="O10" s="111"/>
      <c r="P10" s="110"/>
      <c r="Q10" s="109"/>
      <c r="R10" s="109"/>
      <c r="S10" s="109"/>
      <c r="T10" s="119"/>
      <c r="U10" s="118" t="s">
        <v>1788</v>
      </c>
      <c r="V10" s="107"/>
      <c r="W10" s="106">
        <f>W9+4*7</f>
        <v>43118</v>
      </c>
      <c r="X10" s="107" t="s">
        <v>1754</v>
      </c>
      <c r="Y10" s="104"/>
      <c r="Z10" s="103">
        <v>111698.75</v>
      </c>
    </row>
    <row r="11" spans="1:26" hidden="1" x14ac:dyDescent="0.3">
      <c r="A11" s="115"/>
      <c r="B11" s="115"/>
      <c r="C11" s="111"/>
      <c r="D11" s="110"/>
      <c r="E11" s="109"/>
      <c r="F11" s="111"/>
      <c r="G11" s="110"/>
      <c r="H11" s="109"/>
      <c r="I11" s="191"/>
      <c r="J11" s="113"/>
      <c r="L11" s="187">
        <f>Z11</f>
        <v>111698.75</v>
      </c>
      <c r="M11" s="189"/>
      <c r="N11" s="109"/>
      <c r="O11" s="111"/>
      <c r="P11" s="189"/>
      <c r="Q11" s="109"/>
      <c r="R11" s="109"/>
      <c r="S11" s="109"/>
      <c r="T11" s="119"/>
      <c r="U11" s="118" t="s">
        <v>1789</v>
      </c>
      <c r="V11" s="107"/>
      <c r="W11" s="106">
        <v>43202</v>
      </c>
      <c r="X11" s="107" t="s">
        <v>1754</v>
      </c>
      <c r="Y11" s="104"/>
      <c r="Z11" s="103">
        <v>111698.75</v>
      </c>
    </row>
    <row r="12" spans="1:26" hidden="1" x14ac:dyDescent="0.3">
      <c r="A12" s="115"/>
      <c r="B12" s="115"/>
      <c r="C12" s="111"/>
      <c r="D12" s="110"/>
      <c r="E12" s="109"/>
      <c r="F12" s="111"/>
      <c r="G12" s="110"/>
      <c r="H12" s="109"/>
      <c r="I12" s="111"/>
      <c r="J12" s="110"/>
      <c r="K12" s="109"/>
      <c r="L12" s="191"/>
      <c r="M12" s="189"/>
      <c r="N12" s="115"/>
      <c r="O12" s="187">
        <f>Z12</f>
        <v>111698.75</v>
      </c>
      <c r="P12" s="198"/>
      <c r="Q12" s="112"/>
      <c r="R12" s="109"/>
      <c r="S12" s="109"/>
      <c r="T12" s="119"/>
      <c r="U12" s="118" t="s">
        <v>1790</v>
      </c>
      <c r="V12" s="107"/>
      <c r="W12" s="106">
        <v>43314</v>
      </c>
      <c r="X12" s="107" t="s">
        <v>1754</v>
      </c>
      <c r="Y12" s="104"/>
      <c r="Z12" s="103">
        <v>111698.75</v>
      </c>
    </row>
    <row r="13" spans="1:26" hidden="1" x14ac:dyDescent="0.3">
      <c r="A13" s="115"/>
      <c r="B13" s="115"/>
      <c r="C13" s="111"/>
      <c r="D13" s="110"/>
      <c r="E13" s="109"/>
      <c r="F13" s="111"/>
      <c r="G13" s="110"/>
      <c r="H13" s="109"/>
      <c r="I13" s="111"/>
      <c r="J13" s="110"/>
      <c r="K13" s="109"/>
      <c r="L13" s="111"/>
      <c r="M13" s="189"/>
      <c r="N13" s="115"/>
      <c r="O13" s="117"/>
      <c r="Q13" s="188">
        <f>Z13</f>
        <v>44679.5</v>
      </c>
      <c r="R13" s="199"/>
      <c r="S13" s="109"/>
      <c r="T13" s="119"/>
      <c r="U13" s="118" t="s">
        <v>1791</v>
      </c>
      <c r="V13" s="107"/>
      <c r="W13" s="106">
        <v>43356</v>
      </c>
      <c r="X13" s="107" t="s">
        <v>1754</v>
      </c>
      <c r="Y13" s="104"/>
      <c r="Z13" s="103">
        <v>44679.5</v>
      </c>
    </row>
    <row r="14" spans="1:26" hidden="1" x14ac:dyDescent="0.3">
      <c r="A14" s="115"/>
      <c r="B14" s="115"/>
      <c r="C14" s="111"/>
      <c r="D14" s="110"/>
      <c r="E14" s="109"/>
      <c r="F14" s="111"/>
      <c r="G14" s="110"/>
      <c r="H14" s="109"/>
      <c r="I14" s="111"/>
      <c r="J14" s="110"/>
      <c r="K14" s="109"/>
      <c r="L14" s="111"/>
      <c r="M14" s="189"/>
      <c r="N14" s="109"/>
      <c r="O14" s="117"/>
      <c r="P14" s="189"/>
      <c r="Q14" s="112"/>
      <c r="R14" s="200">
        <f>Z14</f>
        <v>22339.75</v>
      </c>
      <c r="S14" s="110"/>
      <c r="T14" s="119"/>
      <c r="U14" s="118" t="s">
        <v>1792</v>
      </c>
      <c r="V14" s="107"/>
      <c r="W14" s="106">
        <v>43384</v>
      </c>
      <c r="X14" s="107" t="s">
        <v>1754</v>
      </c>
      <c r="Y14" s="104"/>
      <c r="Z14" s="103">
        <v>22339.75</v>
      </c>
    </row>
    <row r="15" spans="1:26" hidden="1" x14ac:dyDescent="0.3">
      <c r="A15" s="115"/>
      <c r="B15" s="115"/>
      <c r="C15" s="111"/>
      <c r="D15" s="110"/>
      <c r="E15" s="109"/>
      <c r="F15" s="111"/>
      <c r="G15" s="110"/>
      <c r="H15" s="109"/>
      <c r="I15" s="120"/>
      <c r="J15" s="110"/>
      <c r="K15" s="109"/>
      <c r="L15" s="111"/>
      <c r="M15" s="189"/>
      <c r="N15" s="109"/>
      <c r="O15" s="117"/>
      <c r="P15" s="189"/>
      <c r="Q15" s="112"/>
      <c r="R15" s="202"/>
      <c r="S15" s="110"/>
      <c r="T15" s="119"/>
      <c r="U15" s="203" t="s">
        <v>1793</v>
      </c>
      <c r="V15" s="204"/>
      <c r="W15" s="205"/>
      <c r="X15" s="204" t="s">
        <v>1754</v>
      </c>
      <c r="Y15" s="206"/>
      <c r="Z15" s="207">
        <v>122340</v>
      </c>
    </row>
    <row r="16" spans="1:26" hidden="1" x14ac:dyDescent="0.3">
      <c r="A16" s="115"/>
      <c r="B16" s="115"/>
      <c r="C16" s="111"/>
      <c r="D16" s="110"/>
      <c r="E16" s="109"/>
      <c r="F16" s="117"/>
      <c r="G16" s="182">
        <f>Z16</f>
        <v>369898</v>
      </c>
      <c r="H16" s="115"/>
      <c r="I16" s="120"/>
      <c r="J16" s="110"/>
      <c r="K16" s="109"/>
      <c r="L16" s="117"/>
      <c r="M16" s="194"/>
      <c r="N16" s="115"/>
      <c r="O16" s="117"/>
      <c r="P16" s="198"/>
      <c r="Q16" s="112"/>
      <c r="R16" s="186"/>
      <c r="S16" s="109"/>
      <c r="T16" s="119"/>
      <c r="U16" s="118" t="s">
        <v>1682</v>
      </c>
      <c r="V16" s="107"/>
      <c r="W16" s="106">
        <v>43119</v>
      </c>
      <c r="X16" s="107" t="s">
        <v>1683</v>
      </c>
      <c r="Y16" s="104"/>
      <c r="Z16" s="103">
        <v>369898</v>
      </c>
    </row>
    <row r="17" spans="1:27" hidden="1" x14ac:dyDescent="0.3">
      <c r="A17" s="115"/>
      <c r="B17" s="115"/>
      <c r="C17" s="111"/>
      <c r="D17" s="110"/>
      <c r="E17" s="109"/>
      <c r="F17" s="117"/>
      <c r="G17" s="113"/>
      <c r="H17" s="183">
        <f>Z17</f>
        <v>554847</v>
      </c>
      <c r="I17" s="111"/>
      <c r="J17" s="110"/>
      <c r="K17" s="109"/>
      <c r="L17" s="117"/>
      <c r="M17" s="194"/>
      <c r="N17" s="115"/>
      <c r="O17" s="117"/>
      <c r="Q17" s="115"/>
      <c r="R17" s="110"/>
      <c r="S17" s="109"/>
      <c r="T17" s="119"/>
      <c r="U17" s="118" t="s">
        <v>1684</v>
      </c>
      <c r="V17" s="107"/>
      <c r="W17" s="106">
        <v>43136</v>
      </c>
      <c r="X17" s="107" t="s">
        <v>1683</v>
      </c>
      <c r="Y17" s="104"/>
      <c r="Z17" s="103">
        <v>554847</v>
      </c>
    </row>
    <row r="18" spans="1:27" hidden="1" x14ac:dyDescent="0.3">
      <c r="A18" s="115"/>
      <c r="B18" s="115"/>
      <c r="C18" s="111"/>
      <c r="D18" s="110"/>
      <c r="E18" s="109"/>
      <c r="F18" s="111"/>
      <c r="G18" s="110"/>
      <c r="I18" s="117"/>
      <c r="J18" s="116"/>
      <c r="K18" s="183">
        <f>Z18</f>
        <v>554847</v>
      </c>
      <c r="L18" s="120"/>
      <c r="M18" s="189"/>
      <c r="N18" s="109"/>
      <c r="O18" s="117"/>
      <c r="P18" s="198"/>
      <c r="Q18" s="112"/>
      <c r="R18" s="109"/>
      <c r="S18" s="109"/>
      <c r="T18" s="119"/>
      <c r="U18" s="118" t="s">
        <v>1685</v>
      </c>
      <c r="V18" s="107"/>
      <c r="W18" s="106">
        <v>43224</v>
      </c>
      <c r="X18" s="107" t="s">
        <v>1683</v>
      </c>
      <c r="Y18" s="104"/>
      <c r="Z18" s="103">
        <v>554847</v>
      </c>
    </row>
    <row r="19" spans="1:27" hidden="1" x14ac:dyDescent="0.3">
      <c r="A19" s="115"/>
      <c r="B19" s="115"/>
      <c r="C19" s="111"/>
      <c r="D19" s="110"/>
      <c r="E19" s="109"/>
      <c r="F19" s="111"/>
      <c r="G19" s="110"/>
      <c r="H19" s="109"/>
      <c r="I19" s="184"/>
      <c r="J19" s="116"/>
      <c r="K19" s="183">
        <v>183673</v>
      </c>
      <c r="L19" s="121"/>
      <c r="M19" s="195"/>
      <c r="N19" s="112"/>
      <c r="O19" s="111"/>
      <c r="P19" s="189"/>
      <c r="Q19" s="109"/>
      <c r="R19" s="109"/>
      <c r="S19" s="109"/>
      <c r="T19" s="119"/>
      <c r="U19" s="118" t="s">
        <v>1686</v>
      </c>
      <c r="V19" s="107"/>
      <c r="W19" s="106">
        <v>43255</v>
      </c>
      <c r="X19" s="107" t="s">
        <v>1683</v>
      </c>
      <c r="Y19" s="104"/>
      <c r="Z19" s="103">
        <v>1183673</v>
      </c>
      <c r="AA19" s="101"/>
    </row>
    <row r="20" spans="1:27" hidden="1" x14ac:dyDescent="0.3">
      <c r="A20" s="115"/>
      <c r="B20" s="115"/>
      <c r="C20" s="111"/>
      <c r="D20" s="110"/>
      <c r="E20" s="109"/>
      <c r="F20" s="111"/>
      <c r="G20" s="110"/>
      <c r="H20" s="109"/>
      <c r="I20" s="111"/>
      <c r="J20" s="110"/>
      <c r="K20" s="109"/>
      <c r="L20" s="111"/>
      <c r="M20" s="113">
        <v>1665817</v>
      </c>
      <c r="N20" s="185"/>
      <c r="O20" s="184"/>
      <c r="P20" s="198"/>
      <c r="Q20" s="112"/>
      <c r="R20" s="109"/>
      <c r="S20" s="109"/>
      <c r="T20" s="119"/>
      <c r="U20" s="118" t="s">
        <v>1687</v>
      </c>
      <c r="V20" s="107"/>
      <c r="W20" s="106">
        <v>43315</v>
      </c>
      <c r="X20" s="107" t="s">
        <v>1683</v>
      </c>
      <c r="Y20" s="104"/>
      <c r="Z20" s="103">
        <v>665817</v>
      </c>
    </row>
    <row r="21" spans="1:27" hidden="1" x14ac:dyDescent="0.3">
      <c r="A21" s="115"/>
      <c r="B21" s="115"/>
      <c r="C21" s="111"/>
      <c r="D21" s="110"/>
      <c r="E21" s="109"/>
      <c r="F21" s="111"/>
      <c r="G21" s="110"/>
      <c r="H21" s="109"/>
      <c r="I21" s="111"/>
      <c r="J21" s="110"/>
      <c r="K21" s="109"/>
      <c r="L21" s="111"/>
      <c r="M21" s="110"/>
      <c r="N21" s="110"/>
      <c r="O21" s="114">
        <f>Z21</f>
        <v>369898</v>
      </c>
      <c r="P21" s="113"/>
      <c r="Q21" s="112"/>
      <c r="R21" s="109"/>
      <c r="S21" s="109"/>
      <c r="T21" s="119"/>
      <c r="U21" s="118" t="s">
        <v>1688</v>
      </c>
      <c r="V21" s="107"/>
      <c r="W21" s="106">
        <v>43389</v>
      </c>
      <c r="X21" s="107" t="s">
        <v>1683</v>
      </c>
      <c r="Y21" s="104"/>
      <c r="Z21" s="103">
        <v>369898</v>
      </c>
    </row>
    <row r="22" spans="1:27" hidden="1" x14ac:dyDescent="0.3">
      <c r="A22" s="115"/>
      <c r="B22" s="115"/>
      <c r="C22" s="111"/>
      <c r="D22" s="110"/>
      <c r="E22" s="109"/>
      <c r="F22" s="111"/>
      <c r="G22" s="110"/>
      <c r="H22" s="109"/>
      <c r="I22" s="117"/>
      <c r="J22" s="121">
        <f>Z22</f>
        <v>50000</v>
      </c>
      <c r="K22" s="116"/>
      <c r="L22" s="117"/>
      <c r="M22" s="113"/>
      <c r="N22" s="113"/>
      <c r="O22" s="111"/>
      <c r="P22" s="110"/>
      <c r="Q22" s="109"/>
      <c r="R22" s="109"/>
      <c r="S22" s="109"/>
      <c r="T22" s="119"/>
      <c r="U22" s="118" t="s">
        <v>1794</v>
      </c>
      <c r="V22" s="107"/>
      <c r="W22" s="106">
        <v>43226</v>
      </c>
      <c r="X22" s="107" t="s">
        <v>1683</v>
      </c>
      <c r="Y22" s="104"/>
      <c r="Z22" s="103">
        <v>50000</v>
      </c>
    </row>
    <row r="23" spans="1:27" hidden="1" x14ac:dyDescent="0.3">
      <c r="A23" s="115"/>
      <c r="B23" s="115"/>
      <c r="C23" s="111"/>
      <c r="D23" s="110"/>
      <c r="E23" s="109"/>
      <c r="F23" s="111"/>
      <c r="G23" s="110"/>
      <c r="H23" s="109"/>
      <c r="I23" s="111"/>
      <c r="J23" s="110"/>
      <c r="K23" s="110"/>
      <c r="L23" s="117"/>
      <c r="M23" s="113">
        <f>Z23</f>
        <v>200000</v>
      </c>
      <c r="N23" s="113"/>
      <c r="O23" s="111"/>
      <c r="P23" s="110"/>
      <c r="Q23" s="109"/>
      <c r="R23" s="109"/>
      <c r="S23" s="109"/>
      <c r="T23" s="119"/>
      <c r="U23" s="118" t="s">
        <v>1795</v>
      </c>
      <c r="V23" s="107"/>
      <c r="W23" s="106">
        <v>43295</v>
      </c>
      <c r="X23" s="107" t="s">
        <v>1683</v>
      </c>
      <c r="Y23" s="104"/>
      <c r="Z23" s="103">
        <v>200000</v>
      </c>
    </row>
    <row r="24" spans="1:27" hidden="1" x14ac:dyDescent="0.3">
      <c r="A24" s="115"/>
      <c r="B24" s="115"/>
      <c r="C24" s="111"/>
      <c r="D24" s="110"/>
      <c r="E24" s="109"/>
      <c r="F24" s="111"/>
      <c r="G24" s="110"/>
      <c r="H24" s="110"/>
      <c r="I24" s="120"/>
      <c r="J24" s="110"/>
      <c r="K24" s="110"/>
      <c r="L24" s="117"/>
      <c r="M24" s="113">
        <f>Z24</f>
        <v>100000</v>
      </c>
      <c r="N24" s="113"/>
      <c r="O24" s="111"/>
      <c r="P24" s="110"/>
      <c r="Q24" s="109"/>
      <c r="R24" s="109"/>
      <c r="S24" s="109"/>
      <c r="T24" s="119"/>
      <c r="U24" s="118" t="s">
        <v>1796</v>
      </c>
      <c r="V24" s="107"/>
      <c r="W24" s="106">
        <v>43326</v>
      </c>
      <c r="X24" s="107" t="s">
        <v>1683</v>
      </c>
      <c r="Y24" s="104"/>
      <c r="Z24" s="103">
        <v>100000</v>
      </c>
    </row>
    <row r="25" spans="1:27" hidden="1" x14ac:dyDescent="0.3">
      <c r="A25" s="115"/>
      <c r="B25" s="115"/>
      <c r="C25" s="111"/>
      <c r="D25" s="110"/>
      <c r="E25" s="109"/>
      <c r="F25" s="111"/>
      <c r="G25" s="110"/>
      <c r="H25" s="110"/>
      <c r="I25" s="120"/>
      <c r="J25" s="110"/>
      <c r="K25" s="110"/>
      <c r="L25" s="111"/>
      <c r="M25" s="185"/>
      <c r="N25" s="110"/>
      <c r="O25" s="114">
        <f>Z25</f>
        <v>150000</v>
      </c>
      <c r="P25" s="113"/>
      <c r="Q25" s="112"/>
      <c r="R25" s="111"/>
      <c r="S25" s="110"/>
      <c r="T25" s="119"/>
      <c r="U25" s="118" t="s">
        <v>1797</v>
      </c>
      <c r="V25" s="107"/>
      <c r="W25" s="106">
        <v>43389</v>
      </c>
      <c r="X25" s="107" t="s">
        <v>1683</v>
      </c>
      <c r="Y25" s="104"/>
      <c r="Z25" s="103">
        <v>150000</v>
      </c>
    </row>
    <row r="26" spans="1:27" hidden="1" x14ac:dyDescent="0.3">
      <c r="A26" s="115"/>
      <c r="B26" s="115"/>
      <c r="C26" s="109"/>
      <c r="D26" s="109"/>
      <c r="E26" s="109"/>
      <c r="F26" s="111"/>
      <c r="G26" s="110"/>
      <c r="H26" s="115"/>
      <c r="I26" s="111"/>
      <c r="J26" s="110"/>
      <c r="K26" s="109"/>
      <c r="L26" s="111"/>
      <c r="M26" s="112">
        <f>Z26</f>
        <v>0</v>
      </c>
      <c r="N26" s="109"/>
      <c r="O26" s="114"/>
      <c r="P26" s="113"/>
      <c r="Q26" s="112"/>
      <c r="R26" s="111"/>
      <c r="S26" s="110"/>
      <c r="T26" s="109"/>
      <c r="U26" s="108" t="s">
        <v>1798</v>
      </c>
      <c r="V26" s="107"/>
      <c r="W26" s="106">
        <v>43150</v>
      </c>
      <c r="X26" s="105" t="s">
        <v>1690</v>
      </c>
      <c r="Y26" s="104"/>
      <c r="Z26" s="103">
        <v>0</v>
      </c>
    </row>
    <row r="27" spans="1:27" hidden="1" x14ac:dyDescent="0.3">
      <c r="A27" s="115"/>
      <c r="B27" s="115"/>
      <c r="C27" s="109"/>
      <c r="D27" s="109"/>
      <c r="E27" s="109"/>
      <c r="F27" s="111"/>
      <c r="G27" s="110"/>
      <c r="H27" s="115"/>
      <c r="I27" s="111"/>
      <c r="J27" s="110"/>
      <c r="K27" s="109"/>
      <c r="L27" s="111"/>
      <c r="M27" s="112">
        <f>Z27</f>
        <v>0</v>
      </c>
      <c r="N27" s="109"/>
      <c r="O27" s="114"/>
      <c r="P27" s="113"/>
      <c r="Q27" s="112"/>
      <c r="R27" s="111"/>
      <c r="S27" s="110"/>
      <c r="T27" s="109"/>
      <c r="U27" s="108" t="s">
        <v>1799</v>
      </c>
      <c r="V27" s="107"/>
      <c r="W27" s="106">
        <v>43299</v>
      </c>
      <c r="X27" s="105" t="s">
        <v>1690</v>
      </c>
      <c r="Y27" s="104"/>
      <c r="Z27" s="103">
        <v>0</v>
      </c>
    </row>
    <row r="28" spans="1:27" hidden="1" x14ac:dyDescent="0.3">
      <c r="A28" s="115"/>
      <c r="B28" s="115"/>
      <c r="C28" s="109"/>
      <c r="D28" s="109"/>
      <c r="E28" s="109"/>
      <c r="F28" s="111"/>
      <c r="G28" s="110"/>
      <c r="H28" s="115"/>
      <c r="I28" s="111"/>
      <c r="J28" s="110"/>
      <c r="K28" s="109"/>
      <c r="L28" s="111"/>
      <c r="M28" s="112">
        <f>Z28</f>
        <v>0</v>
      </c>
      <c r="N28" s="109"/>
      <c r="O28" s="114"/>
      <c r="P28" s="113"/>
      <c r="Q28" s="112"/>
      <c r="R28" s="111"/>
      <c r="S28" s="110"/>
      <c r="T28" s="109"/>
      <c r="U28" s="108" t="s">
        <v>1800</v>
      </c>
      <c r="V28" s="107"/>
      <c r="W28" s="106">
        <v>43283</v>
      </c>
      <c r="X28" s="105" t="s">
        <v>1690</v>
      </c>
      <c r="Y28" s="104"/>
      <c r="Z28" s="103">
        <v>0</v>
      </c>
    </row>
    <row r="29" spans="1:27" hidden="1" x14ac:dyDescent="0.3">
      <c r="A29" s="115"/>
      <c r="B29" s="115"/>
      <c r="C29" s="109"/>
      <c r="D29" s="109"/>
      <c r="E29" s="109"/>
      <c r="F29" s="111"/>
      <c r="G29" s="110"/>
      <c r="H29" s="115"/>
      <c r="I29" s="111"/>
      <c r="J29" s="110"/>
      <c r="K29" s="109"/>
      <c r="L29" s="111"/>
      <c r="M29" s="112">
        <f>Z29</f>
        <v>0</v>
      </c>
      <c r="N29" s="109"/>
      <c r="O29" s="114"/>
      <c r="P29" s="113"/>
      <c r="Q29" s="112"/>
      <c r="R29" s="111"/>
      <c r="S29" s="110"/>
      <c r="T29" s="109"/>
      <c r="U29" s="108" t="s">
        <v>1801</v>
      </c>
      <c r="V29" s="107"/>
      <c r="W29" s="106">
        <v>43292</v>
      </c>
      <c r="X29" s="105" t="s">
        <v>1690</v>
      </c>
      <c r="Y29" s="104"/>
      <c r="Z29" s="103">
        <v>0</v>
      </c>
    </row>
    <row r="30" spans="1:27" hidden="1" x14ac:dyDescent="0.3">
      <c r="A30" s="115"/>
      <c r="B30" s="115"/>
      <c r="C30" s="109"/>
      <c r="D30" s="109"/>
      <c r="E30" s="109"/>
      <c r="F30" s="114"/>
      <c r="G30" s="113"/>
      <c r="H30" s="112"/>
      <c r="I30" s="117"/>
      <c r="J30" s="110"/>
      <c r="K30" s="109"/>
      <c r="L30" s="111"/>
      <c r="M30" s="110"/>
      <c r="N30" s="112">
        <f>Z30</f>
        <v>0</v>
      </c>
      <c r="O30" s="111"/>
      <c r="P30" s="110"/>
      <c r="Q30" s="109"/>
      <c r="R30" s="111"/>
      <c r="S30" s="110"/>
      <c r="T30" s="109"/>
      <c r="U30" s="108" t="s">
        <v>1802</v>
      </c>
      <c r="V30" s="107"/>
      <c r="W30" s="106">
        <v>43329</v>
      </c>
      <c r="X30" s="105" t="s">
        <v>1690</v>
      </c>
      <c r="Y30" s="104"/>
      <c r="Z30" s="103">
        <v>0</v>
      </c>
    </row>
    <row r="31" spans="1:27" hidden="1" x14ac:dyDescent="0.3">
      <c r="A31" s="115"/>
      <c r="B31" s="115"/>
      <c r="C31" s="109"/>
      <c r="D31" s="109"/>
      <c r="E31" s="109"/>
      <c r="F31" s="117"/>
      <c r="G31" s="113"/>
      <c r="H31" s="112"/>
      <c r="I31" s="117"/>
      <c r="J31" s="116"/>
      <c r="K31" s="115"/>
      <c r="L31" s="111"/>
      <c r="M31" s="188">
        <f>Z31</f>
        <v>263083.8</v>
      </c>
      <c r="O31" s="111"/>
      <c r="P31" s="110"/>
      <c r="Q31" s="109"/>
      <c r="R31" s="111"/>
      <c r="S31" s="110"/>
      <c r="T31" s="109"/>
      <c r="U31" s="108" t="s">
        <v>1803</v>
      </c>
      <c r="V31" s="107"/>
      <c r="W31" s="106">
        <v>43374</v>
      </c>
      <c r="X31" s="105" t="s">
        <v>1690</v>
      </c>
      <c r="Y31" s="104"/>
      <c r="Z31" s="103">
        <v>263083.8</v>
      </c>
    </row>
    <row r="32" spans="1:27" hidden="1" x14ac:dyDescent="0.3">
      <c r="A32" s="115"/>
      <c r="B32" s="115"/>
      <c r="C32" s="109"/>
      <c r="D32" s="109"/>
      <c r="E32" s="109"/>
      <c r="F32" s="111"/>
      <c r="G32" s="110"/>
      <c r="H32" s="109"/>
      <c r="I32" s="117"/>
      <c r="J32" s="110"/>
      <c r="K32" s="109"/>
      <c r="L32" s="114"/>
      <c r="M32" s="113"/>
      <c r="N32" s="112">
        <f>Z32</f>
        <v>263083.8</v>
      </c>
      <c r="O32" s="111"/>
      <c r="P32" s="110"/>
      <c r="Q32" s="109"/>
      <c r="R32" s="111"/>
      <c r="S32" s="110"/>
      <c r="T32" s="109"/>
      <c r="U32" s="108" t="s">
        <v>1699</v>
      </c>
      <c r="V32" s="107"/>
      <c r="W32" s="106">
        <v>43374</v>
      </c>
      <c r="X32" s="105" t="s">
        <v>1690</v>
      </c>
      <c r="Y32" s="104"/>
      <c r="Z32" s="103">
        <v>263083.8</v>
      </c>
    </row>
    <row r="33" spans="1:27" hidden="1" x14ac:dyDescent="0.3">
      <c r="A33" s="115"/>
      <c r="B33" s="115"/>
      <c r="C33" s="109"/>
      <c r="D33" s="109"/>
      <c r="E33" s="109"/>
      <c r="F33" s="111"/>
      <c r="G33" s="110"/>
      <c r="H33" s="109"/>
      <c r="I33" s="111"/>
      <c r="J33" s="116"/>
      <c r="K33" s="109"/>
      <c r="L33" s="111"/>
      <c r="M33" s="110"/>
      <c r="N33" s="109"/>
      <c r="O33" s="114">
        <f>Z33</f>
        <v>87694.6</v>
      </c>
      <c r="P33" s="113"/>
      <c r="Q33" s="112"/>
      <c r="R33" s="111"/>
      <c r="S33" s="110"/>
      <c r="T33" s="109"/>
      <c r="U33" s="108" t="s">
        <v>1700</v>
      </c>
      <c r="V33" s="107"/>
      <c r="W33" s="106">
        <v>43374</v>
      </c>
      <c r="X33" s="105" t="s">
        <v>1690</v>
      </c>
      <c r="Y33" s="104"/>
      <c r="Z33" s="103">
        <v>87694.6</v>
      </c>
    </row>
    <row r="34" spans="1:27" hidden="1" x14ac:dyDescent="0.3">
      <c r="A34" s="115"/>
      <c r="B34" s="115"/>
      <c r="C34" s="109"/>
      <c r="D34" s="109"/>
      <c r="E34" s="109"/>
      <c r="F34" s="111"/>
      <c r="G34" s="110"/>
      <c r="H34" s="109"/>
      <c r="I34" s="111"/>
      <c r="J34" s="110"/>
      <c r="K34" s="109"/>
      <c r="L34" s="111"/>
      <c r="M34" s="116"/>
      <c r="N34" s="109"/>
      <c r="O34" s="114">
        <f>Z34</f>
        <v>87694.6</v>
      </c>
      <c r="P34" s="113"/>
      <c r="Q34" s="112"/>
      <c r="R34" s="111"/>
      <c r="S34" s="110"/>
      <c r="T34" s="109"/>
      <c r="U34" s="108" t="s">
        <v>1701</v>
      </c>
      <c r="V34" s="107"/>
      <c r="W34" s="106">
        <v>43404</v>
      </c>
      <c r="X34" s="105" t="s">
        <v>1690</v>
      </c>
      <c r="Y34" s="104"/>
      <c r="Z34" s="103">
        <v>87694.6</v>
      </c>
    </row>
    <row r="35" spans="1:27" hidden="1" x14ac:dyDescent="0.3">
      <c r="A35" s="115"/>
      <c r="B35" s="115"/>
      <c r="C35" s="109"/>
      <c r="D35" s="109"/>
      <c r="E35" s="109"/>
      <c r="F35" s="111"/>
      <c r="G35" s="110"/>
      <c r="H35" s="109"/>
      <c r="I35" s="111"/>
      <c r="J35" s="110"/>
      <c r="K35" s="109"/>
      <c r="L35" s="111"/>
      <c r="M35" s="116"/>
      <c r="N35" s="109"/>
      <c r="O35" s="114">
        <f>Z35</f>
        <v>70155.679999999993</v>
      </c>
      <c r="P35" s="113"/>
      <c r="Q35" s="112"/>
      <c r="R35" s="111"/>
      <c r="S35" s="110"/>
      <c r="T35" s="109"/>
      <c r="U35" s="108" t="s">
        <v>1702</v>
      </c>
      <c r="V35" s="107"/>
      <c r="W35" s="106">
        <v>43381</v>
      </c>
      <c r="X35" s="105" t="s">
        <v>1690</v>
      </c>
      <c r="Y35" s="104"/>
      <c r="Z35" s="103">
        <v>70155.679999999993</v>
      </c>
    </row>
    <row r="36" spans="1:27" hidden="1" x14ac:dyDescent="0.3">
      <c r="A36" s="115"/>
      <c r="B36" s="115"/>
      <c r="C36" s="109"/>
      <c r="D36" s="109"/>
      <c r="E36" s="109"/>
      <c r="F36" s="111"/>
      <c r="G36" s="110"/>
      <c r="H36" s="109"/>
      <c r="I36" s="111"/>
      <c r="J36" s="110"/>
      <c r="K36" s="109"/>
      <c r="L36" s="111"/>
      <c r="M36" s="110"/>
      <c r="N36" s="109"/>
      <c r="O36" s="117"/>
      <c r="P36" s="113"/>
      <c r="Q36" s="112">
        <f>Z36</f>
        <v>87694.6</v>
      </c>
      <c r="R36" s="120"/>
      <c r="S36" s="110"/>
      <c r="T36" s="109"/>
      <c r="U36" s="108" t="s">
        <v>1703</v>
      </c>
      <c r="V36" s="107"/>
      <c r="W36" s="106">
        <v>43404</v>
      </c>
      <c r="X36" s="105" t="s">
        <v>1690</v>
      </c>
      <c r="Y36" s="104"/>
      <c r="Z36" s="103">
        <v>87694.6</v>
      </c>
    </row>
    <row r="37" spans="1:27" hidden="1" x14ac:dyDescent="0.3">
      <c r="A37" s="115"/>
      <c r="B37" s="115"/>
      <c r="C37" s="109"/>
      <c r="D37" s="109"/>
      <c r="E37" s="109"/>
      <c r="F37" s="111"/>
      <c r="G37" s="110"/>
      <c r="H37" s="109"/>
      <c r="I37" s="111"/>
      <c r="J37" s="110"/>
      <c r="K37" s="109"/>
      <c r="L37" s="111"/>
      <c r="M37" s="110"/>
      <c r="N37" s="109"/>
      <c r="O37" s="117"/>
      <c r="P37" s="113"/>
      <c r="Q37" s="112">
        <f>Z37</f>
        <v>8769.4599999999991</v>
      </c>
      <c r="R37" s="120"/>
      <c r="S37" s="110"/>
      <c r="T37" s="109"/>
      <c r="U37" s="108" t="s">
        <v>1704</v>
      </c>
      <c r="V37" s="107"/>
      <c r="W37" s="106">
        <v>43413</v>
      </c>
      <c r="X37" s="105" t="s">
        <v>1690</v>
      </c>
      <c r="Y37" s="104"/>
      <c r="Z37" s="103">
        <v>8769.4599999999991</v>
      </c>
    </row>
    <row r="38" spans="1:27" hidden="1" x14ac:dyDescent="0.3">
      <c r="A38" s="115"/>
      <c r="B38" s="115"/>
      <c r="C38" s="109"/>
      <c r="D38" s="109"/>
      <c r="E38" s="109"/>
      <c r="F38" s="111"/>
      <c r="G38" s="110"/>
      <c r="H38" s="109"/>
      <c r="I38" s="111"/>
      <c r="J38" s="110"/>
      <c r="K38" s="109"/>
      <c r="L38" s="111"/>
      <c r="M38" s="110"/>
      <c r="N38" s="109"/>
      <c r="O38" s="117"/>
      <c r="P38" s="113"/>
      <c r="Q38" s="112"/>
      <c r="R38" s="188">
        <f>Z38</f>
        <v>8769.4599999999991</v>
      </c>
      <c r="S38" s="109"/>
      <c r="T38" s="119"/>
      <c r="U38" s="118" t="s">
        <v>1705</v>
      </c>
      <c r="V38" s="107"/>
      <c r="W38" s="106">
        <v>43413</v>
      </c>
      <c r="X38" s="105" t="s">
        <v>1690</v>
      </c>
      <c r="Y38" s="104"/>
      <c r="Z38" s="103">
        <v>8769.4599999999991</v>
      </c>
    </row>
    <row r="39" spans="1:27" hidden="1" x14ac:dyDescent="0.3">
      <c r="F39" s="102">
        <f>SUM(F3:F38)</f>
        <v>82538.2</v>
      </c>
      <c r="G39" s="102"/>
      <c r="H39" s="102"/>
      <c r="I39" s="102">
        <f>SUM(I3:I37)+SUM(H3:H37)+SUM(G3:G37)</f>
        <v>1131090.5</v>
      </c>
      <c r="J39" s="102"/>
      <c r="K39" s="102"/>
      <c r="L39" s="192">
        <f>SUM(L3:L37)+SUM(K3:K37)+SUM(J3:J37)</f>
        <v>994865.5</v>
      </c>
      <c r="M39" s="102"/>
      <c r="N39" s="102"/>
      <c r="O39" s="102">
        <f>SUM(O3:O37)+SUM(N3:N37)+SUM(M3:M37)</f>
        <v>3463772.9799999995</v>
      </c>
      <c r="P39" s="102"/>
      <c r="Q39" s="102"/>
      <c r="R39" s="102">
        <f>SUM(R3:R37)+SUM(Q3:Q37)+SUM(P3:P37)</f>
        <v>220271.35999999999</v>
      </c>
      <c r="Z39" s="102">
        <f>SUM(Z3:Z38)</f>
        <v>6023647.9999999981</v>
      </c>
    </row>
    <row r="40" spans="1:27" hidden="1" x14ac:dyDescent="0.3"/>
    <row r="41" spans="1:27" x14ac:dyDescent="0.3">
      <c r="O41" s="101"/>
      <c r="P41" s="101"/>
      <c r="Q41" s="101"/>
      <c r="W41" s="101"/>
    </row>
    <row r="42" spans="1:27" x14ac:dyDescent="0.3">
      <c r="O42" s="101"/>
      <c r="P42" s="101"/>
      <c r="Q42" s="101"/>
      <c r="U42" s="430">
        <v>1972090.85</v>
      </c>
      <c r="W42" s="432" t="s">
        <v>1804</v>
      </c>
    </row>
    <row r="43" spans="1:27" x14ac:dyDescent="0.3">
      <c r="L43" s="101"/>
      <c r="M43" s="101"/>
      <c r="N43" s="101"/>
      <c r="O43" s="430">
        <f>'TO 190 Summary'!D14</f>
        <v>9369179.9600000009</v>
      </c>
      <c r="P43" s="432" t="s">
        <v>1805</v>
      </c>
      <c r="U43" s="430">
        <f>U48</f>
        <v>4646702</v>
      </c>
      <c r="W43" s="432" t="s">
        <v>1806</v>
      </c>
      <c r="Z43" s="101">
        <f>U47</f>
        <v>455931.93</v>
      </c>
      <c r="AA43" s="432" t="s">
        <v>1807</v>
      </c>
    </row>
    <row r="44" spans="1:27" x14ac:dyDescent="0.3">
      <c r="O44" s="430">
        <f>U44</f>
        <v>6618792.8499999996</v>
      </c>
      <c r="P44" s="432" t="s">
        <v>1808</v>
      </c>
      <c r="U44" s="101">
        <f>U42+U43</f>
        <v>6618792.8499999996</v>
      </c>
      <c r="W44" s="432" t="s">
        <v>33</v>
      </c>
      <c r="X44" s="430"/>
      <c r="Z44" s="101">
        <f>U49</f>
        <v>684017.87999999989</v>
      </c>
      <c r="AA44" s="432" t="s">
        <v>1809</v>
      </c>
    </row>
    <row r="45" spans="1:27" x14ac:dyDescent="0.3">
      <c r="O45" s="101">
        <f>O43-O44</f>
        <v>2750387.1100000013</v>
      </c>
      <c r="P45" s="432" t="s">
        <v>1759</v>
      </c>
      <c r="X45" s="430"/>
      <c r="Z45" s="101">
        <f>Z43+Z44</f>
        <v>1139949.8099999998</v>
      </c>
      <c r="AA45" s="100" t="s">
        <v>1810</v>
      </c>
    </row>
    <row r="46" spans="1:27" x14ac:dyDescent="0.3">
      <c r="U46" s="430">
        <v>1972090.85</v>
      </c>
      <c r="W46" s="432" t="s">
        <v>1804</v>
      </c>
      <c r="X46" s="101"/>
      <c r="Z46" s="101">
        <f>U55</f>
        <v>-475887</v>
      </c>
      <c r="AA46" s="100" t="s">
        <v>1811</v>
      </c>
    </row>
    <row r="47" spans="1:27" x14ac:dyDescent="0.3">
      <c r="U47" s="430">
        <v>455931.93</v>
      </c>
      <c r="W47" s="432" t="s">
        <v>1807</v>
      </c>
      <c r="Z47" s="101">
        <f>Z45+Z46</f>
        <v>664062.80999999982</v>
      </c>
      <c r="AA47" s="432" t="s">
        <v>1812</v>
      </c>
    </row>
    <row r="48" spans="1:27" x14ac:dyDescent="0.3">
      <c r="U48" s="430">
        <f>SUM(Z3+Z4+Z5+Z6+Z7+Z8+Z9+Z10+Z11+Z12+Z13+Z14+Z15+Z16+Z17+Z18+Z19+Z20+Z21)</f>
        <v>4646702</v>
      </c>
      <c r="W48" s="432" t="s">
        <v>1806</v>
      </c>
      <c r="Z48" s="430">
        <v>662828.81000000006</v>
      </c>
      <c r="AA48" s="432" t="s">
        <v>1813</v>
      </c>
    </row>
    <row r="49" spans="12:27" x14ac:dyDescent="0.3">
      <c r="U49" s="430">
        <f>Z31+Z32+Z33+Z35</f>
        <v>684017.87999999989</v>
      </c>
      <c r="W49" s="432" t="s">
        <v>1809</v>
      </c>
      <c r="Z49" s="101">
        <f>Z47-Z48</f>
        <v>1233.9999999997672</v>
      </c>
      <c r="AA49" s="432" t="s">
        <v>1814</v>
      </c>
    </row>
    <row r="50" spans="12:27" x14ac:dyDescent="0.3">
      <c r="U50" s="430">
        <f>SUM(U46:U49)</f>
        <v>7758742.6600000001</v>
      </c>
      <c r="W50" s="432" t="s">
        <v>1815</v>
      </c>
    </row>
    <row r="51" spans="12:27" x14ac:dyDescent="0.3">
      <c r="U51" s="430"/>
      <c r="Z51" s="430">
        <v>947722</v>
      </c>
      <c r="AA51" s="432" t="s">
        <v>1816</v>
      </c>
    </row>
    <row r="52" spans="12:27" x14ac:dyDescent="0.3">
      <c r="U52" s="101">
        <v>-265465</v>
      </c>
      <c r="V52" s="100" t="s">
        <v>1817</v>
      </c>
      <c r="W52" s="432" t="s">
        <v>1817</v>
      </c>
      <c r="Z52" s="430">
        <v>825382</v>
      </c>
      <c r="AA52" s="432" t="s">
        <v>1818</v>
      </c>
    </row>
    <row r="53" spans="12:27" x14ac:dyDescent="0.3">
      <c r="L53" s="430">
        <f>U48+U49+U60</f>
        <v>6023648</v>
      </c>
      <c r="M53" s="432" t="s">
        <v>1819</v>
      </c>
      <c r="U53" s="101">
        <v>-199122</v>
      </c>
      <c r="V53" s="100" t="s">
        <v>1820</v>
      </c>
      <c r="W53" s="100" t="s">
        <v>1820</v>
      </c>
      <c r="Z53" s="430">
        <f>Z51-Z52</f>
        <v>122340</v>
      </c>
      <c r="AA53" s="432" t="s">
        <v>1821</v>
      </c>
    </row>
    <row r="54" spans="12:27" x14ac:dyDescent="0.3">
      <c r="L54" s="101">
        <f>U46+U47+U61</f>
        <v>2971224.8600000003</v>
      </c>
      <c r="M54" s="432" t="s">
        <v>1822</v>
      </c>
      <c r="U54" s="101">
        <v>-11300</v>
      </c>
      <c r="V54" s="100" t="s">
        <v>1823</v>
      </c>
      <c r="W54" s="100" t="s">
        <v>1823</v>
      </c>
    </row>
    <row r="55" spans="12:27" x14ac:dyDescent="0.3">
      <c r="L55" s="101">
        <f>SUM(L53:L54)</f>
        <v>8994872.8599999994</v>
      </c>
      <c r="M55" s="432" t="s">
        <v>1824</v>
      </c>
      <c r="U55" s="101">
        <f>SUM(U52:U54)</f>
        <v>-475887</v>
      </c>
      <c r="W55" s="432" t="s">
        <v>1811</v>
      </c>
    </row>
    <row r="57" spans="12:27" x14ac:dyDescent="0.3">
      <c r="U57" s="101">
        <f>U50+U55</f>
        <v>7282855.6600000001</v>
      </c>
      <c r="W57" s="432" t="s">
        <v>1825</v>
      </c>
    </row>
    <row r="58" spans="12:27" x14ac:dyDescent="0.3">
      <c r="L58" s="430"/>
      <c r="M58" s="432"/>
      <c r="Q58" s="101">
        <f>L55</f>
        <v>8994872.8599999994</v>
      </c>
      <c r="R58" s="432" t="s">
        <v>1826</v>
      </c>
    </row>
    <row r="59" spans="12:27" x14ac:dyDescent="0.3">
      <c r="L59" s="101"/>
      <c r="M59" s="432"/>
      <c r="Q59" s="101">
        <f>U66</f>
        <v>8994872.8599999994</v>
      </c>
      <c r="R59" s="432" t="s">
        <v>1826</v>
      </c>
      <c r="Z59" s="430">
        <f>3005197</f>
        <v>3005197</v>
      </c>
      <c r="AA59" s="432" t="s">
        <v>1827</v>
      </c>
    </row>
    <row r="60" spans="12:27" ht="28.8" x14ac:dyDescent="0.3">
      <c r="Q60" s="101">
        <f>Q58-Q59</f>
        <v>0</v>
      </c>
      <c r="R60" s="432" t="s">
        <v>1828</v>
      </c>
      <c r="U60" s="430">
        <f>Z22+Z23+Z24+Z25+Z38+Z37+Z36+Z34</f>
        <v>692928.12</v>
      </c>
      <c r="W60" s="433" t="s">
        <v>1829</v>
      </c>
      <c r="Z60" s="101">
        <f>L54</f>
        <v>2971224.8600000003</v>
      </c>
      <c r="AA60" s="432" t="s">
        <v>1830</v>
      </c>
    </row>
    <row r="61" spans="12:27" x14ac:dyDescent="0.3">
      <c r="U61" s="430">
        <v>543202.07999999996</v>
      </c>
      <c r="W61" s="432" t="s">
        <v>1831</v>
      </c>
      <c r="Z61" s="101">
        <f>Z59-Z60</f>
        <v>33972.139999999665</v>
      </c>
      <c r="AA61" s="432" t="s">
        <v>1832</v>
      </c>
    </row>
    <row r="62" spans="12:27" x14ac:dyDescent="0.3">
      <c r="U62" s="101">
        <f>SUM(U60:U61)</f>
        <v>1236130.2</v>
      </c>
      <c r="W62" s="432" t="s">
        <v>1833</v>
      </c>
    </row>
    <row r="66" spans="10:27" x14ac:dyDescent="0.3">
      <c r="L66" s="430">
        <v>9032199.7210000008</v>
      </c>
      <c r="M66" s="432" t="s">
        <v>1834</v>
      </c>
      <c r="U66" s="101">
        <f>U50+U62</f>
        <v>8994872.8599999994</v>
      </c>
      <c r="W66" s="432" t="s">
        <v>1835</v>
      </c>
    </row>
    <row r="67" spans="10:27" x14ac:dyDescent="0.3">
      <c r="L67" s="101">
        <v>8994872.8599999994</v>
      </c>
      <c r="M67" s="432" t="s">
        <v>1836</v>
      </c>
      <c r="U67" s="101">
        <f>U66+U55</f>
        <v>8518985.8599999994</v>
      </c>
      <c r="W67" s="432" t="s">
        <v>1837</v>
      </c>
    </row>
    <row r="68" spans="10:27" x14ac:dyDescent="0.3">
      <c r="L68" s="101">
        <f>L66-L67</f>
        <v>37326.861000001431</v>
      </c>
      <c r="M68" s="432" t="s">
        <v>1838</v>
      </c>
      <c r="U68" s="101">
        <f>U57+U62</f>
        <v>8518985.8599999994</v>
      </c>
      <c r="W68" s="432" t="s">
        <v>1837</v>
      </c>
    </row>
    <row r="70" spans="10:27" x14ac:dyDescent="0.3">
      <c r="W70" s="430">
        <f>'TO 190 Summary'!D14</f>
        <v>9369179.9600000009</v>
      </c>
    </row>
    <row r="71" spans="10:27" x14ac:dyDescent="0.3">
      <c r="W71" s="101">
        <f>U75</f>
        <v>6618792.8499999996</v>
      </c>
      <c r="X71" s="432" t="s">
        <v>1839</v>
      </c>
    </row>
    <row r="72" spans="10:27" x14ac:dyDescent="0.3">
      <c r="L72" s="432" t="s">
        <v>1840</v>
      </c>
      <c r="W72" s="101">
        <f>W70-W71</f>
        <v>2750387.1100000013</v>
      </c>
      <c r="X72" s="432" t="s">
        <v>1841</v>
      </c>
    </row>
    <row r="73" spans="10:27" x14ac:dyDescent="0.3">
      <c r="L73" s="101">
        <f>L68</f>
        <v>37326.861000001431</v>
      </c>
      <c r="X73" s="432" t="s">
        <v>1759</v>
      </c>
    </row>
    <row r="74" spans="10:27" x14ac:dyDescent="0.3">
      <c r="AA74" s="101"/>
    </row>
    <row r="75" spans="10:27" x14ac:dyDescent="0.3">
      <c r="U75" s="101">
        <f>U46+U48</f>
        <v>6618792.8499999996</v>
      </c>
      <c r="W75" s="101">
        <f>U46+U48</f>
        <v>6618792.8499999996</v>
      </c>
      <c r="X75" s="432" t="s">
        <v>1842</v>
      </c>
    </row>
    <row r="76" spans="10:27" x14ac:dyDescent="0.3">
      <c r="J76" s="432"/>
      <c r="K76" s="432"/>
      <c r="L76" s="432" t="s">
        <v>1759</v>
      </c>
      <c r="W76" s="101">
        <f>U47+U49</f>
        <v>1139949.8099999998</v>
      </c>
      <c r="X76" s="432" t="s">
        <v>1843</v>
      </c>
    </row>
    <row r="77" spans="10:27" x14ac:dyDescent="0.3">
      <c r="L77" s="430">
        <f>'TO 190 Summary'!P15</f>
        <v>638832.402</v>
      </c>
      <c r="M77" s="432" t="s">
        <v>1844</v>
      </c>
      <c r="W77" s="101">
        <f>U62</f>
        <v>1236130.2</v>
      </c>
      <c r="X77" s="432" t="s">
        <v>1845</v>
      </c>
    </row>
    <row r="78" spans="10:27" x14ac:dyDescent="0.3">
      <c r="L78" s="430">
        <f>'TO 190 Summary'!Q15</f>
        <v>80430.720000000059</v>
      </c>
      <c r="M78" s="432" t="s">
        <v>1846</v>
      </c>
      <c r="W78" s="101">
        <f>SUM(W75:W77)</f>
        <v>8994872.8599999994</v>
      </c>
      <c r="X78" s="432" t="s">
        <v>1847</v>
      </c>
    </row>
    <row r="79" spans="10:27" x14ac:dyDescent="0.3">
      <c r="L79" s="430">
        <f>'TO 190 Summary'!R15</f>
        <v>3208807.6670000008</v>
      </c>
      <c r="M79" s="432" t="s">
        <v>1848</v>
      </c>
    </row>
    <row r="80" spans="10:27" x14ac:dyDescent="0.3">
      <c r="L80" s="430">
        <f>SUM(L77:L79)</f>
        <v>3928070.7890000008</v>
      </c>
      <c r="W80" s="101">
        <f>SUM(W75:W77)</f>
        <v>8994872.8599999994</v>
      </c>
      <c r="X80" s="432" t="s">
        <v>1847</v>
      </c>
    </row>
    <row r="81" spans="12:24" x14ac:dyDescent="0.3">
      <c r="W81" s="101">
        <f>U55</f>
        <v>-475887</v>
      </c>
      <c r="X81" s="432" t="s">
        <v>1811</v>
      </c>
    </row>
    <row r="82" spans="12:24" x14ac:dyDescent="0.3">
      <c r="W82" s="101">
        <f>W80+W81</f>
        <v>8518985.8599999994</v>
      </c>
      <c r="X82" s="432" t="s">
        <v>1849</v>
      </c>
    </row>
    <row r="84" spans="12:24" x14ac:dyDescent="0.3">
      <c r="L84" s="101">
        <f>L73</f>
        <v>37326.861000001431</v>
      </c>
    </row>
    <row r="85" spans="12:24" x14ac:dyDescent="0.3">
      <c r="L85" s="101">
        <f>L80</f>
        <v>3928070.7890000008</v>
      </c>
      <c r="W85" s="101">
        <f>U47+U61</f>
        <v>999134.01</v>
      </c>
    </row>
    <row r="86" spans="12:24" x14ac:dyDescent="0.3">
      <c r="L86" s="101">
        <f>L73-L80</f>
        <v>-3890743.9279999994</v>
      </c>
      <c r="M86" s="432" t="s">
        <v>1850</v>
      </c>
      <c r="X86" s="432" t="s">
        <v>1851</v>
      </c>
    </row>
    <row r="88" spans="12:24" x14ac:dyDescent="0.3">
      <c r="U88" s="101">
        <f>L55</f>
        <v>8994872.8599999994</v>
      </c>
      <c r="W88" s="432" t="s">
        <v>1852</v>
      </c>
    </row>
    <row r="89" spans="12:24" x14ac:dyDescent="0.3">
      <c r="U89" s="430">
        <v>8906504.7710000016</v>
      </c>
      <c r="W89" s="432" t="s">
        <v>1853</v>
      </c>
    </row>
    <row r="90" spans="12:24" x14ac:dyDescent="0.3">
      <c r="U90" s="101">
        <f>U88-U89</f>
        <v>88368.088999997824</v>
      </c>
      <c r="W90" s="432" t="s">
        <v>1759</v>
      </c>
    </row>
    <row r="91" spans="12:24" x14ac:dyDescent="0.3">
      <c r="U91" s="101"/>
    </row>
    <row r="94" spans="12:24" x14ac:dyDescent="0.3">
      <c r="U94" s="101">
        <v>3</v>
      </c>
      <c r="W94" s="432" t="s">
        <v>1759</v>
      </c>
    </row>
    <row r="95" spans="12:24" x14ac:dyDescent="0.3">
      <c r="U95" s="430">
        <v>122340</v>
      </c>
      <c r="W95" s="432" t="s">
        <v>1854</v>
      </c>
    </row>
    <row r="96" spans="12:24" x14ac:dyDescent="0.3">
      <c r="U96" s="101">
        <f>U94-U95</f>
        <v>-122337</v>
      </c>
      <c r="W96" s="432" t="s">
        <v>1855</v>
      </c>
    </row>
  </sheetData>
  <mergeCells count="6">
    <mergeCell ref="P2:R2"/>
    <mergeCell ref="A2:C2"/>
    <mergeCell ref="D2:F2"/>
    <mergeCell ref="G2:I2"/>
    <mergeCell ref="J2:L2"/>
    <mergeCell ref="M2:O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2"/>
  <sheetViews>
    <sheetView workbookViewId="0">
      <selection activeCell="D8" sqref="D8"/>
    </sheetView>
  </sheetViews>
  <sheetFormatPr defaultRowHeight="13.2" x14ac:dyDescent="0.25"/>
  <sheetData>
    <row r="1" spans="1:4" x14ac:dyDescent="0.25">
      <c r="A1" s="20">
        <v>3</v>
      </c>
    </row>
    <row r="2" spans="1:4" x14ac:dyDescent="0.25">
      <c r="A2" s="20">
        <v>4</v>
      </c>
    </row>
    <row r="3" spans="1:4" x14ac:dyDescent="0.25">
      <c r="A3" s="20">
        <v>5</v>
      </c>
    </row>
    <row r="8" spans="1:4" x14ac:dyDescent="0.25">
      <c r="D8">
        <v>0</v>
      </c>
    </row>
    <row r="9" spans="1:4" x14ac:dyDescent="0.25">
      <c r="D9">
        <v>1</v>
      </c>
    </row>
    <row r="10" spans="1:4" x14ac:dyDescent="0.25">
      <c r="D10">
        <v>2</v>
      </c>
    </row>
    <row r="11" spans="1:4" x14ac:dyDescent="0.25">
      <c r="D11">
        <v>3</v>
      </c>
    </row>
    <row r="12" spans="1:4" x14ac:dyDescent="0.25">
      <c r="D12">
        <v>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016B99333FBB49A43609D5C8C39F9A" ma:contentTypeVersion="3" ma:contentTypeDescription="Create a new document." ma:contentTypeScope="" ma:versionID="87c6a5d7aa082b5a9cfd1092747342eb">
  <xsd:schema xmlns:xsd="http://www.w3.org/2001/XMLSchema" xmlns:xs="http://www.w3.org/2001/XMLSchema" xmlns:p="http://schemas.microsoft.com/office/2006/metadata/properties" xmlns:ns2="3d1a699b-a452-440c-93e1-eca707155c96" targetNamespace="http://schemas.microsoft.com/office/2006/metadata/properties" ma:root="true" ma:fieldsID="964aabb354222fdd1abafabf7e925d2a" ns2:_="">
    <xsd:import namespace="3d1a699b-a452-440c-93e1-eca707155c96"/>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1a699b-a452-440c-93e1-eca707155c9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5DDAFBA-17D6-4039-A8C6-DC336DE382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1a699b-a452-440c-93e1-eca707155c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A234BD2-4109-4681-B311-6A77A399D957}">
  <ds:schemaRefs>
    <ds:schemaRef ds:uri="http://schemas.microsoft.com/sharepoint/v3/contenttype/forms"/>
  </ds:schemaRefs>
</ds:datastoreItem>
</file>

<file path=customXml/itemProps3.xml><?xml version="1.0" encoding="utf-8"?>
<ds:datastoreItem xmlns:ds="http://schemas.openxmlformats.org/officeDocument/2006/customXml" ds:itemID="{E35DBF08-D805-4CC5-9AF1-BF9FF943AAC4}">
  <ds:schemaRefs>
    <ds:schemaRef ds:uri="3d1a699b-a452-440c-93e1-eca707155c96"/>
    <ds:schemaRef ds:uri="http://schemas.microsoft.com/office/2006/documentManagement/types"/>
    <ds:schemaRef ds:uri="http://purl.org/dc/terms/"/>
    <ds:schemaRef ds:uri="http://www.w3.org/XML/1998/namespace"/>
    <ds:schemaRef ds:uri="http://purl.org/dc/elements/1.1/"/>
    <ds:schemaRef ds:uri="http://schemas.microsoft.com/office/2006/metadata/properties"/>
    <ds:schemaRef ds:uri="http://purl.org/dc/dcmityp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TO 190 Summary</vt:lpstr>
      <vt:lpstr>MDB</vt:lpstr>
      <vt:lpstr>Milestone Payment</vt:lpstr>
      <vt:lpstr>calucations for ETC</vt:lpstr>
      <vt:lpstr>analysis</vt:lpstr>
      <vt:lpstr>TO 190 ETC</vt:lpstr>
      <vt:lpstr>Calculations</vt:lpstr>
      <vt:lpstr>Sheet1</vt:lpstr>
      <vt:lpstr>'Milestone Payment'!Print_Area</vt:lpstr>
      <vt:lpstr>'TO 190 Summary'!Print_Area</vt:lpstr>
    </vt:vector>
  </TitlesOfParts>
  <Manager/>
  <Company>Honeywell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Mason, Monika - Harris</dc:creator>
  <cp:keywords/>
  <dc:description/>
  <cp:lastModifiedBy>Edward John Oughton</cp:lastModifiedBy>
  <cp:revision/>
  <dcterms:created xsi:type="dcterms:W3CDTF">2007-06-20T13:53:40Z</dcterms:created>
  <dcterms:modified xsi:type="dcterms:W3CDTF">2024-02-24T15:35:33Z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230a1362-c906-42b0-a7b6-7a121ef261c5</vt:lpwstr>
  </property>
  <property fmtid="{D5CDD505-2E9C-101B-9397-08002B2CF9AE}" pid="4" name="ContentTypeId">
    <vt:lpwstr>0x010100FA016B99333FBB49A43609D5C8C39F9A</vt:lpwstr>
  </property>
  <property fmtid="{D5CDD505-2E9C-101B-9397-08002B2CF9AE}" pid="5" name="CLASSIFICATION">
    <vt:lpwstr>General</vt:lpwstr>
  </property>
  <property fmtid="{D5CDD505-2E9C-101B-9397-08002B2CF9AE}" pid="6" name="MSIP_Label_e6b0ad23-84db-440d-b659-8bee5234175e_Enabled">
    <vt:lpwstr>True</vt:lpwstr>
  </property>
  <property fmtid="{D5CDD505-2E9C-101B-9397-08002B2CF9AE}" pid="7" name="MSIP_Label_e6b0ad23-84db-440d-b659-8bee5234175e_SiteId">
    <vt:lpwstr>1c625846-2b0a-4483-83dd-e024820875b3</vt:lpwstr>
  </property>
  <property fmtid="{D5CDD505-2E9C-101B-9397-08002B2CF9AE}" pid="8" name="MSIP_Label_e6b0ad23-84db-440d-b659-8bee5234175e_Owner">
    <vt:lpwstr>mmason05@peraton.com</vt:lpwstr>
  </property>
  <property fmtid="{D5CDD505-2E9C-101B-9397-08002B2CF9AE}" pid="9" name="MSIP_Label_e6b0ad23-84db-440d-b659-8bee5234175e_SetDate">
    <vt:lpwstr>2018-08-24T20:48:52.9682266Z</vt:lpwstr>
  </property>
  <property fmtid="{D5CDD505-2E9C-101B-9397-08002B2CF9AE}" pid="10" name="MSIP_Label_e6b0ad23-84db-440d-b659-8bee5234175e_Name">
    <vt:lpwstr>Unrestricted</vt:lpwstr>
  </property>
  <property fmtid="{D5CDD505-2E9C-101B-9397-08002B2CF9AE}" pid="11" name="MSIP_Label_e6b0ad23-84db-440d-b659-8bee5234175e_Application">
    <vt:lpwstr>Microsoft Azure Information Protection</vt:lpwstr>
  </property>
  <property fmtid="{D5CDD505-2E9C-101B-9397-08002B2CF9AE}" pid="12" name="MSIP_Label_e6b0ad23-84db-440d-b659-8bee5234175e_Extended_MSFT_Method">
    <vt:lpwstr>Automatic</vt:lpwstr>
  </property>
  <property fmtid="{D5CDD505-2E9C-101B-9397-08002B2CF9AE}" pid="13" name="Sensitivity">
    <vt:lpwstr>Unrestricted</vt:lpwstr>
  </property>
</Properties>
</file>